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'Pockets'!$C$17</definedName>
    <definedName name="pk_sel_kind">'Pockets'!$D$17</definedName>
    <definedName name="pk_sel_show">'Pockets'!$E$17</definedName>
    <definedName name="_xlnm.Print_Area" localSheetId="1">'Control'!$B$1:$P$44</definedName>
    <definedName name="_xlnm.Print_Area" localSheetId="3">'Look'!$A$1:$Q$72</definedName>
    <definedName name="_xlnm.Print_Area" localSheetId="8">'Record'!$B$1:$G$89</definedName>
  </definedNames>
  <calcPr calcId="124519" fullCalcOnLoad="1"/>
</workbook>
</file>

<file path=xl/styles.xml><?xml version="1.0" encoding="utf-8"?>
<styleSheet xmlns="http://schemas.openxmlformats.org/spreadsheetml/2006/main">
  <numFmts count="6">
    <numFmt numFmtId="164" formatCode="&quot;$&quot;#,##0"/>
    <numFmt numFmtId="165" formatCode="yyyy-mm-dd"/>
    <numFmt numFmtId="166" formatCode="0.0%"/>
    <numFmt numFmtId="167" formatCode="0.00&quot;×&quot;"/>
    <numFmt numFmtId="168" formatCode="[&lt;0.0001]&quot;under 0.01%&quot;;[&lt;0.01]0.00%;0.0%"/>
    <numFmt numFmtId="169"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0" fontId="11" fillId="0" borderId="0" applyAlignment="1" pivotButton="0" quotePrefix="0" xfId="0">
      <alignment vertical="top" wrapText="1"/>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7"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7"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7" fontId="5" fillId="0" borderId="0" applyAlignment="1" pivotButton="0" quotePrefix="0" xfId="0">
      <alignment horizontal="center" vertical="center"/>
    </xf>
    <xf numFmtId="0" fontId="5" fillId="0" borderId="0" applyAlignment="1" pivotButton="0" quotePrefix="0" xfId="0">
      <alignment horizontal="center" vertical="center"/>
    </xf>
    <xf numFmtId="168"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69"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8"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Two-flag book.csv · 8,000 loans · 11 columns · last Run 2026-09-30 04:03</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COUNTIFS(Columns!$S$13:$S$23,"?*",Columns!$H$13:$H$23,"")</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81"&amp;IF(COUNTIFS(pk_kind,"grids",pk_measure,"gco_rate",pk_flag,"worse",pk_material,"yes",pk_wborder,"?*")&gt;0,"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IF($K20="","",IF(OR(INDEX('_found'!$C$6:$C$46,$K20)="",INDEX('_pockets'!$AN:$AN,INDEX('_found'!$E$6:$E$46,$K20))=""),INDEX('_found'!$C$6:$C$46,$K20),INDEX('_found'!$C$6:$C$46,$K20)&amp;" · borderline (p "&amp;INDEX('_pockets'!$AN:$AN,INDEX('_found'!$E$6:$E$46,$K20))&amp;")"))</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IF($K21="","",IF(OR(INDEX('_found'!$C$6:$C$46,$K21)="",INDEX('_pockets'!$AN:$AN,INDEX('_found'!$E$6:$E$46,$K21))=""),INDEX('_found'!$C$6:$C$46,$K21),INDEX('_found'!$C$6:$C$46,$K21)&amp;" · borderline (p "&amp;INDEX('_pockets'!$AN:$AN,INDEX('_found'!$E$6:$E$46,$K21))&amp;")"))</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IF($K22="","",IF(OR(INDEX('_found'!$C$6:$C$46,$K22)="",INDEX('_pockets'!$AN:$AN,INDEX('_found'!$E$6:$E$46,$K22))=""),INDEX('_found'!$C$6:$C$46,$K22),INDEX('_found'!$C$6:$C$46,$K22)&amp;" · borderline (p "&amp;INDEX('_pockets'!$AN:$AN,INDEX('_found'!$E$6:$E$46,$K22))&amp;")"))</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IF($K23="","",IF(OR(INDEX('_found'!$C$6:$C$46,$K23)="",INDEX('_pockets'!$AN:$AN,INDEX('_found'!$E$6:$E$46,$K23))=""),INDEX('_found'!$C$6:$C$46,$K23),INDEX('_found'!$C$6:$C$46,$K23)&amp;" · borderline (p "&amp;INDEX('_pockets'!$AN:$AN,INDEX('_found'!$E$6:$E$46,$K23))&amp;")"))</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IF($K24="","",IF(OR(INDEX('_found'!$C$6:$C$46,$K24)="",INDEX('_pockets'!$AN:$AN,INDEX('_found'!$E$6:$E$46,$K24))=""),INDEX('_found'!$C$6:$C$46,$K24),INDEX('_found'!$C$6:$C$46,$K24)&amp;" · borderline (p "&amp;INDEX('_pockets'!$AN:$AN,INDEX('_found'!$E$6:$E$46,$K24))&amp;")"))</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SYS_FLAG</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inlineStr">
        <is>
          <t>SYS_FLAG</t>
        </is>
      </c>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1"/>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idden="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SYS_FLAG</t>
        </is>
      </c>
      <c r="C23" s="58" t="inlineStr">
        <is>
          <t>N, Y</t>
        </is>
      </c>
      <c r="D23" s="23" t="inlineStr">
        <is>
          <t>Category</t>
        </is>
      </c>
      <c r="E23" s="58" t="inlineStr">
        <is>
          <t>2 different values</t>
        </is>
      </c>
      <c r="F23" s="39" t="n">
        <v>0</v>
      </c>
      <c r="G23" s="31" t="n"/>
      <c r="H23" s="38" t="n"/>
      <c r="I23" s="59" t="n"/>
      <c r="J23" s="38" t="inlineStr">
        <is>
          <t>Yes · 1 Run</t>
        </is>
      </c>
      <c r="K23" s="23" t="inlineStr">
        <is>
          <t>No</t>
        </is>
      </c>
      <c r="L23" s="58" t="inlineStr">
        <is>
          <t>suggested as Category from its shape alone (2 different values). If it's something more specific, say so and it will be remembered.</t>
        </is>
      </c>
      <c r="M23" s="38" t="n"/>
      <c r="N23" s="38" t="n"/>
      <c r="O23" s="38" t="n"/>
      <c r="P23" s="31" t="n"/>
      <c r="Q23" t="inlineStr">
        <is>
          <t>category</t>
        </is>
      </c>
    </row>
    <row r="24">
      <c r="S24" t="inlineStr">
        <is>
          <t>table|end</t>
        </is>
      </c>
    </row>
    <row r="25"/>
    <row r="26" ht="20" customHeight="1">
      <c r="B26" s="25" t="inlineStr">
        <is>
          <t>Add a column: one divided by another</t>
        </is>
      </c>
      <c r="C26" s="26" t="n"/>
      <c r="D26" s="26" t="n"/>
      <c r="E26" s="26" t="n"/>
      <c r="F26" s="26" t="n"/>
      <c r="S26" t="inlineStr">
        <is>
          <t>derived|head</t>
        </is>
      </c>
    </row>
    <row r="27">
      <c r="B27" s="41" t="inlineStr">
        <is>
          <t>Shows here and on Look, and in Choose tests, once you press Set up again. Blank where the bottom is zero or blank.</t>
        </is>
      </c>
      <c r="S27" t="inlineStr">
        <is>
          <t>derived|note</t>
        </is>
      </c>
    </row>
    <row r="28">
      <c r="B28" s="29" t="inlineStr">
        <is>
          <t>New column name ↻</t>
        </is>
      </c>
      <c r="C28" s="29" t="inlineStr">
        <is>
          <t>Top (divided)</t>
        </is>
      </c>
      <c r="D28" s="29" t="inlineStr">
        <is>
          <t>Bottom (divided by)</t>
        </is>
      </c>
      <c r="E28" s="29" t="inlineStr">
        <is>
          <t>What it makes</t>
        </is>
      </c>
      <c r="S28" t="inlineStr">
        <is>
          <t>derived|cols</t>
        </is>
      </c>
    </row>
    <row r="29" ht="18" customHeight="1">
      <c r="B29" s="61" t="n"/>
      <c r="C29" s="61" t="n"/>
      <c r="D29" s="61" t="n"/>
      <c r="E29" s="62">
        <f>IF(COUNTA(B29:D29)=0,"",IF(COUNTA(B29:D29)&lt;3,"Needs a name, a top and a bottom.",B29&amp;" = "&amp;C29&amp;" ÷ "&amp;D29&amp;" on each loan."))</f>
        <v/>
      </c>
      <c r="F29" s="63" t="n"/>
      <c r="S29" t="inlineStr">
        <is>
          <t>derived|1</t>
        </is>
      </c>
    </row>
    <row r="30" ht="18" customHeight="1">
      <c r="B30" s="61" t="n"/>
      <c r="C30" s="61" t="n"/>
      <c r="D30" s="61" t="n"/>
      <c r="E30" s="62">
        <f>IF(COUNTA(B30:D30)=0,"",IF(COUNTA(B30:D30)&lt;3,"Needs a name, a top and a bottom.",B30&amp;" = "&amp;C30&amp;" ÷ "&amp;D30&amp;" on each loan."))</f>
        <v/>
      </c>
      <c r="F30" s="63" t="n"/>
      <c r="S30" t="inlineStr">
        <is>
          <t>derived|2</t>
        </is>
      </c>
    </row>
    <row r="31" ht="18" customHeight="1">
      <c r="B31" s="61" t="n"/>
      <c r="C31" s="61" t="n"/>
      <c r="D31" s="61" t="n"/>
      <c r="E31" s="62">
        <f>IF(COUNTA(B31:D31)=0,"",IF(COUNTA(B31:D31)&lt;3,"Needs a name, a top and a bottom.",B31&amp;" = "&amp;C31&amp;" ÷ "&amp;D31&amp;" on each loan."))</f>
        <v/>
      </c>
      <c r="F31" s="63" t="n"/>
      <c r="S31"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3">
    <cfRule type="expression" priority="2" dxfId="2">
      <formula>AND($S13&lt;&gt;"",$H13="")</formula>
    </cfRule>
  </conditionalFormatting>
  <conditionalFormatting sqref="L13:L23">
    <cfRule type="expression" priority="3" dxfId="2">
      <formula>L13&lt;&gt;""</formula>
    </cfRule>
  </conditionalFormatting>
  <conditionalFormatting sqref="B29:D29">
    <cfRule type="expression" priority="4" dxfId="2">
      <formula>AND(B29="",COUNTA($B29:$D29)&gt;0)</formula>
    </cfRule>
  </conditionalFormatting>
  <conditionalFormatting sqref="B30:D30">
    <cfRule type="expression" priority="5" dxfId="2">
      <formula>AND(B30="",COUNTA($B30:$D30)&gt;0)</formula>
    </cfRule>
  </conditionalFormatting>
  <conditionalFormatting sqref="B31:D31">
    <cfRule type="expression" priority="6" dxfId="2">
      <formula>AND(B31="",COUNTA($B31:$D31)&gt;0)</formula>
    </cfRule>
  </conditionalFormatting>
  <dataValidations count="7">
    <dataValidation sqref="C3" showDropDown="0" showInputMessage="0" showErrorMessage="1" allowBlank="1" type="list">
      <formula1>"Yes,No"</formula1>
    </dataValidation>
    <dataValidation sqref="D13 D14 D15 D16 D17 D18 D19 D20 D21 D22 D23" showDropDown="0" showInputMessage="0" showErrorMessage="1" allowBlank="0" error="Pick one of the meanings in the list." type="list">
      <formula1>='_meanings'!$A$1:$A$19</formula1>
    </dataValidation>
    <dataValidation sqref="N13 N14 N15 N16 N17 N18 N19 N20 N21 N22 N23" showDropDown="0" showInputMessage="0" showErrorMessage="1" allowBlank="1" type="list">
      <formula1>"median,average"</formula1>
    </dataValidation>
    <dataValidation sqref="O13 O14 O15 O16 O17 O18 O19 O20 O21 O22 O23"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K23" showDropDown="0" showInputMessage="0" showErrorMessage="1" allowBlank="1" type="list">
      <formula1>"No,Yes"</formula1>
    </dataValidation>
    <dataValidation sqref="C29 C30 C31 D29 D30 D31"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71"/>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772</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SYS_FLAG splits the pockets</t>
        </is>
      </c>
      <c r="C70" s="65" t="n"/>
      <c r="D70" s="65" t="n"/>
    </row>
    <row r="71" ht="17" customHeight="1">
      <c r="B71" s="71" t="inlineStr">
        <is>
          <t>SYS_FLAG isn't a number column, so it has no scatter. Pockets shows it value by value (Pockets: Split by SYS_FLAG).</t>
        </is>
      </c>
    </row>
  </sheetData>
  <mergeCells count="6">
    <mergeCell ref="C7:Q7"/>
    <mergeCell ref="C6:Q6"/>
    <mergeCell ref="B71:Q71"/>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1" manualBreakCount="1">
    <brk id="4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1"/>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5" customWidth="1" min="2" max="2"/>
    <col width="27" customWidth="1" min="3" max="3"/>
    <col width="20"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12"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SYS_FLAG: each pocket split by each value of SYS_FLAG, each part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3" ht="15" customHeight="1">
      <c r="C13" s="104" t="inlineStr">
        <is>
          <t>LINES IN USE NOW</t>
        </is>
      </c>
      <c r="D13" s="97" t="inlineStr">
        <is>
          <t>Worse at</t>
        </is>
      </c>
      <c r="E13" s="97" t="inlineStr">
        <is>
          <t>Better at</t>
        </is>
      </c>
      <c r="F13" s="97" t="inlineStr">
        <is>
          <t>How sure</t>
        </is>
      </c>
      <c r="G13" s="98" t="n"/>
      <c r="H13" s="97" t="inlineStr">
        <is>
          <t>Material at</t>
        </is>
      </c>
      <c r="I13" s="98" t="n"/>
      <c r="J13" s="97" t="inlineStr">
        <is>
          <t>Judged against</t>
        </is>
      </c>
      <c r="K13" s="105" t="inlineStr">
        <is>
          <t>Order and "Could have caught" are from the last Run, 2026-09-30 04:03.</t>
        </is>
      </c>
    </row>
    <row r="14" ht="22" customHeight="1">
      <c r="C14" s="106" t="inlineStr">
        <is>
          <t>live from Control</t>
        </is>
      </c>
      <c r="D14" s="107">
        <f>worse_at</f>
        <v/>
      </c>
      <c r="E14" s="107">
        <f>better_at</f>
        <v/>
      </c>
      <c r="F14" s="108">
        <f>confidence</f>
        <v/>
      </c>
      <c r="H14" s="11">
        <f>IFERROR(IF(materiality_kind="none","No floor",IF(INDEX(line_values,MATCH($U$17,line_keys,0))="","No line",IF($U$19,TEXT(INDEX(line_values,MATCH($U$17,line_keys,0)),"#,##0.0")&amp;" bad loans","$"&amp;TEXT(INDEX(line_values,MATCH($U$17,line_keys,0)),"#,##0")))),"")</f>
        <v/>
      </c>
      <c r="J14" s="11">
        <f>IF(judged_band,"Rest of its band","Rest of the book")</f>
        <v/>
      </c>
      <c r="K14" s="109">
        <f>IFERROR(IF(COUNTIF(Status,"↻ Waiting for a Run")=0,"","↻ "&amp;COUNTIF(Status,"↻ Waiting for a Run")&amp;IF(COUNTIF(Status,"↻ Waiting for a Run")=1," Control change waits for a Run."," Control changes wait for a Run.")),"")</f>
        <v/>
      </c>
    </row>
    <row r="16">
      <c r="C16" s="110" t="inlineStr">
        <is>
          <t>MEASURE</t>
        </is>
      </c>
      <c r="D16" s="110" t="inlineStr">
        <is>
          <t>POCKETS</t>
        </is>
      </c>
      <c r="E16" s="110" t="inlineStr">
        <is>
          <t>SHOW</t>
        </is>
      </c>
    </row>
    <row r="17" ht="20" customHeight="1">
      <c r="C17" s="32" t="inlineStr">
        <is>
          <t>Bad loans</t>
        </is>
      </c>
      <c r="D17" s="32" t="inlineStr">
        <is>
          <t>Two-way</t>
        </is>
      </c>
      <c r="E17" s="32" t="inlineStr">
        <is>
          <t>All</t>
        </is>
      </c>
      <c r="F17" s="111">
        <f>IFERROR(COUNTIFS('_list'!$A$2:$A$676,'Pockets'!$D$17,'_list'!$B$2:$B$676,'Pockets'!$C$17,'_list'!$K$2:$K$676,"Yes",'_list'!$L$2:$L$676,"Yes")&amp;" worse and material · "&amp;COUNTIFS('_list'!$A$2:$A$676,'Pockets'!$D$17,'_list'!$B$2:$B$676,'Pockets'!$C$17,'_list'!$K$2:$K$676,"Yes")&amp;" worse · "&amp;SUM('_list'!$M$2:$M$676)&amp;" shown","")</f>
        <v/>
      </c>
      <c r="U17">
        <f>IFERROR(INDEX('_choices'!$B$2:$B$6,MATCH('Pockets'!$C$17,'_choices'!$A$2:$A$6,0)),"")</f>
        <v/>
      </c>
    </row>
    <row r="18">
      <c r="U18">
        <f>IFERROR(INDEX('_choices'!$C$2:$C$6,MATCH('Pockets'!$C$17,'_choices'!$A$2:$A$6,0))=1,FALSE)</f>
        <v/>
      </c>
    </row>
    <row r="19" ht="18" customHeight="1">
      <c r="B19" s="56" t="inlineStr">
        <is>
          <t>#</t>
        </is>
      </c>
      <c r="C19" s="55" t="inlineStr">
        <is>
          <t>Band</t>
        </is>
      </c>
      <c r="D19" s="55" t="inlineStr">
        <is>
          <t>Segment</t>
        </is>
      </c>
      <c r="E19" s="55">
        <f>IF('Pockets'!$D$17="Two-way","","SYS_FLAG")</f>
        <v/>
      </c>
      <c r="F19" s="56" t="inlineStr">
        <is>
          <t>Loans</t>
        </is>
      </c>
      <c r="G19" s="56" t="inlineStr">
        <is>
          <t>This pocket</t>
        </is>
      </c>
      <c r="H19" s="56">
        <f>IF(judged_band,"Rest of band","Rest of book")</f>
        <v/>
      </c>
      <c r="I19" s="56">
        <f>IF($U$18,"Gap in pts",IF(judged_band,"× rest of band","× rest of book"))</f>
        <v/>
      </c>
      <c r="J19" s="56">
        <f>IF($U$19,"Bad loans above share",IF($U$18,IF(judged_band,"Dollars short of band","Dollars short of book"),"Dollars above share"))</f>
        <v/>
      </c>
      <c r="K19" s="56" t="inlineStr">
        <is>
          <t>Worse?</t>
        </is>
      </c>
      <c r="L19" s="56" t="inlineStr">
        <is>
          <t>p-value</t>
        </is>
      </c>
      <c r="M19" s="56" t="inlineStr">
        <is>
          <t>Material?</t>
        </is>
      </c>
      <c r="N19" s="56" t="inlineStr">
        <is>
          <t>Could have caught</t>
        </is>
      </c>
      <c r="O19" s="56" t="inlineStr"/>
      <c r="U19">
        <f>IFERROR(INDEX('_choices'!$D$2:$D$6,MATCH('Pockets'!$C$17,'_choices'!$A$2:$A$6,0))=1,FALSE)</f>
        <v/>
      </c>
    </row>
    <row r="20" ht="16" customHeight="1">
      <c r="B20" s="112">
        <f>IF($R20="","",1)</f>
        <v/>
      </c>
      <c r="C20" s="113">
        <f>IF($R20="","",IF(INDEX('_list'!$D$2:$D$676,$R20)="","",INDEX('_list'!$D$2:$D$676,$R20)))</f>
        <v/>
      </c>
      <c r="D20" s="113">
        <f>IF($R20="","",IF(INDEX('_list'!$E$2:$E$676,$R20)="","",INDEX('_list'!$E$2:$E$676,$R20)))</f>
        <v/>
      </c>
      <c r="E20" s="113">
        <f>IF($R20="","",IF(INDEX('_list'!$F$2:$F$676,$R20)="","",INDEX('_list'!$F$2:$F$676,$R20)))</f>
        <v/>
      </c>
      <c r="F20" s="114">
        <f>IF($R20="","",IF(INDEX('_list'!$G$2:$G$676,$R20)="","",INDEX('_list'!$G$2:$G$676,$R20)))</f>
        <v/>
      </c>
      <c r="G20" s="115">
        <f>IF($S20="","",IF(INDEX('_pockets'!$AH:$AH,$S20)="","",INDEX('_pockets'!$AH:$AH,$S20)))</f>
        <v/>
      </c>
      <c r="H20" s="115">
        <f>IF($S20="","",IF(INDEX('_pockets'!$AF:$AF,$S20)="","",INDEX('_pockets'!$AF:$AF,$S20)))</f>
        <v/>
      </c>
      <c r="I20" s="116">
        <f>IF(IF($S20="","",IF(INDEX('_pockets'!$AB:$AB,$S20)="","",INDEX('_pockets'!$AB:$AB,$S20)))="","",IF($S20="","",IF(INDEX('_pockets'!$AB:$AB,$S20)="","",INDEX('_pockets'!$AB:$AB,$S20)))*IF($U$18,100,1))</f>
        <v/>
      </c>
      <c r="J20" s="114">
        <f>IF($S20="","",IF(INDEX('_pockets'!$Z:$Z,$S20)="","",INDEX('_pockets'!$Z:$Z,$S20)))</f>
        <v/>
      </c>
      <c r="K20" s="117">
        <f>IF($S20="","",IF(INDEX('_pockets'!$AO:$AO,$S20)="","",INDEX('_pockets'!$AO:$AO,$S20)))</f>
        <v/>
      </c>
      <c r="L20" s="118">
        <f>IF($S20="","",IF(INDEX('_pockets'!$AC:$AC,$S20)="","",INDEX('_pockets'!$AC:$AC,$S20)))</f>
        <v/>
      </c>
      <c r="M20" s="117">
        <f>IF($R20="","",IF(INDEX('_list'!$L$2:$L$676,$R20)="","",INDEX('_list'!$L$2:$L$676,$R20)))</f>
        <v/>
      </c>
      <c r="N20" s="116">
        <f>IF($R20="","",IF(INDEX('_list'!$H$2:$H$676,$R20)="","",INDEX('_list'!$H$2:$H$676,$R20)))</f>
        <v/>
      </c>
      <c r="O20" s="113">
        <f>IF($R20="","",IF(INDEX('_list'!$I$2:$I$676,$R20)="","",INDEX('_list'!$I$2:$I$676,$R20)))</f>
        <v/>
      </c>
      <c r="R20">
        <f>IFERROR(MATCH(1,'_list'!$N$2:$N$676,0),"")</f>
        <v/>
      </c>
      <c r="S20">
        <f>IF($R20="","",INDEX('_list'!$C$2:$C$676,$R20))</f>
        <v/>
      </c>
    </row>
    <row r="21" ht="16" customHeight="1">
      <c r="B21" s="112">
        <f>IF($R21="","",2)</f>
        <v/>
      </c>
      <c r="C21" s="113">
        <f>IF($R21="","",IF(INDEX('_list'!$D$2:$D$676,$R21)="","",INDEX('_list'!$D$2:$D$676,$R21)))</f>
        <v/>
      </c>
      <c r="D21" s="113">
        <f>IF($R21="","",IF(INDEX('_list'!$E$2:$E$676,$R21)="","",INDEX('_list'!$E$2:$E$676,$R21)))</f>
        <v/>
      </c>
      <c r="E21" s="113">
        <f>IF($R21="","",IF(INDEX('_list'!$F$2:$F$676,$R21)="","",INDEX('_list'!$F$2:$F$676,$R21)))</f>
        <v/>
      </c>
      <c r="F21" s="114">
        <f>IF($R21="","",IF(INDEX('_list'!$G$2:$G$676,$R21)="","",INDEX('_list'!$G$2:$G$676,$R21)))</f>
        <v/>
      </c>
      <c r="G21" s="115">
        <f>IF($S21="","",IF(INDEX('_pockets'!$AH:$AH,$S21)="","",INDEX('_pockets'!$AH:$AH,$S21)))</f>
        <v/>
      </c>
      <c r="H21" s="115">
        <f>IF($S21="","",IF(INDEX('_pockets'!$AF:$AF,$S21)="","",INDEX('_pockets'!$AF:$AF,$S21)))</f>
        <v/>
      </c>
      <c r="I21" s="116">
        <f>IF(IF($S21="","",IF(INDEX('_pockets'!$AB:$AB,$S21)="","",INDEX('_pockets'!$AB:$AB,$S21)))="","",IF($S21="","",IF(INDEX('_pockets'!$AB:$AB,$S21)="","",INDEX('_pockets'!$AB:$AB,$S21)))*IF($U$18,100,1))</f>
        <v/>
      </c>
      <c r="J21" s="114">
        <f>IF($S21="","",IF(INDEX('_pockets'!$Z:$Z,$S21)="","",INDEX('_pockets'!$Z:$Z,$S21)))</f>
        <v/>
      </c>
      <c r="K21" s="117">
        <f>IF($S21="","",IF(INDEX('_pockets'!$AO:$AO,$S21)="","",INDEX('_pockets'!$AO:$AO,$S21)))</f>
        <v/>
      </c>
      <c r="L21" s="118">
        <f>IF($S21="","",IF(INDEX('_pockets'!$AC:$AC,$S21)="","",INDEX('_pockets'!$AC:$AC,$S21)))</f>
        <v/>
      </c>
      <c r="M21" s="117">
        <f>IF($R21="","",IF(INDEX('_list'!$L$2:$L$676,$R21)="","",INDEX('_list'!$L$2:$L$676,$R21)))</f>
        <v/>
      </c>
      <c r="N21" s="116">
        <f>IF($R21="","",IF(INDEX('_list'!$H$2:$H$676,$R21)="","",INDEX('_list'!$H$2:$H$676,$R21)))</f>
        <v/>
      </c>
      <c r="O21" s="113">
        <f>IF($R21="","",IF(INDEX('_list'!$I$2:$I$676,$R21)="","",INDEX('_list'!$I$2:$I$676,$R21)))</f>
        <v/>
      </c>
      <c r="R21">
        <f>IFERROR(MATCH(2,'_list'!$N$2:$N$676,0),"")</f>
        <v/>
      </c>
      <c r="S21">
        <f>IF($R21="","",INDEX('_list'!$C$2:$C$676,$R21))</f>
        <v/>
      </c>
    </row>
    <row r="22" ht="16" customHeight="1">
      <c r="B22" s="112">
        <f>IF($R22="","",3)</f>
        <v/>
      </c>
      <c r="C22" s="113">
        <f>IF($R22="","",IF(INDEX('_list'!$D$2:$D$676,$R22)="","",INDEX('_list'!$D$2:$D$676,$R22)))</f>
        <v/>
      </c>
      <c r="D22" s="113">
        <f>IF($R22="","",IF(INDEX('_list'!$E$2:$E$676,$R22)="","",INDEX('_list'!$E$2:$E$676,$R22)))</f>
        <v/>
      </c>
      <c r="E22" s="113">
        <f>IF($R22="","",IF(INDEX('_list'!$F$2:$F$676,$R22)="","",INDEX('_list'!$F$2:$F$676,$R22)))</f>
        <v/>
      </c>
      <c r="F22" s="114">
        <f>IF($R22="","",IF(INDEX('_list'!$G$2:$G$676,$R22)="","",INDEX('_list'!$G$2:$G$676,$R22)))</f>
        <v/>
      </c>
      <c r="G22" s="115">
        <f>IF($S22="","",IF(INDEX('_pockets'!$AH:$AH,$S22)="","",INDEX('_pockets'!$AH:$AH,$S22)))</f>
        <v/>
      </c>
      <c r="H22" s="115">
        <f>IF($S22="","",IF(INDEX('_pockets'!$AF:$AF,$S22)="","",INDEX('_pockets'!$AF:$AF,$S22)))</f>
        <v/>
      </c>
      <c r="I22" s="116">
        <f>IF(IF($S22="","",IF(INDEX('_pockets'!$AB:$AB,$S22)="","",INDEX('_pockets'!$AB:$AB,$S22)))="","",IF($S22="","",IF(INDEX('_pockets'!$AB:$AB,$S22)="","",INDEX('_pockets'!$AB:$AB,$S22)))*IF($U$18,100,1))</f>
        <v/>
      </c>
      <c r="J22" s="114">
        <f>IF($S22="","",IF(INDEX('_pockets'!$Z:$Z,$S22)="","",INDEX('_pockets'!$Z:$Z,$S22)))</f>
        <v/>
      </c>
      <c r="K22" s="117">
        <f>IF($S22="","",IF(INDEX('_pockets'!$AO:$AO,$S22)="","",INDEX('_pockets'!$AO:$AO,$S22)))</f>
        <v/>
      </c>
      <c r="L22" s="118">
        <f>IF($S22="","",IF(INDEX('_pockets'!$AC:$AC,$S22)="","",INDEX('_pockets'!$AC:$AC,$S22)))</f>
        <v/>
      </c>
      <c r="M22" s="117">
        <f>IF($R22="","",IF(INDEX('_list'!$L$2:$L$676,$R22)="","",INDEX('_list'!$L$2:$L$676,$R22)))</f>
        <v/>
      </c>
      <c r="N22" s="116">
        <f>IF($R22="","",IF(INDEX('_list'!$H$2:$H$676,$R22)="","",INDEX('_list'!$H$2:$H$676,$R22)))</f>
        <v/>
      </c>
      <c r="O22" s="113">
        <f>IF($R22="","",IF(INDEX('_list'!$I$2:$I$676,$R22)="","",INDEX('_list'!$I$2:$I$676,$R22)))</f>
        <v/>
      </c>
      <c r="R22">
        <f>IFERROR(MATCH(3,'_list'!$N$2:$N$676,0),"")</f>
        <v/>
      </c>
      <c r="S22">
        <f>IF($R22="","",INDEX('_list'!$C$2:$C$676,$R22))</f>
        <v/>
      </c>
    </row>
    <row r="23" ht="16" customHeight="1">
      <c r="B23" s="112">
        <f>IF($R23="","",4)</f>
        <v/>
      </c>
      <c r="C23" s="113">
        <f>IF($R23="","",IF(INDEX('_list'!$D$2:$D$676,$R23)="","",INDEX('_list'!$D$2:$D$676,$R23)))</f>
        <v/>
      </c>
      <c r="D23" s="113">
        <f>IF($R23="","",IF(INDEX('_list'!$E$2:$E$676,$R23)="","",INDEX('_list'!$E$2:$E$676,$R23)))</f>
        <v/>
      </c>
      <c r="E23" s="113">
        <f>IF($R23="","",IF(INDEX('_list'!$F$2:$F$676,$R23)="","",INDEX('_list'!$F$2:$F$676,$R23)))</f>
        <v/>
      </c>
      <c r="F23" s="114">
        <f>IF($R23="","",IF(INDEX('_list'!$G$2:$G$676,$R23)="","",INDEX('_list'!$G$2:$G$676,$R23)))</f>
        <v/>
      </c>
      <c r="G23" s="115">
        <f>IF($S23="","",IF(INDEX('_pockets'!$AH:$AH,$S23)="","",INDEX('_pockets'!$AH:$AH,$S23)))</f>
        <v/>
      </c>
      <c r="H23" s="115">
        <f>IF($S23="","",IF(INDEX('_pockets'!$AF:$AF,$S23)="","",INDEX('_pockets'!$AF:$AF,$S23)))</f>
        <v/>
      </c>
      <c r="I23" s="116">
        <f>IF(IF($S23="","",IF(INDEX('_pockets'!$AB:$AB,$S23)="","",INDEX('_pockets'!$AB:$AB,$S23)))="","",IF($S23="","",IF(INDEX('_pockets'!$AB:$AB,$S23)="","",INDEX('_pockets'!$AB:$AB,$S23)))*IF($U$18,100,1))</f>
        <v/>
      </c>
      <c r="J23" s="114">
        <f>IF($S23="","",IF(INDEX('_pockets'!$Z:$Z,$S23)="","",INDEX('_pockets'!$Z:$Z,$S23)))</f>
        <v/>
      </c>
      <c r="K23" s="117">
        <f>IF($S23="","",IF(INDEX('_pockets'!$AO:$AO,$S23)="","",INDEX('_pockets'!$AO:$AO,$S23)))</f>
        <v/>
      </c>
      <c r="L23" s="118">
        <f>IF($S23="","",IF(INDEX('_pockets'!$AC:$AC,$S23)="","",INDEX('_pockets'!$AC:$AC,$S23)))</f>
        <v/>
      </c>
      <c r="M23" s="117">
        <f>IF($R23="","",IF(INDEX('_list'!$L$2:$L$676,$R23)="","",INDEX('_list'!$L$2:$L$676,$R23)))</f>
        <v/>
      </c>
      <c r="N23" s="116">
        <f>IF($R23="","",IF(INDEX('_list'!$H$2:$H$676,$R23)="","",INDEX('_list'!$H$2:$H$676,$R23)))</f>
        <v/>
      </c>
      <c r="O23" s="113">
        <f>IF($R23="","",IF(INDEX('_list'!$I$2:$I$676,$R23)="","",INDEX('_list'!$I$2:$I$676,$R23)))</f>
        <v/>
      </c>
      <c r="R23">
        <f>IFERROR(MATCH(4,'_list'!$N$2:$N$676,0),"")</f>
        <v/>
      </c>
      <c r="S23">
        <f>IF($R23="","",INDEX('_list'!$C$2:$C$676,$R23))</f>
        <v/>
      </c>
    </row>
    <row r="24" ht="16" customHeight="1">
      <c r="B24" s="112">
        <f>IF($R24="","",5)</f>
        <v/>
      </c>
      <c r="C24" s="113">
        <f>IF($R24="","",IF(INDEX('_list'!$D$2:$D$676,$R24)="","",INDEX('_list'!$D$2:$D$676,$R24)))</f>
        <v/>
      </c>
      <c r="D24" s="113">
        <f>IF($R24="","",IF(INDEX('_list'!$E$2:$E$676,$R24)="","",INDEX('_list'!$E$2:$E$676,$R24)))</f>
        <v/>
      </c>
      <c r="E24" s="113">
        <f>IF($R24="","",IF(INDEX('_list'!$F$2:$F$676,$R24)="","",INDEX('_list'!$F$2:$F$676,$R24)))</f>
        <v/>
      </c>
      <c r="F24" s="114">
        <f>IF($R24="","",IF(INDEX('_list'!$G$2:$G$676,$R24)="","",INDEX('_list'!$G$2:$G$676,$R24)))</f>
        <v/>
      </c>
      <c r="G24" s="115">
        <f>IF($S24="","",IF(INDEX('_pockets'!$AH:$AH,$S24)="","",INDEX('_pockets'!$AH:$AH,$S24)))</f>
        <v/>
      </c>
      <c r="H24" s="115">
        <f>IF($S24="","",IF(INDEX('_pockets'!$AF:$AF,$S24)="","",INDEX('_pockets'!$AF:$AF,$S24)))</f>
        <v/>
      </c>
      <c r="I24" s="116">
        <f>IF(IF($S24="","",IF(INDEX('_pockets'!$AB:$AB,$S24)="","",INDEX('_pockets'!$AB:$AB,$S24)))="","",IF($S24="","",IF(INDEX('_pockets'!$AB:$AB,$S24)="","",INDEX('_pockets'!$AB:$AB,$S24)))*IF($U$18,100,1))</f>
        <v/>
      </c>
      <c r="J24" s="114">
        <f>IF($S24="","",IF(INDEX('_pockets'!$Z:$Z,$S24)="","",INDEX('_pockets'!$Z:$Z,$S24)))</f>
        <v/>
      </c>
      <c r="K24" s="117">
        <f>IF($S24="","",IF(INDEX('_pockets'!$AO:$AO,$S24)="","",INDEX('_pockets'!$AO:$AO,$S24)))</f>
        <v/>
      </c>
      <c r="L24" s="118">
        <f>IF($S24="","",IF(INDEX('_pockets'!$AC:$AC,$S24)="","",INDEX('_pockets'!$AC:$AC,$S24)))</f>
        <v/>
      </c>
      <c r="M24" s="117">
        <f>IF($R24="","",IF(INDEX('_list'!$L$2:$L$676,$R24)="","",INDEX('_list'!$L$2:$L$676,$R24)))</f>
        <v/>
      </c>
      <c r="N24" s="116">
        <f>IF($R24="","",IF(INDEX('_list'!$H$2:$H$676,$R24)="","",INDEX('_list'!$H$2:$H$676,$R24)))</f>
        <v/>
      </c>
      <c r="O24" s="113">
        <f>IF($R24="","",IF(INDEX('_list'!$I$2:$I$676,$R24)="","",INDEX('_list'!$I$2:$I$676,$R24)))</f>
        <v/>
      </c>
      <c r="R24">
        <f>IFERROR(MATCH(5,'_list'!$N$2:$N$676,0),"")</f>
        <v/>
      </c>
      <c r="S24">
        <f>IF($R24="","",INDEX('_list'!$C$2:$C$676,$R24))</f>
        <v/>
      </c>
    </row>
    <row r="25" ht="16" customHeight="1">
      <c r="B25" s="112">
        <f>IF($R25="","",6)</f>
        <v/>
      </c>
      <c r="C25" s="113">
        <f>IF($R25="","",IF(INDEX('_list'!$D$2:$D$676,$R25)="","",INDEX('_list'!$D$2:$D$676,$R25)))</f>
        <v/>
      </c>
      <c r="D25" s="113">
        <f>IF($R25="","",IF(INDEX('_list'!$E$2:$E$676,$R25)="","",INDEX('_list'!$E$2:$E$676,$R25)))</f>
        <v/>
      </c>
      <c r="E25" s="113">
        <f>IF($R25="","",IF(INDEX('_list'!$F$2:$F$676,$R25)="","",INDEX('_list'!$F$2:$F$676,$R25)))</f>
        <v/>
      </c>
      <c r="F25" s="114">
        <f>IF($R25="","",IF(INDEX('_list'!$G$2:$G$676,$R25)="","",INDEX('_list'!$G$2:$G$676,$R25)))</f>
        <v/>
      </c>
      <c r="G25" s="115">
        <f>IF($S25="","",IF(INDEX('_pockets'!$AH:$AH,$S25)="","",INDEX('_pockets'!$AH:$AH,$S25)))</f>
        <v/>
      </c>
      <c r="H25" s="115">
        <f>IF($S25="","",IF(INDEX('_pockets'!$AF:$AF,$S25)="","",INDEX('_pockets'!$AF:$AF,$S25)))</f>
        <v/>
      </c>
      <c r="I25" s="116">
        <f>IF(IF($S25="","",IF(INDEX('_pockets'!$AB:$AB,$S25)="","",INDEX('_pockets'!$AB:$AB,$S25)))="","",IF($S25="","",IF(INDEX('_pockets'!$AB:$AB,$S25)="","",INDEX('_pockets'!$AB:$AB,$S25)))*IF($U$18,100,1))</f>
        <v/>
      </c>
      <c r="J25" s="114">
        <f>IF($S25="","",IF(INDEX('_pockets'!$Z:$Z,$S25)="","",INDEX('_pockets'!$Z:$Z,$S25)))</f>
        <v/>
      </c>
      <c r="K25" s="117">
        <f>IF($S25="","",IF(INDEX('_pockets'!$AO:$AO,$S25)="","",INDEX('_pockets'!$AO:$AO,$S25)))</f>
        <v/>
      </c>
      <c r="L25" s="118">
        <f>IF($S25="","",IF(INDEX('_pockets'!$AC:$AC,$S25)="","",INDEX('_pockets'!$AC:$AC,$S25)))</f>
        <v/>
      </c>
      <c r="M25" s="117">
        <f>IF($R25="","",IF(INDEX('_list'!$L$2:$L$676,$R25)="","",INDEX('_list'!$L$2:$L$676,$R25)))</f>
        <v/>
      </c>
      <c r="N25" s="116">
        <f>IF($R25="","",IF(INDEX('_list'!$H$2:$H$676,$R25)="","",INDEX('_list'!$H$2:$H$676,$R25)))</f>
        <v/>
      </c>
      <c r="O25" s="113">
        <f>IF($R25="","",IF(INDEX('_list'!$I$2:$I$676,$R25)="","",INDEX('_list'!$I$2:$I$676,$R25)))</f>
        <v/>
      </c>
      <c r="R25">
        <f>IFERROR(MATCH(6,'_list'!$N$2:$N$676,0),"")</f>
        <v/>
      </c>
      <c r="S25">
        <f>IF($R25="","",INDEX('_list'!$C$2:$C$676,$R25))</f>
        <v/>
      </c>
    </row>
    <row r="26" ht="16" customHeight="1">
      <c r="B26" s="112">
        <f>IF($R26="","",7)</f>
        <v/>
      </c>
      <c r="C26" s="113">
        <f>IF($R26="","",IF(INDEX('_list'!$D$2:$D$676,$R26)="","",INDEX('_list'!$D$2:$D$676,$R26)))</f>
        <v/>
      </c>
      <c r="D26" s="113">
        <f>IF($R26="","",IF(INDEX('_list'!$E$2:$E$676,$R26)="","",INDEX('_list'!$E$2:$E$676,$R26)))</f>
        <v/>
      </c>
      <c r="E26" s="113">
        <f>IF($R26="","",IF(INDEX('_list'!$F$2:$F$676,$R26)="","",INDEX('_list'!$F$2:$F$676,$R26)))</f>
        <v/>
      </c>
      <c r="F26" s="114">
        <f>IF($R26="","",IF(INDEX('_list'!$G$2:$G$676,$R26)="","",INDEX('_list'!$G$2:$G$676,$R26)))</f>
        <v/>
      </c>
      <c r="G26" s="115">
        <f>IF($S26="","",IF(INDEX('_pockets'!$AH:$AH,$S26)="","",INDEX('_pockets'!$AH:$AH,$S26)))</f>
        <v/>
      </c>
      <c r="H26" s="115">
        <f>IF($S26="","",IF(INDEX('_pockets'!$AF:$AF,$S26)="","",INDEX('_pockets'!$AF:$AF,$S26)))</f>
        <v/>
      </c>
      <c r="I26" s="116">
        <f>IF(IF($S26="","",IF(INDEX('_pockets'!$AB:$AB,$S26)="","",INDEX('_pockets'!$AB:$AB,$S26)))="","",IF($S26="","",IF(INDEX('_pockets'!$AB:$AB,$S26)="","",INDEX('_pockets'!$AB:$AB,$S26)))*IF($U$18,100,1))</f>
        <v/>
      </c>
      <c r="J26" s="114">
        <f>IF($S26="","",IF(INDEX('_pockets'!$Z:$Z,$S26)="","",INDEX('_pockets'!$Z:$Z,$S26)))</f>
        <v/>
      </c>
      <c r="K26" s="117">
        <f>IF($S26="","",IF(INDEX('_pockets'!$AO:$AO,$S26)="","",INDEX('_pockets'!$AO:$AO,$S26)))</f>
        <v/>
      </c>
      <c r="L26" s="118">
        <f>IF($S26="","",IF(INDEX('_pockets'!$AC:$AC,$S26)="","",INDEX('_pockets'!$AC:$AC,$S26)))</f>
        <v/>
      </c>
      <c r="M26" s="117">
        <f>IF($R26="","",IF(INDEX('_list'!$L$2:$L$676,$R26)="","",INDEX('_list'!$L$2:$L$676,$R26)))</f>
        <v/>
      </c>
      <c r="N26" s="116">
        <f>IF($R26="","",IF(INDEX('_list'!$H$2:$H$676,$R26)="","",INDEX('_list'!$H$2:$H$676,$R26)))</f>
        <v/>
      </c>
      <c r="O26" s="113">
        <f>IF($R26="","",IF(INDEX('_list'!$I$2:$I$676,$R26)="","",INDEX('_list'!$I$2:$I$676,$R26)))</f>
        <v/>
      </c>
      <c r="R26">
        <f>IFERROR(MATCH(7,'_list'!$N$2:$N$676,0),"")</f>
        <v/>
      </c>
      <c r="S26">
        <f>IF($R26="","",INDEX('_list'!$C$2:$C$676,$R26))</f>
        <v/>
      </c>
    </row>
    <row r="27" ht="16" customHeight="1">
      <c r="B27" s="112">
        <f>IF($R27="","",8)</f>
        <v/>
      </c>
      <c r="C27" s="113">
        <f>IF($R27="","",IF(INDEX('_list'!$D$2:$D$676,$R27)="","",INDEX('_list'!$D$2:$D$676,$R27)))</f>
        <v/>
      </c>
      <c r="D27" s="113">
        <f>IF($R27="","",IF(INDEX('_list'!$E$2:$E$676,$R27)="","",INDEX('_list'!$E$2:$E$676,$R27)))</f>
        <v/>
      </c>
      <c r="E27" s="113">
        <f>IF($R27="","",IF(INDEX('_list'!$F$2:$F$676,$R27)="","",INDEX('_list'!$F$2:$F$676,$R27)))</f>
        <v/>
      </c>
      <c r="F27" s="114">
        <f>IF($R27="","",IF(INDEX('_list'!$G$2:$G$676,$R27)="","",INDEX('_list'!$G$2:$G$676,$R27)))</f>
        <v/>
      </c>
      <c r="G27" s="115">
        <f>IF($S27="","",IF(INDEX('_pockets'!$AH:$AH,$S27)="","",INDEX('_pockets'!$AH:$AH,$S27)))</f>
        <v/>
      </c>
      <c r="H27" s="115">
        <f>IF($S27="","",IF(INDEX('_pockets'!$AF:$AF,$S27)="","",INDEX('_pockets'!$AF:$AF,$S27)))</f>
        <v/>
      </c>
      <c r="I27" s="116">
        <f>IF(IF($S27="","",IF(INDEX('_pockets'!$AB:$AB,$S27)="","",INDEX('_pockets'!$AB:$AB,$S27)))="","",IF($S27="","",IF(INDEX('_pockets'!$AB:$AB,$S27)="","",INDEX('_pockets'!$AB:$AB,$S27)))*IF($U$18,100,1))</f>
        <v/>
      </c>
      <c r="J27" s="114">
        <f>IF($S27="","",IF(INDEX('_pockets'!$Z:$Z,$S27)="","",INDEX('_pockets'!$Z:$Z,$S27)))</f>
        <v/>
      </c>
      <c r="K27" s="117">
        <f>IF($S27="","",IF(INDEX('_pockets'!$AO:$AO,$S27)="","",INDEX('_pockets'!$AO:$AO,$S27)))</f>
        <v/>
      </c>
      <c r="L27" s="118">
        <f>IF($S27="","",IF(INDEX('_pockets'!$AC:$AC,$S27)="","",INDEX('_pockets'!$AC:$AC,$S27)))</f>
        <v/>
      </c>
      <c r="M27" s="117">
        <f>IF($R27="","",IF(INDEX('_list'!$L$2:$L$676,$R27)="","",INDEX('_list'!$L$2:$L$676,$R27)))</f>
        <v/>
      </c>
      <c r="N27" s="116">
        <f>IF($R27="","",IF(INDEX('_list'!$H$2:$H$676,$R27)="","",INDEX('_list'!$H$2:$H$676,$R27)))</f>
        <v/>
      </c>
      <c r="O27" s="113">
        <f>IF($R27="","",IF(INDEX('_list'!$I$2:$I$676,$R27)="","",INDEX('_list'!$I$2:$I$676,$R27)))</f>
        <v/>
      </c>
      <c r="R27">
        <f>IFERROR(MATCH(8,'_list'!$N$2:$N$676,0),"")</f>
        <v/>
      </c>
      <c r="S27">
        <f>IF($R27="","",INDEX('_list'!$C$2:$C$676,$R27))</f>
        <v/>
      </c>
    </row>
    <row r="28" ht="16" customHeight="1">
      <c r="B28" s="112">
        <f>IF($R28="","",9)</f>
        <v/>
      </c>
      <c r="C28" s="113">
        <f>IF($R28="","",IF(INDEX('_list'!$D$2:$D$676,$R28)="","",INDEX('_list'!$D$2:$D$676,$R28)))</f>
        <v/>
      </c>
      <c r="D28" s="113">
        <f>IF($R28="","",IF(INDEX('_list'!$E$2:$E$676,$R28)="","",INDEX('_list'!$E$2:$E$676,$R28)))</f>
        <v/>
      </c>
      <c r="E28" s="113">
        <f>IF($R28="","",IF(INDEX('_list'!$F$2:$F$676,$R28)="","",INDEX('_list'!$F$2:$F$676,$R28)))</f>
        <v/>
      </c>
      <c r="F28" s="114">
        <f>IF($R28="","",IF(INDEX('_list'!$G$2:$G$676,$R28)="","",INDEX('_list'!$G$2:$G$676,$R28)))</f>
        <v/>
      </c>
      <c r="G28" s="115">
        <f>IF($S28="","",IF(INDEX('_pockets'!$AH:$AH,$S28)="","",INDEX('_pockets'!$AH:$AH,$S28)))</f>
        <v/>
      </c>
      <c r="H28" s="115">
        <f>IF($S28="","",IF(INDEX('_pockets'!$AF:$AF,$S28)="","",INDEX('_pockets'!$AF:$AF,$S28)))</f>
        <v/>
      </c>
      <c r="I28" s="116">
        <f>IF(IF($S28="","",IF(INDEX('_pockets'!$AB:$AB,$S28)="","",INDEX('_pockets'!$AB:$AB,$S28)))="","",IF($S28="","",IF(INDEX('_pockets'!$AB:$AB,$S28)="","",INDEX('_pockets'!$AB:$AB,$S28)))*IF($U$18,100,1))</f>
        <v/>
      </c>
      <c r="J28" s="114">
        <f>IF($S28="","",IF(INDEX('_pockets'!$Z:$Z,$S28)="","",INDEX('_pockets'!$Z:$Z,$S28)))</f>
        <v/>
      </c>
      <c r="K28" s="117">
        <f>IF($S28="","",IF(INDEX('_pockets'!$AO:$AO,$S28)="","",INDEX('_pockets'!$AO:$AO,$S28)))</f>
        <v/>
      </c>
      <c r="L28" s="118">
        <f>IF($S28="","",IF(INDEX('_pockets'!$AC:$AC,$S28)="","",INDEX('_pockets'!$AC:$AC,$S28)))</f>
        <v/>
      </c>
      <c r="M28" s="117">
        <f>IF($R28="","",IF(INDEX('_list'!$L$2:$L$676,$R28)="","",INDEX('_list'!$L$2:$L$676,$R28)))</f>
        <v/>
      </c>
      <c r="N28" s="116">
        <f>IF($R28="","",IF(INDEX('_list'!$H$2:$H$676,$R28)="","",INDEX('_list'!$H$2:$H$676,$R28)))</f>
        <v/>
      </c>
      <c r="O28" s="113">
        <f>IF($R28="","",IF(INDEX('_list'!$I$2:$I$676,$R28)="","",INDEX('_list'!$I$2:$I$676,$R28)))</f>
        <v/>
      </c>
      <c r="R28">
        <f>IFERROR(MATCH(9,'_list'!$N$2:$N$676,0),"")</f>
        <v/>
      </c>
      <c r="S28">
        <f>IF($R28="","",INDEX('_list'!$C$2:$C$676,$R28))</f>
        <v/>
      </c>
    </row>
    <row r="29" ht="16" customHeight="1">
      <c r="B29" s="112">
        <f>IF($R29="","",10)</f>
        <v/>
      </c>
      <c r="C29" s="113">
        <f>IF($R29="","",IF(INDEX('_list'!$D$2:$D$676,$R29)="","",INDEX('_list'!$D$2:$D$676,$R29)))</f>
        <v/>
      </c>
      <c r="D29" s="113">
        <f>IF($R29="","",IF(INDEX('_list'!$E$2:$E$676,$R29)="","",INDEX('_list'!$E$2:$E$676,$R29)))</f>
        <v/>
      </c>
      <c r="E29" s="113">
        <f>IF($R29="","",IF(INDEX('_list'!$F$2:$F$676,$R29)="","",INDEX('_list'!$F$2:$F$676,$R29)))</f>
        <v/>
      </c>
      <c r="F29" s="114">
        <f>IF($R29="","",IF(INDEX('_list'!$G$2:$G$676,$R29)="","",INDEX('_list'!$G$2:$G$676,$R29)))</f>
        <v/>
      </c>
      <c r="G29" s="115">
        <f>IF($S29="","",IF(INDEX('_pockets'!$AH:$AH,$S29)="","",INDEX('_pockets'!$AH:$AH,$S29)))</f>
        <v/>
      </c>
      <c r="H29" s="115">
        <f>IF($S29="","",IF(INDEX('_pockets'!$AF:$AF,$S29)="","",INDEX('_pockets'!$AF:$AF,$S29)))</f>
        <v/>
      </c>
      <c r="I29" s="116">
        <f>IF(IF($S29="","",IF(INDEX('_pockets'!$AB:$AB,$S29)="","",INDEX('_pockets'!$AB:$AB,$S29)))="","",IF($S29="","",IF(INDEX('_pockets'!$AB:$AB,$S29)="","",INDEX('_pockets'!$AB:$AB,$S29)))*IF($U$18,100,1))</f>
        <v/>
      </c>
      <c r="J29" s="114">
        <f>IF($S29="","",IF(INDEX('_pockets'!$Z:$Z,$S29)="","",INDEX('_pockets'!$Z:$Z,$S29)))</f>
        <v/>
      </c>
      <c r="K29" s="117">
        <f>IF($S29="","",IF(INDEX('_pockets'!$AO:$AO,$S29)="","",INDEX('_pockets'!$AO:$AO,$S29)))</f>
        <v/>
      </c>
      <c r="L29" s="118">
        <f>IF($S29="","",IF(INDEX('_pockets'!$AC:$AC,$S29)="","",INDEX('_pockets'!$AC:$AC,$S29)))</f>
        <v/>
      </c>
      <c r="M29" s="117">
        <f>IF($R29="","",IF(INDEX('_list'!$L$2:$L$676,$R29)="","",INDEX('_list'!$L$2:$L$676,$R29)))</f>
        <v/>
      </c>
      <c r="N29" s="116">
        <f>IF($R29="","",IF(INDEX('_list'!$H$2:$H$676,$R29)="","",INDEX('_list'!$H$2:$H$676,$R29)))</f>
        <v/>
      </c>
      <c r="O29" s="113">
        <f>IF($R29="","",IF(INDEX('_list'!$I$2:$I$676,$R29)="","",INDEX('_list'!$I$2:$I$676,$R29)))</f>
        <v/>
      </c>
      <c r="R29">
        <f>IFERROR(MATCH(10,'_list'!$N$2:$N$676,0),"")</f>
        <v/>
      </c>
      <c r="S29">
        <f>IF($R29="","",INDEX('_list'!$C$2:$C$676,$R29))</f>
        <v/>
      </c>
    </row>
    <row r="30" ht="16" customHeight="1">
      <c r="B30" s="112">
        <f>IF($R30="","",11)</f>
        <v/>
      </c>
      <c r="C30" s="113">
        <f>IF($R30="","",IF(INDEX('_list'!$D$2:$D$676,$R30)="","",INDEX('_list'!$D$2:$D$676,$R30)))</f>
        <v/>
      </c>
      <c r="D30" s="113">
        <f>IF($R30="","",IF(INDEX('_list'!$E$2:$E$676,$R30)="","",INDEX('_list'!$E$2:$E$676,$R30)))</f>
        <v/>
      </c>
      <c r="E30" s="113">
        <f>IF($R30="","",IF(INDEX('_list'!$F$2:$F$676,$R30)="","",INDEX('_list'!$F$2:$F$676,$R30)))</f>
        <v/>
      </c>
      <c r="F30" s="114">
        <f>IF($R30="","",IF(INDEX('_list'!$G$2:$G$676,$R30)="","",INDEX('_list'!$G$2:$G$676,$R30)))</f>
        <v/>
      </c>
      <c r="G30" s="115">
        <f>IF($S30="","",IF(INDEX('_pockets'!$AH:$AH,$S30)="","",INDEX('_pockets'!$AH:$AH,$S30)))</f>
        <v/>
      </c>
      <c r="H30" s="115">
        <f>IF($S30="","",IF(INDEX('_pockets'!$AF:$AF,$S30)="","",INDEX('_pockets'!$AF:$AF,$S30)))</f>
        <v/>
      </c>
      <c r="I30" s="116">
        <f>IF(IF($S30="","",IF(INDEX('_pockets'!$AB:$AB,$S30)="","",INDEX('_pockets'!$AB:$AB,$S30)))="","",IF($S30="","",IF(INDEX('_pockets'!$AB:$AB,$S30)="","",INDEX('_pockets'!$AB:$AB,$S30)))*IF($U$18,100,1))</f>
        <v/>
      </c>
      <c r="J30" s="114">
        <f>IF($S30="","",IF(INDEX('_pockets'!$Z:$Z,$S30)="","",INDEX('_pockets'!$Z:$Z,$S30)))</f>
        <v/>
      </c>
      <c r="K30" s="117">
        <f>IF($S30="","",IF(INDEX('_pockets'!$AO:$AO,$S30)="","",INDEX('_pockets'!$AO:$AO,$S30)))</f>
        <v/>
      </c>
      <c r="L30" s="118">
        <f>IF($S30="","",IF(INDEX('_pockets'!$AC:$AC,$S30)="","",INDEX('_pockets'!$AC:$AC,$S30)))</f>
        <v/>
      </c>
      <c r="M30" s="117">
        <f>IF($R30="","",IF(INDEX('_list'!$L$2:$L$676,$R30)="","",INDEX('_list'!$L$2:$L$676,$R30)))</f>
        <v/>
      </c>
      <c r="N30" s="116">
        <f>IF($R30="","",IF(INDEX('_list'!$H$2:$H$676,$R30)="","",INDEX('_list'!$H$2:$H$676,$R30)))</f>
        <v/>
      </c>
      <c r="O30" s="113">
        <f>IF($R30="","",IF(INDEX('_list'!$I$2:$I$676,$R30)="","",INDEX('_list'!$I$2:$I$676,$R30)))</f>
        <v/>
      </c>
      <c r="R30">
        <f>IFERROR(MATCH(11,'_list'!$N$2:$N$676,0),"")</f>
        <v/>
      </c>
      <c r="S30">
        <f>IF($R30="","",INDEX('_list'!$C$2:$C$676,$R30))</f>
        <v/>
      </c>
    </row>
    <row r="31" ht="16" customHeight="1">
      <c r="B31" s="112">
        <f>IF($R31="","",12)</f>
        <v/>
      </c>
      <c r="C31" s="113">
        <f>IF($R31="","",IF(INDEX('_list'!$D$2:$D$676,$R31)="","",INDEX('_list'!$D$2:$D$676,$R31)))</f>
        <v/>
      </c>
      <c r="D31" s="113">
        <f>IF($R31="","",IF(INDEX('_list'!$E$2:$E$676,$R31)="","",INDEX('_list'!$E$2:$E$676,$R31)))</f>
        <v/>
      </c>
      <c r="E31" s="113">
        <f>IF($R31="","",IF(INDEX('_list'!$F$2:$F$676,$R31)="","",INDEX('_list'!$F$2:$F$676,$R31)))</f>
        <v/>
      </c>
      <c r="F31" s="114">
        <f>IF($R31="","",IF(INDEX('_list'!$G$2:$G$676,$R31)="","",INDEX('_list'!$G$2:$G$676,$R31)))</f>
        <v/>
      </c>
      <c r="G31" s="115">
        <f>IF($S31="","",IF(INDEX('_pockets'!$AH:$AH,$S31)="","",INDEX('_pockets'!$AH:$AH,$S31)))</f>
        <v/>
      </c>
      <c r="H31" s="115">
        <f>IF($S31="","",IF(INDEX('_pockets'!$AF:$AF,$S31)="","",INDEX('_pockets'!$AF:$AF,$S31)))</f>
        <v/>
      </c>
      <c r="I31" s="116">
        <f>IF(IF($S31="","",IF(INDEX('_pockets'!$AB:$AB,$S31)="","",INDEX('_pockets'!$AB:$AB,$S31)))="","",IF($S31="","",IF(INDEX('_pockets'!$AB:$AB,$S31)="","",INDEX('_pockets'!$AB:$AB,$S31)))*IF($U$18,100,1))</f>
        <v/>
      </c>
      <c r="J31" s="114">
        <f>IF($S31="","",IF(INDEX('_pockets'!$Z:$Z,$S31)="","",INDEX('_pockets'!$Z:$Z,$S31)))</f>
        <v/>
      </c>
      <c r="K31" s="117">
        <f>IF($S31="","",IF(INDEX('_pockets'!$AO:$AO,$S31)="","",INDEX('_pockets'!$AO:$AO,$S31)))</f>
        <v/>
      </c>
      <c r="L31" s="118">
        <f>IF($S31="","",IF(INDEX('_pockets'!$AC:$AC,$S31)="","",INDEX('_pockets'!$AC:$AC,$S31)))</f>
        <v/>
      </c>
      <c r="M31" s="117">
        <f>IF($R31="","",IF(INDEX('_list'!$L$2:$L$676,$R31)="","",INDEX('_list'!$L$2:$L$676,$R31)))</f>
        <v/>
      </c>
      <c r="N31" s="116">
        <f>IF($R31="","",IF(INDEX('_list'!$H$2:$H$676,$R31)="","",INDEX('_list'!$H$2:$H$676,$R31)))</f>
        <v/>
      </c>
      <c r="O31" s="113">
        <f>IF($R31="","",IF(INDEX('_list'!$I$2:$I$676,$R31)="","",INDEX('_list'!$I$2:$I$676,$R31)))</f>
        <v/>
      </c>
      <c r="R31">
        <f>IFERROR(MATCH(12,'_list'!$N$2:$N$676,0),"")</f>
        <v/>
      </c>
      <c r="S31">
        <f>IF($R31="","",INDEX('_list'!$C$2:$C$676,$R31))</f>
        <v/>
      </c>
    </row>
    <row r="32" ht="16" customHeight="1">
      <c r="B32" s="112">
        <f>IF($R32="","",13)</f>
        <v/>
      </c>
      <c r="C32" s="113">
        <f>IF($R32="","",IF(INDEX('_list'!$D$2:$D$676,$R32)="","",INDEX('_list'!$D$2:$D$676,$R32)))</f>
        <v/>
      </c>
      <c r="D32" s="113">
        <f>IF($R32="","",IF(INDEX('_list'!$E$2:$E$676,$R32)="","",INDEX('_list'!$E$2:$E$676,$R32)))</f>
        <v/>
      </c>
      <c r="E32" s="113">
        <f>IF($R32="","",IF(INDEX('_list'!$F$2:$F$676,$R32)="","",INDEX('_list'!$F$2:$F$676,$R32)))</f>
        <v/>
      </c>
      <c r="F32" s="114">
        <f>IF($R32="","",IF(INDEX('_list'!$G$2:$G$676,$R32)="","",INDEX('_list'!$G$2:$G$676,$R32)))</f>
        <v/>
      </c>
      <c r="G32" s="115">
        <f>IF($S32="","",IF(INDEX('_pockets'!$AH:$AH,$S32)="","",INDEX('_pockets'!$AH:$AH,$S32)))</f>
        <v/>
      </c>
      <c r="H32" s="115">
        <f>IF($S32="","",IF(INDEX('_pockets'!$AF:$AF,$S32)="","",INDEX('_pockets'!$AF:$AF,$S32)))</f>
        <v/>
      </c>
      <c r="I32" s="116">
        <f>IF(IF($S32="","",IF(INDEX('_pockets'!$AB:$AB,$S32)="","",INDEX('_pockets'!$AB:$AB,$S32)))="","",IF($S32="","",IF(INDEX('_pockets'!$AB:$AB,$S32)="","",INDEX('_pockets'!$AB:$AB,$S32)))*IF($U$18,100,1))</f>
        <v/>
      </c>
      <c r="J32" s="114">
        <f>IF($S32="","",IF(INDEX('_pockets'!$Z:$Z,$S32)="","",INDEX('_pockets'!$Z:$Z,$S32)))</f>
        <v/>
      </c>
      <c r="K32" s="117">
        <f>IF($S32="","",IF(INDEX('_pockets'!$AO:$AO,$S32)="","",INDEX('_pockets'!$AO:$AO,$S32)))</f>
        <v/>
      </c>
      <c r="L32" s="118">
        <f>IF($S32="","",IF(INDEX('_pockets'!$AC:$AC,$S32)="","",INDEX('_pockets'!$AC:$AC,$S32)))</f>
        <v/>
      </c>
      <c r="M32" s="117">
        <f>IF($R32="","",IF(INDEX('_list'!$L$2:$L$676,$R32)="","",INDEX('_list'!$L$2:$L$676,$R32)))</f>
        <v/>
      </c>
      <c r="N32" s="116">
        <f>IF($R32="","",IF(INDEX('_list'!$H$2:$H$676,$R32)="","",INDEX('_list'!$H$2:$H$676,$R32)))</f>
        <v/>
      </c>
      <c r="O32" s="113">
        <f>IF($R32="","",IF(INDEX('_list'!$I$2:$I$676,$R32)="","",INDEX('_list'!$I$2:$I$676,$R32)))</f>
        <v/>
      </c>
      <c r="R32">
        <f>IFERROR(MATCH(13,'_list'!$N$2:$N$676,0),"")</f>
        <v/>
      </c>
      <c r="S32">
        <f>IF($R32="","",INDEX('_list'!$C$2:$C$676,$R32))</f>
        <v/>
      </c>
    </row>
    <row r="33" ht="16" customHeight="1">
      <c r="B33" s="112">
        <f>IF($R33="","",14)</f>
        <v/>
      </c>
      <c r="C33" s="113">
        <f>IF($R33="","",IF(INDEX('_list'!$D$2:$D$676,$R33)="","",INDEX('_list'!$D$2:$D$676,$R33)))</f>
        <v/>
      </c>
      <c r="D33" s="113">
        <f>IF($R33="","",IF(INDEX('_list'!$E$2:$E$676,$R33)="","",INDEX('_list'!$E$2:$E$676,$R33)))</f>
        <v/>
      </c>
      <c r="E33" s="113">
        <f>IF($R33="","",IF(INDEX('_list'!$F$2:$F$676,$R33)="","",INDEX('_list'!$F$2:$F$676,$R33)))</f>
        <v/>
      </c>
      <c r="F33" s="114">
        <f>IF($R33="","",IF(INDEX('_list'!$G$2:$G$676,$R33)="","",INDEX('_list'!$G$2:$G$676,$R33)))</f>
        <v/>
      </c>
      <c r="G33" s="115">
        <f>IF($S33="","",IF(INDEX('_pockets'!$AH:$AH,$S33)="","",INDEX('_pockets'!$AH:$AH,$S33)))</f>
        <v/>
      </c>
      <c r="H33" s="115">
        <f>IF($S33="","",IF(INDEX('_pockets'!$AF:$AF,$S33)="","",INDEX('_pockets'!$AF:$AF,$S33)))</f>
        <v/>
      </c>
      <c r="I33" s="116">
        <f>IF(IF($S33="","",IF(INDEX('_pockets'!$AB:$AB,$S33)="","",INDEX('_pockets'!$AB:$AB,$S33)))="","",IF($S33="","",IF(INDEX('_pockets'!$AB:$AB,$S33)="","",INDEX('_pockets'!$AB:$AB,$S33)))*IF($U$18,100,1))</f>
        <v/>
      </c>
      <c r="J33" s="114">
        <f>IF($S33="","",IF(INDEX('_pockets'!$Z:$Z,$S33)="","",INDEX('_pockets'!$Z:$Z,$S33)))</f>
        <v/>
      </c>
      <c r="K33" s="117">
        <f>IF($S33="","",IF(INDEX('_pockets'!$AO:$AO,$S33)="","",INDEX('_pockets'!$AO:$AO,$S33)))</f>
        <v/>
      </c>
      <c r="L33" s="118">
        <f>IF($S33="","",IF(INDEX('_pockets'!$AC:$AC,$S33)="","",INDEX('_pockets'!$AC:$AC,$S33)))</f>
        <v/>
      </c>
      <c r="M33" s="117">
        <f>IF($R33="","",IF(INDEX('_list'!$L$2:$L$676,$R33)="","",INDEX('_list'!$L$2:$L$676,$R33)))</f>
        <v/>
      </c>
      <c r="N33" s="116">
        <f>IF($R33="","",IF(INDEX('_list'!$H$2:$H$676,$R33)="","",INDEX('_list'!$H$2:$H$676,$R33)))</f>
        <v/>
      </c>
      <c r="O33" s="113">
        <f>IF($R33="","",IF(INDEX('_list'!$I$2:$I$676,$R33)="","",INDEX('_list'!$I$2:$I$676,$R33)))</f>
        <v/>
      </c>
      <c r="R33">
        <f>IFERROR(MATCH(14,'_list'!$N$2:$N$676,0),"")</f>
        <v/>
      </c>
      <c r="S33">
        <f>IF($R33="","",INDEX('_list'!$C$2:$C$676,$R33))</f>
        <v/>
      </c>
    </row>
    <row r="34" ht="16" customHeight="1">
      <c r="B34" s="112">
        <f>IF($R34="","",15)</f>
        <v/>
      </c>
      <c r="C34" s="113">
        <f>IF($R34="","",IF(INDEX('_list'!$D$2:$D$676,$R34)="","",INDEX('_list'!$D$2:$D$676,$R34)))</f>
        <v/>
      </c>
      <c r="D34" s="113">
        <f>IF($R34="","",IF(INDEX('_list'!$E$2:$E$676,$R34)="","",INDEX('_list'!$E$2:$E$676,$R34)))</f>
        <v/>
      </c>
      <c r="E34" s="113">
        <f>IF($R34="","",IF(INDEX('_list'!$F$2:$F$676,$R34)="","",INDEX('_list'!$F$2:$F$676,$R34)))</f>
        <v/>
      </c>
      <c r="F34" s="114">
        <f>IF($R34="","",IF(INDEX('_list'!$G$2:$G$676,$R34)="","",INDEX('_list'!$G$2:$G$676,$R34)))</f>
        <v/>
      </c>
      <c r="G34" s="115">
        <f>IF($S34="","",IF(INDEX('_pockets'!$AH:$AH,$S34)="","",INDEX('_pockets'!$AH:$AH,$S34)))</f>
        <v/>
      </c>
      <c r="H34" s="115">
        <f>IF($S34="","",IF(INDEX('_pockets'!$AF:$AF,$S34)="","",INDEX('_pockets'!$AF:$AF,$S34)))</f>
        <v/>
      </c>
      <c r="I34" s="116">
        <f>IF(IF($S34="","",IF(INDEX('_pockets'!$AB:$AB,$S34)="","",INDEX('_pockets'!$AB:$AB,$S34)))="","",IF($S34="","",IF(INDEX('_pockets'!$AB:$AB,$S34)="","",INDEX('_pockets'!$AB:$AB,$S34)))*IF($U$18,100,1))</f>
        <v/>
      </c>
      <c r="J34" s="114">
        <f>IF($S34="","",IF(INDEX('_pockets'!$Z:$Z,$S34)="","",INDEX('_pockets'!$Z:$Z,$S34)))</f>
        <v/>
      </c>
      <c r="K34" s="117">
        <f>IF($S34="","",IF(INDEX('_pockets'!$AO:$AO,$S34)="","",INDEX('_pockets'!$AO:$AO,$S34)))</f>
        <v/>
      </c>
      <c r="L34" s="118">
        <f>IF($S34="","",IF(INDEX('_pockets'!$AC:$AC,$S34)="","",INDEX('_pockets'!$AC:$AC,$S34)))</f>
        <v/>
      </c>
      <c r="M34" s="117">
        <f>IF($R34="","",IF(INDEX('_list'!$L$2:$L$676,$R34)="","",INDEX('_list'!$L$2:$L$676,$R34)))</f>
        <v/>
      </c>
      <c r="N34" s="116">
        <f>IF($R34="","",IF(INDEX('_list'!$H$2:$H$676,$R34)="","",INDEX('_list'!$H$2:$H$676,$R34)))</f>
        <v/>
      </c>
      <c r="O34" s="113">
        <f>IF($R34="","",IF(INDEX('_list'!$I$2:$I$676,$R34)="","",INDEX('_list'!$I$2:$I$676,$R34)))</f>
        <v/>
      </c>
      <c r="R34">
        <f>IFERROR(MATCH(15,'_list'!$N$2:$N$676,0),"")</f>
        <v/>
      </c>
      <c r="S34">
        <f>IF($R34="","",INDEX('_list'!$C$2:$C$676,$R34))</f>
        <v/>
      </c>
    </row>
    <row r="35" ht="16" customHeight="1">
      <c r="B35" s="112">
        <f>IF($R35="","",16)</f>
        <v/>
      </c>
      <c r="C35" s="113">
        <f>IF($R35="","",IF(INDEX('_list'!$D$2:$D$676,$R35)="","",INDEX('_list'!$D$2:$D$676,$R35)))</f>
        <v/>
      </c>
      <c r="D35" s="113">
        <f>IF($R35="","",IF(INDEX('_list'!$E$2:$E$676,$R35)="","",INDEX('_list'!$E$2:$E$676,$R35)))</f>
        <v/>
      </c>
      <c r="E35" s="113">
        <f>IF($R35="","",IF(INDEX('_list'!$F$2:$F$676,$R35)="","",INDEX('_list'!$F$2:$F$676,$R35)))</f>
        <v/>
      </c>
      <c r="F35" s="114">
        <f>IF($R35="","",IF(INDEX('_list'!$G$2:$G$676,$R35)="","",INDEX('_list'!$G$2:$G$676,$R35)))</f>
        <v/>
      </c>
      <c r="G35" s="115">
        <f>IF($S35="","",IF(INDEX('_pockets'!$AH:$AH,$S35)="","",INDEX('_pockets'!$AH:$AH,$S35)))</f>
        <v/>
      </c>
      <c r="H35" s="115">
        <f>IF($S35="","",IF(INDEX('_pockets'!$AF:$AF,$S35)="","",INDEX('_pockets'!$AF:$AF,$S35)))</f>
        <v/>
      </c>
      <c r="I35" s="116">
        <f>IF(IF($S35="","",IF(INDEX('_pockets'!$AB:$AB,$S35)="","",INDEX('_pockets'!$AB:$AB,$S35)))="","",IF($S35="","",IF(INDEX('_pockets'!$AB:$AB,$S35)="","",INDEX('_pockets'!$AB:$AB,$S35)))*IF($U$18,100,1))</f>
        <v/>
      </c>
      <c r="J35" s="114">
        <f>IF($S35="","",IF(INDEX('_pockets'!$Z:$Z,$S35)="","",INDEX('_pockets'!$Z:$Z,$S35)))</f>
        <v/>
      </c>
      <c r="K35" s="117">
        <f>IF($S35="","",IF(INDEX('_pockets'!$AO:$AO,$S35)="","",INDEX('_pockets'!$AO:$AO,$S35)))</f>
        <v/>
      </c>
      <c r="L35" s="118">
        <f>IF($S35="","",IF(INDEX('_pockets'!$AC:$AC,$S35)="","",INDEX('_pockets'!$AC:$AC,$S35)))</f>
        <v/>
      </c>
      <c r="M35" s="117">
        <f>IF($R35="","",IF(INDEX('_list'!$L$2:$L$676,$R35)="","",INDEX('_list'!$L$2:$L$676,$R35)))</f>
        <v/>
      </c>
      <c r="N35" s="116">
        <f>IF($R35="","",IF(INDEX('_list'!$H$2:$H$676,$R35)="","",INDEX('_list'!$H$2:$H$676,$R35)))</f>
        <v/>
      </c>
      <c r="O35" s="113">
        <f>IF($R35="","",IF(INDEX('_list'!$I$2:$I$676,$R35)="","",INDEX('_list'!$I$2:$I$676,$R35)))</f>
        <v/>
      </c>
      <c r="R35">
        <f>IFERROR(MATCH(16,'_list'!$N$2:$N$676,0),"")</f>
        <v/>
      </c>
      <c r="S35">
        <f>IF($R35="","",INDEX('_list'!$C$2:$C$676,$R35))</f>
        <v/>
      </c>
    </row>
    <row r="36" ht="16" customHeight="1">
      <c r="B36" s="112">
        <f>IF($R36="","",17)</f>
        <v/>
      </c>
      <c r="C36" s="113">
        <f>IF($R36="","",IF(INDEX('_list'!$D$2:$D$676,$R36)="","",INDEX('_list'!$D$2:$D$676,$R36)))</f>
        <v/>
      </c>
      <c r="D36" s="113">
        <f>IF($R36="","",IF(INDEX('_list'!$E$2:$E$676,$R36)="","",INDEX('_list'!$E$2:$E$676,$R36)))</f>
        <v/>
      </c>
      <c r="E36" s="113">
        <f>IF($R36="","",IF(INDEX('_list'!$F$2:$F$676,$R36)="","",INDEX('_list'!$F$2:$F$676,$R36)))</f>
        <v/>
      </c>
      <c r="F36" s="114">
        <f>IF($R36="","",IF(INDEX('_list'!$G$2:$G$676,$R36)="","",INDEX('_list'!$G$2:$G$676,$R36)))</f>
        <v/>
      </c>
      <c r="G36" s="115">
        <f>IF($S36="","",IF(INDEX('_pockets'!$AH:$AH,$S36)="","",INDEX('_pockets'!$AH:$AH,$S36)))</f>
        <v/>
      </c>
      <c r="H36" s="115">
        <f>IF($S36="","",IF(INDEX('_pockets'!$AF:$AF,$S36)="","",INDEX('_pockets'!$AF:$AF,$S36)))</f>
        <v/>
      </c>
      <c r="I36" s="116">
        <f>IF(IF($S36="","",IF(INDEX('_pockets'!$AB:$AB,$S36)="","",INDEX('_pockets'!$AB:$AB,$S36)))="","",IF($S36="","",IF(INDEX('_pockets'!$AB:$AB,$S36)="","",INDEX('_pockets'!$AB:$AB,$S36)))*IF($U$18,100,1))</f>
        <v/>
      </c>
      <c r="J36" s="114">
        <f>IF($S36="","",IF(INDEX('_pockets'!$Z:$Z,$S36)="","",INDEX('_pockets'!$Z:$Z,$S36)))</f>
        <v/>
      </c>
      <c r="K36" s="117">
        <f>IF($S36="","",IF(INDEX('_pockets'!$AO:$AO,$S36)="","",INDEX('_pockets'!$AO:$AO,$S36)))</f>
        <v/>
      </c>
      <c r="L36" s="118">
        <f>IF($S36="","",IF(INDEX('_pockets'!$AC:$AC,$S36)="","",INDEX('_pockets'!$AC:$AC,$S36)))</f>
        <v/>
      </c>
      <c r="M36" s="117">
        <f>IF($R36="","",IF(INDEX('_list'!$L$2:$L$676,$R36)="","",INDEX('_list'!$L$2:$L$676,$R36)))</f>
        <v/>
      </c>
      <c r="N36" s="116">
        <f>IF($R36="","",IF(INDEX('_list'!$H$2:$H$676,$R36)="","",INDEX('_list'!$H$2:$H$676,$R36)))</f>
        <v/>
      </c>
      <c r="O36" s="113">
        <f>IF($R36="","",IF(INDEX('_list'!$I$2:$I$676,$R36)="","",INDEX('_list'!$I$2:$I$676,$R36)))</f>
        <v/>
      </c>
      <c r="R36">
        <f>IFERROR(MATCH(17,'_list'!$N$2:$N$676,0),"")</f>
        <v/>
      </c>
      <c r="S36">
        <f>IF($R36="","",INDEX('_list'!$C$2:$C$676,$R36))</f>
        <v/>
      </c>
    </row>
    <row r="37" ht="16" customHeight="1">
      <c r="B37" s="112">
        <f>IF($R37="","",18)</f>
        <v/>
      </c>
      <c r="C37" s="113">
        <f>IF($R37="","",IF(INDEX('_list'!$D$2:$D$676,$R37)="","",INDEX('_list'!$D$2:$D$676,$R37)))</f>
        <v/>
      </c>
      <c r="D37" s="113">
        <f>IF($R37="","",IF(INDEX('_list'!$E$2:$E$676,$R37)="","",INDEX('_list'!$E$2:$E$676,$R37)))</f>
        <v/>
      </c>
      <c r="E37" s="113">
        <f>IF($R37="","",IF(INDEX('_list'!$F$2:$F$676,$R37)="","",INDEX('_list'!$F$2:$F$676,$R37)))</f>
        <v/>
      </c>
      <c r="F37" s="114">
        <f>IF($R37="","",IF(INDEX('_list'!$G$2:$G$676,$R37)="","",INDEX('_list'!$G$2:$G$676,$R37)))</f>
        <v/>
      </c>
      <c r="G37" s="115">
        <f>IF($S37="","",IF(INDEX('_pockets'!$AH:$AH,$S37)="","",INDEX('_pockets'!$AH:$AH,$S37)))</f>
        <v/>
      </c>
      <c r="H37" s="115">
        <f>IF($S37="","",IF(INDEX('_pockets'!$AF:$AF,$S37)="","",INDEX('_pockets'!$AF:$AF,$S37)))</f>
        <v/>
      </c>
      <c r="I37" s="116">
        <f>IF(IF($S37="","",IF(INDEX('_pockets'!$AB:$AB,$S37)="","",INDEX('_pockets'!$AB:$AB,$S37)))="","",IF($S37="","",IF(INDEX('_pockets'!$AB:$AB,$S37)="","",INDEX('_pockets'!$AB:$AB,$S37)))*IF($U$18,100,1))</f>
        <v/>
      </c>
      <c r="J37" s="114">
        <f>IF($S37="","",IF(INDEX('_pockets'!$Z:$Z,$S37)="","",INDEX('_pockets'!$Z:$Z,$S37)))</f>
        <v/>
      </c>
      <c r="K37" s="117">
        <f>IF($S37="","",IF(INDEX('_pockets'!$AO:$AO,$S37)="","",INDEX('_pockets'!$AO:$AO,$S37)))</f>
        <v/>
      </c>
      <c r="L37" s="118">
        <f>IF($S37="","",IF(INDEX('_pockets'!$AC:$AC,$S37)="","",INDEX('_pockets'!$AC:$AC,$S37)))</f>
        <v/>
      </c>
      <c r="M37" s="117">
        <f>IF($R37="","",IF(INDEX('_list'!$L$2:$L$676,$R37)="","",INDEX('_list'!$L$2:$L$676,$R37)))</f>
        <v/>
      </c>
      <c r="N37" s="116">
        <f>IF($R37="","",IF(INDEX('_list'!$H$2:$H$676,$R37)="","",INDEX('_list'!$H$2:$H$676,$R37)))</f>
        <v/>
      </c>
      <c r="O37" s="113">
        <f>IF($R37="","",IF(INDEX('_list'!$I$2:$I$676,$R37)="","",INDEX('_list'!$I$2:$I$676,$R37)))</f>
        <v/>
      </c>
      <c r="R37">
        <f>IFERROR(MATCH(18,'_list'!$N$2:$N$676,0),"")</f>
        <v/>
      </c>
      <c r="S37">
        <f>IF($R37="","",INDEX('_list'!$C$2:$C$676,$R37))</f>
        <v/>
      </c>
    </row>
    <row r="38" ht="16" customHeight="1">
      <c r="B38" s="112">
        <f>IF($R38="","",19)</f>
        <v/>
      </c>
      <c r="C38" s="113">
        <f>IF($R38="","",IF(INDEX('_list'!$D$2:$D$676,$R38)="","",INDEX('_list'!$D$2:$D$676,$R38)))</f>
        <v/>
      </c>
      <c r="D38" s="113">
        <f>IF($R38="","",IF(INDEX('_list'!$E$2:$E$676,$R38)="","",INDEX('_list'!$E$2:$E$676,$R38)))</f>
        <v/>
      </c>
      <c r="E38" s="113">
        <f>IF($R38="","",IF(INDEX('_list'!$F$2:$F$676,$R38)="","",INDEX('_list'!$F$2:$F$676,$R38)))</f>
        <v/>
      </c>
      <c r="F38" s="114">
        <f>IF($R38="","",IF(INDEX('_list'!$G$2:$G$676,$R38)="","",INDEX('_list'!$G$2:$G$676,$R38)))</f>
        <v/>
      </c>
      <c r="G38" s="115">
        <f>IF($S38="","",IF(INDEX('_pockets'!$AH:$AH,$S38)="","",INDEX('_pockets'!$AH:$AH,$S38)))</f>
        <v/>
      </c>
      <c r="H38" s="115">
        <f>IF($S38="","",IF(INDEX('_pockets'!$AF:$AF,$S38)="","",INDEX('_pockets'!$AF:$AF,$S38)))</f>
        <v/>
      </c>
      <c r="I38" s="116">
        <f>IF(IF($S38="","",IF(INDEX('_pockets'!$AB:$AB,$S38)="","",INDEX('_pockets'!$AB:$AB,$S38)))="","",IF($S38="","",IF(INDEX('_pockets'!$AB:$AB,$S38)="","",INDEX('_pockets'!$AB:$AB,$S38)))*IF($U$18,100,1))</f>
        <v/>
      </c>
      <c r="J38" s="114">
        <f>IF($S38="","",IF(INDEX('_pockets'!$Z:$Z,$S38)="","",INDEX('_pockets'!$Z:$Z,$S38)))</f>
        <v/>
      </c>
      <c r="K38" s="117">
        <f>IF($S38="","",IF(INDEX('_pockets'!$AO:$AO,$S38)="","",INDEX('_pockets'!$AO:$AO,$S38)))</f>
        <v/>
      </c>
      <c r="L38" s="118">
        <f>IF($S38="","",IF(INDEX('_pockets'!$AC:$AC,$S38)="","",INDEX('_pockets'!$AC:$AC,$S38)))</f>
        <v/>
      </c>
      <c r="M38" s="117">
        <f>IF($R38="","",IF(INDEX('_list'!$L$2:$L$676,$R38)="","",INDEX('_list'!$L$2:$L$676,$R38)))</f>
        <v/>
      </c>
      <c r="N38" s="116">
        <f>IF($R38="","",IF(INDEX('_list'!$H$2:$H$676,$R38)="","",INDEX('_list'!$H$2:$H$676,$R38)))</f>
        <v/>
      </c>
      <c r="O38" s="113">
        <f>IF($R38="","",IF(INDEX('_list'!$I$2:$I$676,$R38)="","",INDEX('_list'!$I$2:$I$676,$R38)))</f>
        <v/>
      </c>
      <c r="R38">
        <f>IFERROR(MATCH(19,'_list'!$N$2:$N$676,0),"")</f>
        <v/>
      </c>
      <c r="S38">
        <f>IF($R38="","",INDEX('_list'!$C$2:$C$676,$R38))</f>
        <v/>
      </c>
    </row>
    <row r="39" ht="16" customHeight="1">
      <c r="B39" s="112">
        <f>IF($R39="","",20)</f>
        <v/>
      </c>
      <c r="C39" s="113">
        <f>IF($R39="","",IF(INDEX('_list'!$D$2:$D$676,$R39)="","",INDEX('_list'!$D$2:$D$676,$R39)))</f>
        <v/>
      </c>
      <c r="D39" s="113">
        <f>IF($R39="","",IF(INDEX('_list'!$E$2:$E$676,$R39)="","",INDEX('_list'!$E$2:$E$676,$R39)))</f>
        <v/>
      </c>
      <c r="E39" s="113">
        <f>IF($R39="","",IF(INDEX('_list'!$F$2:$F$676,$R39)="","",INDEX('_list'!$F$2:$F$676,$R39)))</f>
        <v/>
      </c>
      <c r="F39" s="114">
        <f>IF($R39="","",IF(INDEX('_list'!$G$2:$G$676,$R39)="","",INDEX('_list'!$G$2:$G$676,$R39)))</f>
        <v/>
      </c>
      <c r="G39" s="115">
        <f>IF($S39="","",IF(INDEX('_pockets'!$AH:$AH,$S39)="","",INDEX('_pockets'!$AH:$AH,$S39)))</f>
        <v/>
      </c>
      <c r="H39" s="115">
        <f>IF($S39="","",IF(INDEX('_pockets'!$AF:$AF,$S39)="","",INDEX('_pockets'!$AF:$AF,$S39)))</f>
        <v/>
      </c>
      <c r="I39" s="116">
        <f>IF(IF($S39="","",IF(INDEX('_pockets'!$AB:$AB,$S39)="","",INDEX('_pockets'!$AB:$AB,$S39)))="","",IF($S39="","",IF(INDEX('_pockets'!$AB:$AB,$S39)="","",INDEX('_pockets'!$AB:$AB,$S39)))*IF($U$18,100,1))</f>
        <v/>
      </c>
      <c r="J39" s="114">
        <f>IF($S39="","",IF(INDEX('_pockets'!$Z:$Z,$S39)="","",INDEX('_pockets'!$Z:$Z,$S39)))</f>
        <v/>
      </c>
      <c r="K39" s="117">
        <f>IF($S39="","",IF(INDEX('_pockets'!$AO:$AO,$S39)="","",INDEX('_pockets'!$AO:$AO,$S39)))</f>
        <v/>
      </c>
      <c r="L39" s="118">
        <f>IF($S39="","",IF(INDEX('_pockets'!$AC:$AC,$S39)="","",INDEX('_pockets'!$AC:$AC,$S39)))</f>
        <v/>
      </c>
      <c r="M39" s="117">
        <f>IF($R39="","",IF(INDEX('_list'!$L$2:$L$676,$R39)="","",INDEX('_list'!$L$2:$L$676,$R39)))</f>
        <v/>
      </c>
      <c r="N39" s="116">
        <f>IF($R39="","",IF(INDEX('_list'!$H$2:$H$676,$R39)="","",INDEX('_list'!$H$2:$H$676,$R39)))</f>
        <v/>
      </c>
      <c r="O39" s="113">
        <f>IF($R39="","",IF(INDEX('_list'!$I$2:$I$676,$R39)="","",INDEX('_list'!$I$2:$I$676,$R39)))</f>
        <v/>
      </c>
      <c r="R39">
        <f>IFERROR(MATCH(20,'_list'!$N$2:$N$676,0),"")</f>
        <v/>
      </c>
      <c r="S39">
        <f>IF($R39="","",INDEX('_list'!$C$2:$C$676,$R39))</f>
        <v/>
      </c>
    </row>
    <row r="40" ht="16" customHeight="1">
      <c r="B40" s="112">
        <f>IF($R40="","",21)</f>
        <v/>
      </c>
      <c r="C40" s="113">
        <f>IF($R40="","",IF(INDEX('_list'!$D$2:$D$676,$R40)="","",INDEX('_list'!$D$2:$D$676,$R40)))</f>
        <v/>
      </c>
      <c r="D40" s="113">
        <f>IF($R40="","",IF(INDEX('_list'!$E$2:$E$676,$R40)="","",INDEX('_list'!$E$2:$E$676,$R40)))</f>
        <v/>
      </c>
      <c r="E40" s="113">
        <f>IF($R40="","",IF(INDEX('_list'!$F$2:$F$676,$R40)="","",INDEX('_list'!$F$2:$F$676,$R40)))</f>
        <v/>
      </c>
      <c r="F40" s="114">
        <f>IF($R40="","",IF(INDEX('_list'!$G$2:$G$676,$R40)="","",INDEX('_list'!$G$2:$G$676,$R40)))</f>
        <v/>
      </c>
      <c r="G40" s="115">
        <f>IF($S40="","",IF(INDEX('_pockets'!$AH:$AH,$S40)="","",INDEX('_pockets'!$AH:$AH,$S40)))</f>
        <v/>
      </c>
      <c r="H40" s="115">
        <f>IF($S40="","",IF(INDEX('_pockets'!$AF:$AF,$S40)="","",INDEX('_pockets'!$AF:$AF,$S40)))</f>
        <v/>
      </c>
      <c r="I40" s="116">
        <f>IF(IF($S40="","",IF(INDEX('_pockets'!$AB:$AB,$S40)="","",INDEX('_pockets'!$AB:$AB,$S40)))="","",IF($S40="","",IF(INDEX('_pockets'!$AB:$AB,$S40)="","",INDEX('_pockets'!$AB:$AB,$S40)))*IF($U$18,100,1))</f>
        <v/>
      </c>
      <c r="J40" s="114">
        <f>IF($S40="","",IF(INDEX('_pockets'!$Z:$Z,$S40)="","",INDEX('_pockets'!$Z:$Z,$S40)))</f>
        <v/>
      </c>
      <c r="K40" s="117">
        <f>IF($S40="","",IF(INDEX('_pockets'!$AO:$AO,$S40)="","",INDEX('_pockets'!$AO:$AO,$S40)))</f>
        <v/>
      </c>
      <c r="L40" s="118">
        <f>IF($S40="","",IF(INDEX('_pockets'!$AC:$AC,$S40)="","",INDEX('_pockets'!$AC:$AC,$S40)))</f>
        <v/>
      </c>
      <c r="M40" s="117">
        <f>IF($R40="","",IF(INDEX('_list'!$L$2:$L$676,$R40)="","",INDEX('_list'!$L$2:$L$676,$R40)))</f>
        <v/>
      </c>
      <c r="N40" s="116">
        <f>IF($R40="","",IF(INDEX('_list'!$H$2:$H$676,$R40)="","",INDEX('_list'!$H$2:$H$676,$R40)))</f>
        <v/>
      </c>
      <c r="O40" s="113">
        <f>IF($R40="","",IF(INDEX('_list'!$I$2:$I$676,$R40)="","",INDEX('_list'!$I$2:$I$676,$R40)))</f>
        <v/>
      </c>
      <c r="R40">
        <f>IFERROR(MATCH(21,'_list'!$N$2:$N$676,0),"")</f>
        <v/>
      </c>
      <c r="S40">
        <f>IF($R40="","",INDEX('_list'!$C$2:$C$676,$R40))</f>
        <v/>
      </c>
    </row>
    <row r="41" ht="16" customHeight="1">
      <c r="B41" s="112">
        <f>IF($R41="","",22)</f>
        <v/>
      </c>
      <c r="C41" s="113">
        <f>IF($R41="","",IF(INDEX('_list'!$D$2:$D$676,$R41)="","",INDEX('_list'!$D$2:$D$676,$R41)))</f>
        <v/>
      </c>
      <c r="D41" s="113">
        <f>IF($R41="","",IF(INDEX('_list'!$E$2:$E$676,$R41)="","",INDEX('_list'!$E$2:$E$676,$R41)))</f>
        <v/>
      </c>
      <c r="E41" s="113">
        <f>IF($R41="","",IF(INDEX('_list'!$F$2:$F$676,$R41)="","",INDEX('_list'!$F$2:$F$676,$R41)))</f>
        <v/>
      </c>
      <c r="F41" s="114">
        <f>IF($R41="","",IF(INDEX('_list'!$G$2:$G$676,$R41)="","",INDEX('_list'!$G$2:$G$676,$R41)))</f>
        <v/>
      </c>
      <c r="G41" s="115">
        <f>IF($S41="","",IF(INDEX('_pockets'!$AH:$AH,$S41)="","",INDEX('_pockets'!$AH:$AH,$S41)))</f>
        <v/>
      </c>
      <c r="H41" s="115">
        <f>IF($S41="","",IF(INDEX('_pockets'!$AF:$AF,$S41)="","",INDEX('_pockets'!$AF:$AF,$S41)))</f>
        <v/>
      </c>
      <c r="I41" s="116">
        <f>IF(IF($S41="","",IF(INDEX('_pockets'!$AB:$AB,$S41)="","",INDEX('_pockets'!$AB:$AB,$S41)))="","",IF($S41="","",IF(INDEX('_pockets'!$AB:$AB,$S41)="","",INDEX('_pockets'!$AB:$AB,$S41)))*IF($U$18,100,1))</f>
        <v/>
      </c>
      <c r="J41" s="114">
        <f>IF($S41="","",IF(INDEX('_pockets'!$Z:$Z,$S41)="","",INDEX('_pockets'!$Z:$Z,$S41)))</f>
        <v/>
      </c>
      <c r="K41" s="117">
        <f>IF($S41="","",IF(INDEX('_pockets'!$AO:$AO,$S41)="","",INDEX('_pockets'!$AO:$AO,$S41)))</f>
        <v/>
      </c>
      <c r="L41" s="118">
        <f>IF($S41="","",IF(INDEX('_pockets'!$AC:$AC,$S41)="","",INDEX('_pockets'!$AC:$AC,$S41)))</f>
        <v/>
      </c>
      <c r="M41" s="117">
        <f>IF($R41="","",IF(INDEX('_list'!$L$2:$L$676,$R41)="","",INDEX('_list'!$L$2:$L$676,$R41)))</f>
        <v/>
      </c>
      <c r="N41" s="116">
        <f>IF($R41="","",IF(INDEX('_list'!$H$2:$H$676,$R41)="","",INDEX('_list'!$H$2:$H$676,$R41)))</f>
        <v/>
      </c>
      <c r="O41" s="113">
        <f>IF($R41="","",IF(INDEX('_list'!$I$2:$I$676,$R41)="","",INDEX('_list'!$I$2:$I$676,$R41)))</f>
        <v/>
      </c>
      <c r="R41">
        <f>IFERROR(MATCH(22,'_list'!$N$2:$N$676,0),"")</f>
        <v/>
      </c>
      <c r="S41">
        <f>IF($R41="","",INDEX('_list'!$C$2:$C$676,$R41))</f>
        <v/>
      </c>
    </row>
    <row r="42" ht="16" customHeight="1">
      <c r="B42" s="112">
        <f>IF($R42="","",23)</f>
        <v/>
      </c>
      <c r="C42" s="113">
        <f>IF($R42="","",IF(INDEX('_list'!$D$2:$D$676,$R42)="","",INDEX('_list'!$D$2:$D$676,$R42)))</f>
        <v/>
      </c>
      <c r="D42" s="113">
        <f>IF($R42="","",IF(INDEX('_list'!$E$2:$E$676,$R42)="","",INDEX('_list'!$E$2:$E$676,$R42)))</f>
        <v/>
      </c>
      <c r="E42" s="113">
        <f>IF($R42="","",IF(INDEX('_list'!$F$2:$F$676,$R42)="","",INDEX('_list'!$F$2:$F$676,$R42)))</f>
        <v/>
      </c>
      <c r="F42" s="114">
        <f>IF($R42="","",IF(INDEX('_list'!$G$2:$G$676,$R42)="","",INDEX('_list'!$G$2:$G$676,$R42)))</f>
        <v/>
      </c>
      <c r="G42" s="115">
        <f>IF($S42="","",IF(INDEX('_pockets'!$AH:$AH,$S42)="","",INDEX('_pockets'!$AH:$AH,$S42)))</f>
        <v/>
      </c>
      <c r="H42" s="115">
        <f>IF($S42="","",IF(INDEX('_pockets'!$AF:$AF,$S42)="","",INDEX('_pockets'!$AF:$AF,$S42)))</f>
        <v/>
      </c>
      <c r="I42" s="116">
        <f>IF(IF($S42="","",IF(INDEX('_pockets'!$AB:$AB,$S42)="","",INDEX('_pockets'!$AB:$AB,$S42)))="","",IF($S42="","",IF(INDEX('_pockets'!$AB:$AB,$S42)="","",INDEX('_pockets'!$AB:$AB,$S42)))*IF($U$18,100,1))</f>
        <v/>
      </c>
      <c r="J42" s="114">
        <f>IF($S42="","",IF(INDEX('_pockets'!$Z:$Z,$S42)="","",INDEX('_pockets'!$Z:$Z,$S42)))</f>
        <v/>
      </c>
      <c r="K42" s="117">
        <f>IF($S42="","",IF(INDEX('_pockets'!$AO:$AO,$S42)="","",INDEX('_pockets'!$AO:$AO,$S42)))</f>
        <v/>
      </c>
      <c r="L42" s="118">
        <f>IF($S42="","",IF(INDEX('_pockets'!$AC:$AC,$S42)="","",INDEX('_pockets'!$AC:$AC,$S42)))</f>
        <v/>
      </c>
      <c r="M42" s="117">
        <f>IF($R42="","",IF(INDEX('_list'!$L$2:$L$676,$R42)="","",INDEX('_list'!$L$2:$L$676,$R42)))</f>
        <v/>
      </c>
      <c r="N42" s="116">
        <f>IF($R42="","",IF(INDEX('_list'!$H$2:$H$676,$R42)="","",INDEX('_list'!$H$2:$H$676,$R42)))</f>
        <v/>
      </c>
      <c r="O42" s="113">
        <f>IF($R42="","",IF(INDEX('_list'!$I$2:$I$676,$R42)="","",INDEX('_list'!$I$2:$I$676,$R42)))</f>
        <v/>
      </c>
      <c r="R42">
        <f>IFERROR(MATCH(23,'_list'!$N$2:$N$676,0),"")</f>
        <v/>
      </c>
      <c r="S42">
        <f>IF($R42="","",INDEX('_list'!$C$2:$C$676,$R42))</f>
        <v/>
      </c>
    </row>
    <row r="43" ht="16" customHeight="1">
      <c r="B43" s="112">
        <f>IF($R43="","",24)</f>
        <v/>
      </c>
      <c r="C43" s="113">
        <f>IF($R43="","",IF(INDEX('_list'!$D$2:$D$676,$R43)="","",INDEX('_list'!$D$2:$D$676,$R43)))</f>
        <v/>
      </c>
      <c r="D43" s="113">
        <f>IF($R43="","",IF(INDEX('_list'!$E$2:$E$676,$R43)="","",INDEX('_list'!$E$2:$E$676,$R43)))</f>
        <v/>
      </c>
      <c r="E43" s="113">
        <f>IF($R43="","",IF(INDEX('_list'!$F$2:$F$676,$R43)="","",INDEX('_list'!$F$2:$F$676,$R43)))</f>
        <v/>
      </c>
      <c r="F43" s="114">
        <f>IF($R43="","",IF(INDEX('_list'!$G$2:$G$676,$R43)="","",INDEX('_list'!$G$2:$G$676,$R43)))</f>
        <v/>
      </c>
      <c r="G43" s="115">
        <f>IF($S43="","",IF(INDEX('_pockets'!$AH:$AH,$S43)="","",INDEX('_pockets'!$AH:$AH,$S43)))</f>
        <v/>
      </c>
      <c r="H43" s="115">
        <f>IF($S43="","",IF(INDEX('_pockets'!$AF:$AF,$S43)="","",INDEX('_pockets'!$AF:$AF,$S43)))</f>
        <v/>
      </c>
      <c r="I43" s="116">
        <f>IF(IF($S43="","",IF(INDEX('_pockets'!$AB:$AB,$S43)="","",INDEX('_pockets'!$AB:$AB,$S43)))="","",IF($S43="","",IF(INDEX('_pockets'!$AB:$AB,$S43)="","",INDEX('_pockets'!$AB:$AB,$S43)))*IF($U$18,100,1))</f>
        <v/>
      </c>
      <c r="J43" s="114">
        <f>IF($S43="","",IF(INDEX('_pockets'!$Z:$Z,$S43)="","",INDEX('_pockets'!$Z:$Z,$S43)))</f>
        <v/>
      </c>
      <c r="K43" s="117">
        <f>IF($S43="","",IF(INDEX('_pockets'!$AO:$AO,$S43)="","",INDEX('_pockets'!$AO:$AO,$S43)))</f>
        <v/>
      </c>
      <c r="L43" s="118">
        <f>IF($S43="","",IF(INDEX('_pockets'!$AC:$AC,$S43)="","",INDEX('_pockets'!$AC:$AC,$S43)))</f>
        <v/>
      </c>
      <c r="M43" s="117">
        <f>IF($R43="","",IF(INDEX('_list'!$L$2:$L$676,$R43)="","",INDEX('_list'!$L$2:$L$676,$R43)))</f>
        <v/>
      </c>
      <c r="N43" s="116">
        <f>IF($R43="","",IF(INDEX('_list'!$H$2:$H$676,$R43)="","",INDEX('_list'!$H$2:$H$676,$R43)))</f>
        <v/>
      </c>
      <c r="O43" s="113">
        <f>IF($R43="","",IF(INDEX('_list'!$I$2:$I$676,$R43)="","",INDEX('_list'!$I$2:$I$676,$R43)))</f>
        <v/>
      </c>
      <c r="R43">
        <f>IFERROR(MATCH(24,'_list'!$N$2:$N$676,0),"")</f>
        <v/>
      </c>
      <c r="S43">
        <f>IF($R43="","",INDEX('_list'!$C$2:$C$676,$R43))</f>
        <v/>
      </c>
    </row>
    <row r="44" ht="16" customHeight="1">
      <c r="B44" s="112">
        <f>IF($R44="","",25)</f>
        <v/>
      </c>
      <c r="C44" s="113">
        <f>IF($R44="","",IF(INDEX('_list'!$D$2:$D$676,$R44)="","",INDEX('_list'!$D$2:$D$676,$R44)))</f>
        <v/>
      </c>
      <c r="D44" s="113">
        <f>IF($R44="","",IF(INDEX('_list'!$E$2:$E$676,$R44)="","",INDEX('_list'!$E$2:$E$676,$R44)))</f>
        <v/>
      </c>
      <c r="E44" s="113">
        <f>IF($R44="","",IF(INDEX('_list'!$F$2:$F$676,$R44)="","",INDEX('_list'!$F$2:$F$676,$R44)))</f>
        <v/>
      </c>
      <c r="F44" s="114">
        <f>IF($R44="","",IF(INDEX('_list'!$G$2:$G$676,$R44)="","",INDEX('_list'!$G$2:$G$676,$R44)))</f>
        <v/>
      </c>
      <c r="G44" s="115">
        <f>IF($S44="","",IF(INDEX('_pockets'!$AH:$AH,$S44)="","",INDEX('_pockets'!$AH:$AH,$S44)))</f>
        <v/>
      </c>
      <c r="H44" s="115">
        <f>IF($S44="","",IF(INDEX('_pockets'!$AF:$AF,$S44)="","",INDEX('_pockets'!$AF:$AF,$S44)))</f>
        <v/>
      </c>
      <c r="I44" s="116">
        <f>IF(IF($S44="","",IF(INDEX('_pockets'!$AB:$AB,$S44)="","",INDEX('_pockets'!$AB:$AB,$S44)))="","",IF($S44="","",IF(INDEX('_pockets'!$AB:$AB,$S44)="","",INDEX('_pockets'!$AB:$AB,$S44)))*IF($U$18,100,1))</f>
        <v/>
      </c>
      <c r="J44" s="114">
        <f>IF($S44="","",IF(INDEX('_pockets'!$Z:$Z,$S44)="","",INDEX('_pockets'!$Z:$Z,$S44)))</f>
        <v/>
      </c>
      <c r="K44" s="117">
        <f>IF($S44="","",IF(INDEX('_pockets'!$AO:$AO,$S44)="","",INDEX('_pockets'!$AO:$AO,$S44)))</f>
        <v/>
      </c>
      <c r="L44" s="118">
        <f>IF($S44="","",IF(INDEX('_pockets'!$AC:$AC,$S44)="","",INDEX('_pockets'!$AC:$AC,$S44)))</f>
        <v/>
      </c>
      <c r="M44" s="117">
        <f>IF($R44="","",IF(INDEX('_list'!$L$2:$L$676,$R44)="","",INDEX('_list'!$L$2:$L$676,$R44)))</f>
        <v/>
      </c>
      <c r="N44" s="116">
        <f>IF($R44="","",IF(INDEX('_list'!$H$2:$H$676,$R44)="","",INDEX('_list'!$H$2:$H$676,$R44)))</f>
        <v/>
      </c>
      <c r="O44" s="113">
        <f>IF($R44="","",IF(INDEX('_list'!$I$2:$I$676,$R44)="","",INDEX('_list'!$I$2:$I$676,$R44)))</f>
        <v/>
      </c>
      <c r="R44">
        <f>IFERROR(MATCH(25,'_list'!$N$2:$N$676,0),"")</f>
        <v/>
      </c>
      <c r="S44">
        <f>IF($R44="","",INDEX('_list'!$C$2:$C$676,$R44))</f>
        <v/>
      </c>
    </row>
    <row r="45" ht="16" customHeight="1">
      <c r="B45" s="112">
        <f>IF($R45="","",26)</f>
        <v/>
      </c>
      <c r="C45" s="113">
        <f>IF($R45="","",IF(INDEX('_list'!$D$2:$D$676,$R45)="","",INDEX('_list'!$D$2:$D$676,$R45)))</f>
        <v/>
      </c>
      <c r="D45" s="113">
        <f>IF($R45="","",IF(INDEX('_list'!$E$2:$E$676,$R45)="","",INDEX('_list'!$E$2:$E$676,$R45)))</f>
        <v/>
      </c>
      <c r="E45" s="113">
        <f>IF($R45="","",IF(INDEX('_list'!$F$2:$F$676,$R45)="","",INDEX('_list'!$F$2:$F$676,$R45)))</f>
        <v/>
      </c>
      <c r="F45" s="114">
        <f>IF($R45="","",IF(INDEX('_list'!$G$2:$G$676,$R45)="","",INDEX('_list'!$G$2:$G$676,$R45)))</f>
        <v/>
      </c>
      <c r="G45" s="115">
        <f>IF($S45="","",IF(INDEX('_pockets'!$AH:$AH,$S45)="","",INDEX('_pockets'!$AH:$AH,$S45)))</f>
        <v/>
      </c>
      <c r="H45" s="115">
        <f>IF($S45="","",IF(INDEX('_pockets'!$AF:$AF,$S45)="","",INDEX('_pockets'!$AF:$AF,$S45)))</f>
        <v/>
      </c>
      <c r="I45" s="116">
        <f>IF(IF($S45="","",IF(INDEX('_pockets'!$AB:$AB,$S45)="","",INDEX('_pockets'!$AB:$AB,$S45)))="","",IF($S45="","",IF(INDEX('_pockets'!$AB:$AB,$S45)="","",INDEX('_pockets'!$AB:$AB,$S45)))*IF($U$18,100,1))</f>
        <v/>
      </c>
      <c r="J45" s="114">
        <f>IF($S45="","",IF(INDEX('_pockets'!$Z:$Z,$S45)="","",INDEX('_pockets'!$Z:$Z,$S45)))</f>
        <v/>
      </c>
      <c r="K45" s="117">
        <f>IF($S45="","",IF(INDEX('_pockets'!$AO:$AO,$S45)="","",INDEX('_pockets'!$AO:$AO,$S45)))</f>
        <v/>
      </c>
      <c r="L45" s="118">
        <f>IF($S45="","",IF(INDEX('_pockets'!$AC:$AC,$S45)="","",INDEX('_pockets'!$AC:$AC,$S45)))</f>
        <v/>
      </c>
      <c r="M45" s="117">
        <f>IF($R45="","",IF(INDEX('_list'!$L$2:$L$676,$R45)="","",INDEX('_list'!$L$2:$L$676,$R45)))</f>
        <v/>
      </c>
      <c r="N45" s="116">
        <f>IF($R45="","",IF(INDEX('_list'!$H$2:$H$676,$R45)="","",INDEX('_list'!$H$2:$H$676,$R45)))</f>
        <v/>
      </c>
      <c r="O45" s="113">
        <f>IF($R45="","",IF(INDEX('_list'!$I$2:$I$676,$R45)="","",INDEX('_list'!$I$2:$I$676,$R45)))</f>
        <v/>
      </c>
      <c r="R45">
        <f>IFERROR(MATCH(26,'_list'!$N$2:$N$676,0),"")</f>
        <v/>
      </c>
      <c r="S45">
        <f>IF($R45="","",INDEX('_list'!$C$2:$C$676,$R45))</f>
        <v/>
      </c>
    </row>
    <row r="46" ht="16" customHeight="1">
      <c r="B46" s="112">
        <f>IF($R46="","",27)</f>
        <v/>
      </c>
      <c r="C46" s="113">
        <f>IF($R46="","",IF(INDEX('_list'!$D$2:$D$676,$R46)="","",INDEX('_list'!$D$2:$D$676,$R46)))</f>
        <v/>
      </c>
      <c r="D46" s="113">
        <f>IF($R46="","",IF(INDEX('_list'!$E$2:$E$676,$R46)="","",INDEX('_list'!$E$2:$E$676,$R46)))</f>
        <v/>
      </c>
      <c r="E46" s="113">
        <f>IF($R46="","",IF(INDEX('_list'!$F$2:$F$676,$R46)="","",INDEX('_list'!$F$2:$F$676,$R46)))</f>
        <v/>
      </c>
      <c r="F46" s="114">
        <f>IF($R46="","",IF(INDEX('_list'!$G$2:$G$676,$R46)="","",INDEX('_list'!$G$2:$G$676,$R46)))</f>
        <v/>
      </c>
      <c r="G46" s="115">
        <f>IF($S46="","",IF(INDEX('_pockets'!$AH:$AH,$S46)="","",INDEX('_pockets'!$AH:$AH,$S46)))</f>
        <v/>
      </c>
      <c r="H46" s="115">
        <f>IF($S46="","",IF(INDEX('_pockets'!$AF:$AF,$S46)="","",INDEX('_pockets'!$AF:$AF,$S46)))</f>
        <v/>
      </c>
      <c r="I46" s="116">
        <f>IF(IF($S46="","",IF(INDEX('_pockets'!$AB:$AB,$S46)="","",INDEX('_pockets'!$AB:$AB,$S46)))="","",IF($S46="","",IF(INDEX('_pockets'!$AB:$AB,$S46)="","",INDEX('_pockets'!$AB:$AB,$S46)))*IF($U$18,100,1))</f>
        <v/>
      </c>
      <c r="J46" s="114">
        <f>IF($S46="","",IF(INDEX('_pockets'!$Z:$Z,$S46)="","",INDEX('_pockets'!$Z:$Z,$S46)))</f>
        <v/>
      </c>
      <c r="K46" s="117">
        <f>IF($S46="","",IF(INDEX('_pockets'!$AO:$AO,$S46)="","",INDEX('_pockets'!$AO:$AO,$S46)))</f>
        <v/>
      </c>
      <c r="L46" s="118">
        <f>IF($S46="","",IF(INDEX('_pockets'!$AC:$AC,$S46)="","",INDEX('_pockets'!$AC:$AC,$S46)))</f>
        <v/>
      </c>
      <c r="M46" s="117">
        <f>IF($R46="","",IF(INDEX('_list'!$L$2:$L$676,$R46)="","",INDEX('_list'!$L$2:$L$676,$R46)))</f>
        <v/>
      </c>
      <c r="N46" s="116">
        <f>IF($R46="","",IF(INDEX('_list'!$H$2:$H$676,$R46)="","",INDEX('_list'!$H$2:$H$676,$R46)))</f>
        <v/>
      </c>
      <c r="O46" s="113">
        <f>IF($R46="","",IF(INDEX('_list'!$I$2:$I$676,$R46)="","",INDEX('_list'!$I$2:$I$676,$R46)))</f>
        <v/>
      </c>
      <c r="R46">
        <f>IFERROR(MATCH(27,'_list'!$N$2:$N$676,0),"")</f>
        <v/>
      </c>
      <c r="S46">
        <f>IF($R46="","",INDEX('_list'!$C$2:$C$676,$R46))</f>
        <v/>
      </c>
    </row>
    <row r="47" ht="16" customHeight="1">
      <c r="B47" s="112">
        <f>IF($R47="","",28)</f>
        <v/>
      </c>
      <c r="C47" s="113">
        <f>IF($R47="","",IF(INDEX('_list'!$D$2:$D$676,$R47)="","",INDEX('_list'!$D$2:$D$676,$R47)))</f>
        <v/>
      </c>
      <c r="D47" s="113">
        <f>IF($R47="","",IF(INDEX('_list'!$E$2:$E$676,$R47)="","",INDEX('_list'!$E$2:$E$676,$R47)))</f>
        <v/>
      </c>
      <c r="E47" s="113">
        <f>IF($R47="","",IF(INDEX('_list'!$F$2:$F$676,$R47)="","",INDEX('_list'!$F$2:$F$676,$R47)))</f>
        <v/>
      </c>
      <c r="F47" s="114">
        <f>IF($R47="","",IF(INDEX('_list'!$G$2:$G$676,$R47)="","",INDEX('_list'!$G$2:$G$676,$R47)))</f>
        <v/>
      </c>
      <c r="G47" s="115">
        <f>IF($S47="","",IF(INDEX('_pockets'!$AH:$AH,$S47)="","",INDEX('_pockets'!$AH:$AH,$S47)))</f>
        <v/>
      </c>
      <c r="H47" s="115">
        <f>IF($S47="","",IF(INDEX('_pockets'!$AF:$AF,$S47)="","",INDEX('_pockets'!$AF:$AF,$S47)))</f>
        <v/>
      </c>
      <c r="I47" s="116">
        <f>IF(IF($S47="","",IF(INDEX('_pockets'!$AB:$AB,$S47)="","",INDEX('_pockets'!$AB:$AB,$S47)))="","",IF($S47="","",IF(INDEX('_pockets'!$AB:$AB,$S47)="","",INDEX('_pockets'!$AB:$AB,$S47)))*IF($U$18,100,1))</f>
        <v/>
      </c>
      <c r="J47" s="114">
        <f>IF($S47="","",IF(INDEX('_pockets'!$Z:$Z,$S47)="","",INDEX('_pockets'!$Z:$Z,$S47)))</f>
        <v/>
      </c>
      <c r="K47" s="117">
        <f>IF($S47="","",IF(INDEX('_pockets'!$AO:$AO,$S47)="","",INDEX('_pockets'!$AO:$AO,$S47)))</f>
        <v/>
      </c>
      <c r="L47" s="118">
        <f>IF($S47="","",IF(INDEX('_pockets'!$AC:$AC,$S47)="","",INDEX('_pockets'!$AC:$AC,$S47)))</f>
        <v/>
      </c>
      <c r="M47" s="117">
        <f>IF($R47="","",IF(INDEX('_list'!$L$2:$L$676,$R47)="","",INDEX('_list'!$L$2:$L$676,$R47)))</f>
        <v/>
      </c>
      <c r="N47" s="116">
        <f>IF($R47="","",IF(INDEX('_list'!$H$2:$H$676,$R47)="","",INDEX('_list'!$H$2:$H$676,$R47)))</f>
        <v/>
      </c>
      <c r="O47" s="113">
        <f>IF($R47="","",IF(INDEX('_list'!$I$2:$I$676,$R47)="","",INDEX('_list'!$I$2:$I$676,$R47)))</f>
        <v/>
      </c>
      <c r="R47">
        <f>IFERROR(MATCH(28,'_list'!$N$2:$N$676,0),"")</f>
        <v/>
      </c>
      <c r="S47">
        <f>IF($R47="","",INDEX('_list'!$C$2:$C$676,$R47))</f>
        <v/>
      </c>
    </row>
    <row r="48" ht="16" customHeight="1">
      <c r="B48" s="112">
        <f>IF($R48="","",29)</f>
        <v/>
      </c>
      <c r="C48" s="113">
        <f>IF($R48="","",IF(INDEX('_list'!$D$2:$D$676,$R48)="","",INDEX('_list'!$D$2:$D$676,$R48)))</f>
        <v/>
      </c>
      <c r="D48" s="113">
        <f>IF($R48="","",IF(INDEX('_list'!$E$2:$E$676,$R48)="","",INDEX('_list'!$E$2:$E$676,$R48)))</f>
        <v/>
      </c>
      <c r="E48" s="113">
        <f>IF($R48="","",IF(INDEX('_list'!$F$2:$F$676,$R48)="","",INDEX('_list'!$F$2:$F$676,$R48)))</f>
        <v/>
      </c>
      <c r="F48" s="114">
        <f>IF($R48="","",IF(INDEX('_list'!$G$2:$G$676,$R48)="","",INDEX('_list'!$G$2:$G$676,$R48)))</f>
        <v/>
      </c>
      <c r="G48" s="115">
        <f>IF($S48="","",IF(INDEX('_pockets'!$AH:$AH,$S48)="","",INDEX('_pockets'!$AH:$AH,$S48)))</f>
        <v/>
      </c>
      <c r="H48" s="115">
        <f>IF($S48="","",IF(INDEX('_pockets'!$AF:$AF,$S48)="","",INDEX('_pockets'!$AF:$AF,$S48)))</f>
        <v/>
      </c>
      <c r="I48" s="116">
        <f>IF(IF($S48="","",IF(INDEX('_pockets'!$AB:$AB,$S48)="","",INDEX('_pockets'!$AB:$AB,$S48)))="","",IF($S48="","",IF(INDEX('_pockets'!$AB:$AB,$S48)="","",INDEX('_pockets'!$AB:$AB,$S48)))*IF($U$18,100,1))</f>
        <v/>
      </c>
      <c r="J48" s="114">
        <f>IF($S48="","",IF(INDEX('_pockets'!$Z:$Z,$S48)="","",INDEX('_pockets'!$Z:$Z,$S48)))</f>
        <v/>
      </c>
      <c r="K48" s="117">
        <f>IF($S48="","",IF(INDEX('_pockets'!$AO:$AO,$S48)="","",INDEX('_pockets'!$AO:$AO,$S48)))</f>
        <v/>
      </c>
      <c r="L48" s="118">
        <f>IF($S48="","",IF(INDEX('_pockets'!$AC:$AC,$S48)="","",INDEX('_pockets'!$AC:$AC,$S48)))</f>
        <v/>
      </c>
      <c r="M48" s="117">
        <f>IF($R48="","",IF(INDEX('_list'!$L$2:$L$676,$R48)="","",INDEX('_list'!$L$2:$L$676,$R48)))</f>
        <v/>
      </c>
      <c r="N48" s="116">
        <f>IF($R48="","",IF(INDEX('_list'!$H$2:$H$676,$R48)="","",INDEX('_list'!$H$2:$H$676,$R48)))</f>
        <v/>
      </c>
      <c r="O48" s="113">
        <f>IF($R48="","",IF(INDEX('_list'!$I$2:$I$676,$R48)="","",INDEX('_list'!$I$2:$I$676,$R48)))</f>
        <v/>
      </c>
      <c r="R48">
        <f>IFERROR(MATCH(29,'_list'!$N$2:$N$676,0),"")</f>
        <v/>
      </c>
      <c r="S48">
        <f>IF($R48="","",INDEX('_list'!$C$2:$C$676,$R48))</f>
        <v/>
      </c>
    </row>
    <row r="49" ht="16" customHeight="1">
      <c r="B49" s="112">
        <f>IF($R49="","",30)</f>
        <v/>
      </c>
      <c r="C49" s="113">
        <f>IF($R49="","",IF(INDEX('_list'!$D$2:$D$676,$R49)="","",INDEX('_list'!$D$2:$D$676,$R49)))</f>
        <v/>
      </c>
      <c r="D49" s="113">
        <f>IF($R49="","",IF(INDEX('_list'!$E$2:$E$676,$R49)="","",INDEX('_list'!$E$2:$E$676,$R49)))</f>
        <v/>
      </c>
      <c r="E49" s="113">
        <f>IF($R49="","",IF(INDEX('_list'!$F$2:$F$676,$R49)="","",INDEX('_list'!$F$2:$F$676,$R49)))</f>
        <v/>
      </c>
      <c r="F49" s="114">
        <f>IF($R49="","",IF(INDEX('_list'!$G$2:$G$676,$R49)="","",INDEX('_list'!$G$2:$G$676,$R49)))</f>
        <v/>
      </c>
      <c r="G49" s="115">
        <f>IF($S49="","",IF(INDEX('_pockets'!$AH:$AH,$S49)="","",INDEX('_pockets'!$AH:$AH,$S49)))</f>
        <v/>
      </c>
      <c r="H49" s="115">
        <f>IF($S49="","",IF(INDEX('_pockets'!$AF:$AF,$S49)="","",INDEX('_pockets'!$AF:$AF,$S49)))</f>
        <v/>
      </c>
      <c r="I49" s="116">
        <f>IF(IF($S49="","",IF(INDEX('_pockets'!$AB:$AB,$S49)="","",INDEX('_pockets'!$AB:$AB,$S49)))="","",IF($S49="","",IF(INDEX('_pockets'!$AB:$AB,$S49)="","",INDEX('_pockets'!$AB:$AB,$S49)))*IF($U$18,100,1))</f>
        <v/>
      </c>
      <c r="J49" s="114">
        <f>IF($S49="","",IF(INDEX('_pockets'!$Z:$Z,$S49)="","",INDEX('_pockets'!$Z:$Z,$S49)))</f>
        <v/>
      </c>
      <c r="K49" s="117">
        <f>IF($S49="","",IF(INDEX('_pockets'!$AO:$AO,$S49)="","",INDEX('_pockets'!$AO:$AO,$S49)))</f>
        <v/>
      </c>
      <c r="L49" s="118">
        <f>IF($S49="","",IF(INDEX('_pockets'!$AC:$AC,$S49)="","",INDEX('_pockets'!$AC:$AC,$S49)))</f>
        <v/>
      </c>
      <c r="M49" s="117">
        <f>IF($R49="","",IF(INDEX('_list'!$L$2:$L$676,$R49)="","",INDEX('_list'!$L$2:$L$676,$R49)))</f>
        <v/>
      </c>
      <c r="N49" s="116">
        <f>IF($R49="","",IF(INDEX('_list'!$H$2:$H$676,$R49)="","",INDEX('_list'!$H$2:$H$676,$R49)))</f>
        <v/>
      </c>
      <c r="O49" s="113">
        <f>IF($R49="","",IF(INDEX('_list'!$I$2:$I$676,$R49)="","",INDEX('_list'!$I$2:$I$676,$R49)))</f>
        <v/>
      </c>
      <c r="R49">
        <f>IFERROR(MATCH(30,'_list'!$N$2:$N$676,0),"")</f>
        <v/>
      </c>
      <c r="S49">
        <f>IF($R49="","",INDEX('_list'!$C$2:$C$676,$R49))</f>
        <v/>
      </c>
    </row>
    <row r="50" ht="16" customHeight="1">
      <c r="B50" s="112">
        <f>IF($R50="","",31)</f>
        <v/>
      </c>
      <c r="C50" s="113">
        <f>IF($R50="","",IF(INDEX('_list'!$D$2:$D$676,$R50)="","",INDEX('_list'!$D$2:$D$676,$R50)))</f>
        <v/>
      </c>
      <c r="D50" s="113">
        <f>IF($R50="","",IF(INDEX('_list'!$E$2:$E$676,$R50)="","",INDEX('_list'!$E$2:$E$676,$R50)))</f>
        <v/>
      </c>
      <c r="E50" s="113">
        <f>IF($R50="","",IF(INDEX('_list'!$F$2:$F$676,$R50)="","",INDEX('_list'!$F$2:$F$676,$R50)))</f>
        <v/>
      </c>
      <c r="F50" s="114">
        <f>IF($R50="","",IF(INDEX('_list'!$G$2:$G$676,$R50)="","",INDEX('_list'!$G$2:$G$676,$R50)))</f>
        <v/>
      </c>
      <c r="G50" s="115">
        <f>IF($S50="","",IF(INDEX('_pockets'!$AH:$AH,$S50)="","",INDEX('_pockets'!$AH:$AH,$S50)))</f>
        <v/>
      </c>
      <c r="H50" s="115">
        <f>IF($S50="","",IF(INDEX('_pockets'!$AF:$AF,$S50)="","",INDEX('_pockets'!$AF:$AF,$S50)))</f>
        <v/>
      </c>
      <c r="I50" s="116">
        <f>IF(IF($S50="","",IF(INDEX('_pockets'!$AB:$AB,$S50)="","",INDEX('_pockets'!$AB:$AB,$S50)))="","",IF($S50="","",IF(INDEX('_pockets'!$AB:$AB,$S50)="","",INDEX('_pockets'!$AB:$AB,$S50)))*IF($U$18,100,1))</f>
        <v/>
      </c>
      <c r="J50" s="114">
        <f>IF($S50="","",IF(INDEX('_pockets'!$Z:$Z,$S50)="","",INDEX('_pockets'!$Z:$Z,$S50)))</f>
        <v/>
      </c>
      <c r="K50" s="117">
        <f>IF($S50="","",IF(INDEX('_pockets'!$AO:$AO,$S50)="","",INDEX('_pockets'!$AO:$AO,$S50)))</f>
        <v/>
      </c>
      <c r="L50" s="118">
        <f>IF($S50="","",IF(INDEX('_pockets'!$AC:$AC,$S50)="","",INDEX('_pockets'!$AC:$AC,$S50)))</f>
        <v/>
      </c>
      <c r="M50" s="117">
        <f>IF($R50="","",IF(INDEX('_list'!$L$2:$L$676,$R50)="","",INDEX('_list'!$L$2:$L$676,$R50)))</f>
        <v/>
      </c>
      <c r="N50" s="116">
        <f>IF($R50="","",IF(INDEX('_list'!$H$2:$H$676,$R50)="","",INDEX('_list'!$H$2:$H$676,$R50)))</f>
        <v/>
      </c>
      <c r="O50" s="113">
        <f>IF($R50="","",IF(INDEX('_list'!$I$2:$I$676,$R50)="","",INDEX('_list'!$I$2:$I$676,$R50)))</f>
        <v/>
      </c>
      <c r="R50">
        <f>IFERROR(MATCH(31,'_list'!$N$2:$N$676,0),"")</f>
        <v/>
      </c>
      <c r="S50">
        <f>IF($R50="","",INDEX('_list'!$C$2:$C$676,$R50))</f>
        <v/>
      </c>
    </row>
    <row r="51" ht="16" customHeight="1">
      <c r="B51" s="112">
        <f>IF($R51="","",32)</f>
        <v/>
      </c>
      <c r="C51" s="113">
        <f>IF($R51="","",IF(INDEX('_list'!$D$2:$D$676,$R51)="","",INDEX('_list'!$D$2:$D$676,$R51)))</f>
        <v/>
      </c>
      <c r="D51" s="113">
        <f>IF($R51="","",IF(INDEX('_list'!$E$2:$E$676,$R51)="","",INDEX('_list'!$E$2:$E$676,$R51)))</f>
        <v/>
      </c>
      <c r="E51" s="113">
        <f>IF($R51="","",IF(INDEX('_list'!$F$2:$F$676,$R51)="","",INDEX('_list'!$F$2:$F$676,$R51)))</f>
        <v/>
      </c>
      <c r="F51" s="114">
        <f>IF($R51="","",IF(INDEX('_list'!$G$2:$G$676,$R51)="","",INDEX('_list'!$G$2:$G$676,$R51)))</f>
        <v/>
      </c>
      <c r="G51" s="115">
        <f>IF($S51="","",IF(INDEX('_pockets'!$AH:$AH,$S51)="","",INDEX('_pockets'!$AH:$AH,$S51)))</f>
        <v/>
      </c>
      <c r="H51" s="115">
        <f>IF($S51="","",IF(INDEX('_pockets'!$AF:$AF,$S51)="","",INDEX('_pockets'!$AF:$AF,$S51)))</f>
        <v/>
      </c>
      <c r="I51" s="116">
        <f>IF(IF($S51="","",IF(INDEX('_pockets'!$AB:$AB,$S51)="","",INDEX('_pockets'!$AB:$AB,$S51)))="","",IF($S51="","",IF(INDEX('_pockets'!$AB:$AB,$S51)="","",INDEX('_pockets'!$AB:$AB,$S51)))*IF($U$18,100,1))</f>
        <v/>
      </c>
      <c r="J51" s="114">
        <f>IF($S51="","",IF(INDEX('_pockets'!$Z:$Z,$S51)="","",INDEX('_pockets'!$Z:$Z,$S51)))</f>
        <v/>
      </c>
      <c r="K51" s="117">
        <f>IF($S51="","",IF(INDEX('_pockets'!$AO:$AO,$S51)="","",INDEX('_pockets'!$AO:$AO,$S51)))</f>
        <v/>
      </c>
      <c r="L51" s="118">
        <f>IF($S51="","",IF(INDEX('_pockets'!$AC:$AC,$S51)="","",INDEX('_pockets'!$AC:$AC,$S51)))</f>
        <v/>
      </c>
      <c r="M51" s="117">
        <f>IF($R51="","",IF(INDEX('_list'!$L$2:$L$676,$R51)="","",INDEX('_list'!$L$2:$L$676,$R51)))</f>
        <v/>
      </c>
      <c r="N51" s="116">
        <f>IF($R51="","",IF(INDEX('_list'!$H$2:$H$676,$R51)="","",INDEX('_list'!$H$2:$H$676,$R51)))</f>
        <v/>
      </c>
      <c r="O51" s="113">
        <f>IF($R51="","",IF(INDEX('_list'!$I$2:$I$676,$R51)="","",INDEX('_list'!$I$2:$I$676,$R51)))</f>
        <v/>
      </c>
      <c r="R51">
        <f>IFERROR(MATCH(32,'_list'!$N$2:$N$676,0),"")</f>
        <v/>
      </c>
      <c r="S51">
        <f>IF($R51="","",INDEX('_list'!$C$2:$C$676,$R51))</f>
        <v/>
      </c>
    </row>
    <row r="52" ht="16" customHeight="1">
      <c r="B52" s="112">
        <f>IF($R52="","",33)</f>
        <v/>
      </c>
      <c r="C52" s="113">
        <f>IF($R52="","",IF(INDEX('_list'!$D$2:$D$676,$R52)="","",INDEX('_list'!$D$2:$D$676,$R52)))</f>
        <v/>
      </c>
      <c r="D52" s="113">
        <f>IF($R52="","",IF(INDEX('_list'!$E$2:$E$676,$R52)="","",INDEX('_list'!$E$2:$E$676,$R52)))</f>
        <v/>
      </c>
      <c r="E52" s="113">
        <f>IF($R52="","",IF(INDEX('_list'!$F$2:$F$676,$R52)="","",INDEX('_list'!$F$2:$F$676,$R52)))</f>
        <v/>
      </c>
      <c r="F52" s="114">
        <f>IF($R52="","",IF(INDEX('_list'!$G$2:$G$676,$R52)="","",INDEX('_list'!$G$2:$G$676,$R52)))</f>
        <v/>
      </c>
      <c r="G52" s="115">
        <f>IF($S52="","",IF(INDEX('_pockets'!$AH:$AH,$S52)="","",INDEX('_pockets'!$AH:$AH,$S52)))</f>
        <v/>
      </c>
      <c r="H52" s="115">
        <f>IF($S52="","",IF(INDEX('_pockets'!$AF:$AF,$S52)="","",INDEX('_pockets'!$AF:$AF,$S52)))</f>
        <v/>
      </c>
      <c r="I52" s="116">
        <f>IF(IF($S52="","",IF(INDEX('_pockets'!$AB:$AB,$S52)="","",INDEX('_pockets'!$AB:$AB,$S52)))="","",IF($S52="","",IF(INDEX('_pockets'!$AB:$AB,$S52)="","",INDEX('_pockets'!$AB:$AB,$S52)))*IF($U$18,100,1))</f>
        <v/>
      </c>
      <c r="J52" s="114">
        <f>IF($S52="","",IF(INDEX('_pockets'!$Z:$Z,$S52)="","",INDEX('_pockets'!$Z:$Z,$S52)))</f>
        <v/>
      </c>
      <c r="K52" s="117">
        <f>IF($S52="","",IF(INDEX('_pockets'!$AO:$AO,$S52)="","",INDEX('_pockets'!$AO:$AO,$S52)))</f>
        <v/>
      </c>
      <c r="L52" s="118">
        <f>IF($S52="","",IF(INDEX('_pockets'!$AC:$AC,$S52)="","",INDEX('_pockets'!$AC:$AC,$S52)))</f>
        <v/>
      </c>
      <c r="M52" s="117">
        <f>IF($R52="","",IF(INDEX('_list'!$L$2:$L$676,$R52)="","",INDEX('_list'!$L$2:$L$676,$R52)))</f>
        <v/>
      </c>
      <c r="N52" s="116">
        <f>IF($R52="","",IF(INDEX('_list'!$H$2:$H$676,$R52)="","",INDEX('_list'!$H$2:$H$676,$R52)))</f>
        <v/>
      </c>
      <c r="O52" s="113">
        <f>IF($R52="","",IF(INDEX('_list'!$I$2:$I$676,$R52)="","",INDEX('_list'!$I$2:$I$676,$R52)))</f>
        <v/>
      </c>
      <c r="R52">
        <f>IFERROR(MATCH(33,'_list'!$N$2:$N$676,0),"")</f>
        <v/>
      </c>
      <c r="S52">
        <f>IF($R52="","",INDEX('_list'!$C$2:$C$676,$R52))</f>
        <v/>
      </c>
    </row>
    <row r="53" ht="16" customHeight="1">
      <c r="B53" s="112">
        <f>IF($R53="","",34)</f>
        <v/>
      </c>
      <c r="C53" s="113">
        <f>IF($R53="","",IF(INDEX('_list'!$D$2:$D$676,$R53)="","",INDEX('_list'!$D$2:$D$676,$R53)))</f>
        <v/>
      </c>
      <c r="D53" s="113">
        <f>IF($R53="","",IF(INDEX('_list'!$E$2:$E$676,$R53)="","",INDEX('_list'!$E$2:$E$676,$R53)))</f>
        <v/>
      </c>
      <c r="E53" s="113">
        <f>IF($R53="","",IF(INDEX('_list'!$F$2:$F$676,$R53)="","",INDEX('_list'!$F$2:$F$676,$R53)))</f>
        <v/>
      </c>
      <c r="F53" s="114">
        <f>IF($R53="","",IF(INDEX('_list'!$G$2:$G$676,$R53)="","",INDEX('_list'!$G$2:$G$676,$R53)))</f>
        <v/>
      </c>
      <c r="G53" s="115">
        <f>IF($S53="","",IF(INDEX('_pockets'!$AH:$AH,$S53)="","",INDEX('_pockets'!$AH:$AH,$S53)))</f>
        <v/>
      </c>
      <c r="H53" s="115">
        <f>IF($S53="","",IF(INDEX('_pockets'!$AF:$AF,$S53)="","",INDEX('_pockets'!$AF:$AF,$S53)))</f>
        <v/>
      </c>
      <c r="I53" s="116">
        <f>IF(IF($S53="","",IF(INDEX('_pockets'!$AB:$AB,$S53)="","",INDEX('_pockets'!$AB:$AB,$S53)))="","",IF($S53="","",IF(INDEX('_pockets'!$AB:$AB,$S53)="","",INDEX('_pockets'!$AB:$AB,$S53)))*IF($U$18,100,1))</f>
        <v/>
      </c>
      <c r="J53" s="114">
        <f>IF($S53="","",IF(INDEX('_pockets'!$Z:$Z,$S53)="","",INDEX('_pockets'!$Z:$Z,$S53)))</f>
        <v/>
      </c>
      <c r="K53" s="117">
        <f>IF($S53="","",IF(INDEX('_pockets'!$AO:$AO,$S53)="","",INDEX('_pockets'!$AO:$AO,$S53)))</f>
        <v/>
      </c>
      <c r="L53" s="118">
        <f>IF($S53="","",IF(INDEX('_pockets'!$AC:$AC,$S53)="","",INDEX('_pockets'!$AC:$AC,$S53)))</f>
        <v/>
      </c>
      <c r="M53" s="117">
        <f>IF($R53="","",IF(INDEX('_list'!$L$2:$L$676,$R53)="","",INDEX('_list'!$L$2:$L$676,$R53)))</f>
        <v/>
      </c>
      <c r="N53" s="116">
        <f>IF($R53="","",IF(INDEX('_list'!$H$2:$H$676,$R53)="","",INDEX('_list'!$H$2:$H$676,$R53)))</f>
        <v/>
      </c>
      <c r="O53" s="113">
        <f>IF($R53="","",IF(INDEX('_list'!$I$2:$I$676,$R53)="","",INDEX('_list'!$I$2:$I$676,$R53)))</f>
        <v/>
      </c>
      <c r="R53">
        <f>IFERROR(MATCH(34,'_list'!$N$2:$N$676,0),"")</f>
        <v/>
      </c>
      <c r="S53">
        <f>IF($R53="","",INDEX('_list'!$C$2:$C$676,$R53))</f>
        <v/>
      </c>
    </row>
    <row r="54" ht="16" customHeight="1">
      <c r="B54" s="112">
        <f>IF($R54="","",35)</f>
        <v/>
      </c>
      <c r="C54" s="113">
        <f>IF($R54="","",IF(INDEX('_list'!$D$2:$D$676,$R54)="","",INDEX('_list'!$D$2:$D$676,$R54)))</f>
        <v/>
      </c>
      <c r="D54" s="113">
        <f>IF($R54="","",IF(INDEX('_list'!$E$2:$E$676,$R54)="","",INDEX('_list'!$E$2:$E$676,$R54)))</f>
        <v/>
      </c>
      <c r="E54" s="113">
        <f>IF($R54="","",IF(INDEX('_list'!$F$2:$F$676,$R54)="","",INDEX('_list'!$F$2:$F$676,$R54)))</f>
        <v/>
      </c>
      <c r="F54" s="114">
        <f>IF($R54="","",IF(INDEX('_list'!$G$2:$G$676,$R54)="","",INDEX('_list'!$G$2:$G$676,$R54)))</f>
        <v/>
      </c>
      <c r="G54" s="115">
        <f>IF($S54="","",IF(INDEX('_pockets'!$AH:$AH,$S54)="","",INDEX('_pockets'!$AH:$AH,$S54)))</f>
        <v/>
      </c>
      <c r="H54" s="115">
        <f>IF($S54="","",IF(INDEX('_pockets'!$AF:$AF,$S54)="","",INDEX('_pockets'!$AF:$AF,$S54)))</f>
        <v/>
      </c>
      <c r="I54" s="116">
        <f>IF(IF($S54="","",IF(INDEX('_pockets'!$AB:$AB,$S54)="","",INDEX('_pockets'!$AB:$AB,$S54)))="","",IF($S54="","",IF(INDEX('_pockets'!$AB:$AB,$S54)="","",INDEX('_pockets'!$AB:$AB,$S54)))*IF($U$18,100,1))</f>
        <v/>
      </c>
      <c r="J54" s="114">
        <f>IF($S54="","",IF(INDEX('_pockets'!$Z:$Z,$S54)="","",INDEX('_pockets'!$Z:$Z,$S54)))</f>
        <v/>
      </c>
      <c r="K54" s="117">
        <f>IF($S54="","",IF(INDEX('_pockets'!$AO:$AO,$S54)="","",INDEX('_pockets'!$AO:$AO,$S54)))</f>
        <v/>
      </c>
      <c r="L54" s="118">
        <f>IF($S54="","",IF(INDEX('_pockets'!$AC:$AC,$S54)="","",INDEX('_pockets'!$AC:$AC,$S54)))</f>
        <v/>
      </c>
      <c r="M54" s="117">
        <f>IF($R54="","",IF(INDEX('_list'!$L$2:$L$676,$R54)="","",INDEX('_list'!$L$2:$L$676,$R54)))</f>
        <v/>
      </c>
      <c r="N54" s="116">
        <f>IF($R54="","",IF(INDEX('_list'!$H$2:$H$676,$R54)="","",INDEX('_list'!$H$2:$H$676,$R54)))</f>
        <v/>
      </c>
      <c r="O54" s="113">
        <f>IF($R54="","",IF(INDEX('_list'!$I$2:$I$676,$R54)="","",INDEX('_list'!$I$2:$I$676,$R54)))</f>
        <v/>
      </c>
      <c r="R54">
        <f>IFERROR(MATCH(35,'_list'!$N$2:$N$676,0),"")</f>
        <v/>
      </c>
      <c r="S54">
        <f>IF($R54="","",INDEX('_list'!$C$2:$C$676,$R54))</f>
        <v/>
      </c>
    </row>
    <row r="55" ht="16" customHeight="1">
      <c r="B55" s="112">
        <f>IF($R55="","",36)</f>
        <v/>
      </c>
      <c r="C55" s="113">
        <f>IF($R55="","",IF(INDEX('_list'!$D$2:$D$676,$R55)="","",INDEX('_list'!$D$2:$D$676,$R55)))</f>
        <v/>
      </c>
      <c r="D55" s="113">
        <f>IF($R55="","",IF(INDEX('_list'!$E$2:$E$676,$R55)="","",INDEX('_list'!$E$2:$E$676,$R55)))</f>
        <v/>
      </c>
      <c r="E55" s="113">
        <f>IF($R55="","",IF(INDEX('_list'!$F$2:$F$676,$R55)="","",INDEX('_list'!$F$2:$F$676,$R55)))</f>
        <v/>
      </c>
      <c r="F55" s="114">
        <f>IF($R55="","",IF(INDEX('_list'!$G$2:$G$676,$R55)="","",INDEX('_list'!$G$2:$G$676,$R55)))</f>
        <v/>
      </c>
      <c r="G55" s="115">
        <f>IF($S55="","",IF(INDEX('_pockets'!$AH:$AH,$S55)="","",INDEX('_pockets'!$AH:$AH,$S55)))</f>
        <v/>
      </c>
      <c r="H55" s="115">
        <f>IF($S55="","",IF(INDEX('_pockets'!$AF:$AF,$S55)="","",INDEX('_pockets'!$AF:$AF,$S55)))</f>
        <v/>
      </c>
      <c r="I55" s="116">
        <f>IF(IF($S55="","",IF(INDEX('_pockets'!$AB:$AB,$S55)="","",INDEX('_pockets'!$AB:$AB,$S55)))="","",IF($S55="","",IF(INDEX('_pockets'!$AB:$AB,$S55)="","",INDEX('_pockets'!$AB:$AB,$S55)))*IF($U$18,100,1))</f>
        <v/>
      </c>
      <c r="J55" s="114">
        <f>IF($S55="","",IF(INDEX('_pockets'!$Z:$Z,$S55)="","",INDEX('_pockets'!$Z:$Z,$S55)))</f>
        <v/>
      </c>
      <c r="K55" s="117">
        <f>IF($S55="","",IF(INDEX('_pockets'!$AO:$AO,$S55)="","",INDEX('_pockets'!$AO:$AO,$S55)))</f>
        <v/>
      </c>
      <c r="L55" s="118">
        <f>IF($S55="","",IF(INDEX('_pockets'!$AC:$AC,$S55)="","",INDEX('_pockets'!$AC:$AC,$S55)))</f>
        <v/>
      </c>
      <c r="M55" s="117">
        <f>IF($R55="","",IF(INDEX('_list'!$L$2:$L$676,$R55)="","",INDEX('_list'!$L$2:$L$676,$R55)))</f>
        <v/>
      </c>
      <c r="N55" s="116">
        <f>IF($R55="","",IF(INDEX('_list'!$H$2:$H$676,$R55)="","",INDEX('_list'!$H$2:$H$676,$R55)))</f>
        <v/>
      </c>
      <c r="O55" s="113">
        <f>IF($R55="","",IF(INDEX('_list'!$I$2:$I$676,$R55)="","",INDEX('_list'!$I$2:$I$676,$R55)))</f>
        <v/>
      </c>
      <c r="R55">
        <f>IFERROR(MATCH(36,'_list'!$N$2:$N$676,0),"")</f>
        <v/>
      </c>
      <c r="S55">
        <f>IF($R55="","",INDEX('_list'!$C$2:$C$676,$R55))</f>
        <v/>
      </c>
    </row>
    <row r="56" ht="16" customHeight="1">
      <c r="B56" s="112">
        <f>IF($R56="","",37)</f>
        <v/>
      </c>
      <c r="C56" s="113">
        <f>IF($R56="","",IF(INDEX('_list'!$D$2:$D$676,$R56)="","",INDEX('_list'!$D$2:$D$676,$R56)))</f>
        <v/>
      </c>
      <c r="D56" s="113">
        <f>IF($R56="","",IF(INDEX('_list'!$E$2:$E$676,$R56)="","",INDEX('_list'!$E$2:$E$676,$R56)))</f>
        <v/>
      </c>
      <c r="E56" s="113">
        <f>IF($R56="","",IF(INDEX('_list'!$F$2:$F$676,$R56)="","",INDEX('_list'!$F$2:$F$676,$R56)))</f>
        <v/>
      </c>
      <c r="F56" s="114">
        <f>IF($R56="","",IF(INDEX('_list'!$G$2:$G$676,$R56)="","",INDEX('_list'!$G$2:$G$676,$R56)))</f>
        <v/>
      </c>
      <c r="G56" s="115">
        <f>IF($S56="","",IF(INDEX('_pockets'!$AH:$AH,$S56)="","",INDEX('_pockets'!$AH:$AH,$S56)))</f>
        <v/>
      </c>
      <c r="H56" s="115">
        <f>IF($S56="","",IF(INDEX('_pockets'!$AF:$AF,$S56)="","",INDEX('_pockets'!$AF:$AF,$S56)))</f>
        <v/>
      </c>
      <c r="I56" s="116">
        <f>IF(IF($S56="","",IF(INDEX('_pockets'!$AB:$AB,$S56)="","",INDEX('_pockets'!$AB:$AB,$S56)))="","",IF($S56="","",IF(INDEX('_pockets'!$AB:$AB,$S56)="","",INDEX('_pockets'!$AB:$AB,$S56)))*IF($U$18,100,1))</f>
        <v/>
      </c>
      <c r="J56" s="114">
        <f>IF($S56="","",IF(INDEX('_pockets'!$Z:$Z,$S56)="","",INDEX('_pockets'!$Z:$Z,$S56)))</f>
        <v/>
      </c>
      <c r="K56" s="117">
        <f>IF($S56="","",IF(INDEX('_pockets'!$AO:$AO,$S56)="","",INDEX('_pockets'!$AO:$AO,$S56)))</f>
        <v/>
      </c>
      <c r="L56" s="118">
        <f>IF($S56="","",IF(INDEX('_pockets'!$AC:$AC,$S56)="","",INDEX('_pockets'!$AC:$AC,$S56)))</f>
        <v/>
      </c>
      <c r="M56" s="117">
        <f>IF($R56="","",IF(INDEX('_list'!$L$2:$L$676,$R56)="","",INDEX('_list'!$L$2:$L$676,$R56)))</f>
        <v/>
      </c>
      <c r="N56" s="116">
        <f>IF($R56="","",IF(INDEX('_list'!$H$2:$H$676,$R56)="","",INDEX('_list'!$H$2:$H$676,$R56)))</f>
        <v/>
      </c>
      <c r="O56" s="113">
        <f>IF($R56="","",IF(INDEX('_list'!$I$2:$I$676,$R56)="","",INDEX('_list'!$I$2:$I$676,$R56)))</f>
        <v/>
      </c>
      <c r="R56">
        <f>IFERROR(MATCH(37,'_list'!$N$2:$N$676,0),"")</f>
        <v/>
      </c>
      <c r="S56">
        <f>IF($R56="","",INDEX('_list'!$C$2:$C$676,$R56))</f>
        <v/>
      </c>
    </row>
    <row r="57" ht="16" customHeight="1">
      <c r="B57" s="112">
        <f>IF($R57="","",38)</f>
        <v/>
      </c>
      <c r="C57" s="113">
        <f>IF($R57="","",IF(INDEX('_list'!$D$2:$D$676,$R57)="","",INDEX('_list'!$D$2:$D$676,$R57)))</f>
        <v/>
      </c>
      <c r="D57" s="113">
        <f>IF($R57="","",IF(INDEX('_list'!$E$2:$E$676,$R57)="","",INDEX('_list'!$E$2:$E$676,$R57)))</f>
        <v/>
      </c>
      <c r="E57" s="113">
        <f>IF($R57="","",IF(INDEX('_list'!$F$2:$F$676,$R57)="","",INDEX('_list'!$F$2:$F$676,$R57)))</f>
        <v/>
      </c>
      <c r="F57" s="114">
        <f>IF($R57="","",IF(INDEX('_list'!$G$2:$G$676,$R57)="","",INDEX('_list'!$G$2:$G$676,$R57)))</f>
        <v/>
      </c>
      <c r="G57" s="115">
        <f>IF($S57="","",IF(INDEX('_pockets'!$AH:$AH,$S57)="","",INDEX('_pockets'!$AH:$AH,$S57)))</f>
        <v/>
      </c>
      <c r="H57" s="115">
        <f>IF($S57="","",IF(INDEX('_pockets'!$AF:$AF,$S57)="","",INDEX('_pockets'!$AF:$AF,$S57)))</f>
        <v/>
      </c>
      <c r="I57" s="116">
        <f>IF(IF($S57="","",IF(INDEX('_pockets'!$AB:$AB,$S57)="","",INDEX('_pockets'!$AB:$AB,$S57)))="","",IF($S57="","",IF(INDEX('_pockets'!$AB:$AB,$S57)="","",INDEX('_pockets'!$AB:$AB,$S57)))*IF($U$18,100,1))</f>
        <v/>
      </c>
      <c r="J57" s="114">
        <f>IF($S57="","",IF(INDEX('_pockets'!$Z:$Z,$S57)="","",INDEX('_pockets'!$Z:$Z,$S57)))</f>
        <v/>
      </c>
      <c r="K57" s="117">
        <f>IF($S57="","",IF(INDEX('_pockets'!$AO:$AO,$S57)="","",INDEX('_pockets'!$AO:$AO,$S57)))</f>
        <v/>
      </c>
      <c r="L57" s="118">
        <f>IF($S57="","",IF(INDEX('_pockets'!$AC:$AC,$S57)="","",INDEX('_pockets'!$AC:$AC,$S57)))</f>
        <v/>
      </c>
      <c r="M57" s="117">
        <f>IF($R57="","",IF(INDEX('_list'!$L$2:$L$676,$R57)="","",INDEX('_list'!$L$2:$L$676,$R57)))</f>
        <v/>
      </c>
      <c r="N57" s="116">
        <f>IF($R57="","",IF(INDEX('_list'!$H$2:$H$676,$R57)="","",INDEX('_list'!$H$2:$H$676,$R57)))</f>
        <v/>
      </c>
      <c r="O57" s="113">
        <f>IF($R57="","",IF(INDEX('_list'!$I$2:$I$676,$R57)="","",INDEX('_list'!$I$2:$I$676,$R57)))</f>
        <v/>
      </c>
      <c r="R57">
        <f>IFERROR(MATCH(38,'_list'!$N$2:$N$676,0),"")</f>
        <v/>
      </c>
      <c r="S57">
        <f>IF($R57="","",INDEX('_list'!$C$2:$C$676,$R57))</f>
        <v/>
      </c>
    </row>
    <row r="58" ht="16" customHeight="1">
      <c r="B58" s="112">
        <f>IF($R58="","",39)</f>
        <v/>
      </c>
      <c r="C58" s="113">
        <f>IF($R58="","",IF(INDEX('_list'!$D$2:$D$676,$R58)="","",INDEX('_list'!$D$2:$D$676,$R58)))</f>
        <v/>
      </c>
      <c r="D58" s="113">
        <f>IF($R58="","",IF(INDEX('_list'!$E$2:$E$676,$R58)="","",INDEX('_list'!$E$2:$E$676,$R58)))</f>
        <v/>
      </c>
      <c r="E58" s="113">
        <f>IF($R58="","",IF(INDEX('_list'!$F$2:$F$676,$R58)="","",INDEX('_list'!$F$2:$F$676,$R58)))</f>
        <v/>
      </c>
      <c r="F58" s="114">
        <f>IF($R58="","",IF(INDEX('_list'!$G$2:$G$676,$R58)="","",INDEX('_list'!$G$2:$G$676,$R58)))</f>
        <v/>
      </c>
      <c r="G58" s="115">
        <f>IF($S58="","",IF(INDEX('_pockets'!$AH:$AH,$S58)="","",INDEX('_pockets'!$AH:$AH,$S58)))</f>
        <v/>
      </c>
      <c r="H58" s="115">
        <f>IF($S58="","",IF(INDEX('_pockets'!$AF:$AF,$S58)="","",INDEX('_pockets'!$AF:$AF,$S58)))</f>
        <v/>
      </c>
      <c r="I58" s="116">
        <f>IF(IF($S58="","",IF(INDEX('_pockets'!$AB:$AB,$S58)="","",INDEX('_pockets'!$AB:$AB,$S58)))="","",IF($S58="","",IF(INDEX('_pockets'!$AB:$AB,$S58)="","",INDEX('_pockets'!$AB:$AB,$S58)))*IF($U$18,100,1))</f>
        <v/>
      </c>
      <c r="J58" s="114">
        <f>IF($S58="","",IF(INDEX('_pockets'!$Z:$Z,$S58)="","",INDEX('_pockets'!$Z:$Z,$S58)))</f>
        <v/>
      </c>
      <c r="K58" s="117">
        <f>IF($S58="","",IF(INDEX('_pockets'!$AO:$AO,$S58)="","",INDEX('_pockets'!$AO:$AO,$S58)))</f>
        <v/>
      </c>
      <c r="L58" s="118">
        <f>IF($S58="","",IF(INDEX('_pockets'!$AC:$AC,$S58)="","",INDEX('_pockets'!$AC:$AC,$S58)))</f>
        <v/>
      </c>
      <c r="M58" s="117">
        <f>IF($R58="","",IF(INDEX('_list'!$L$2:$L$676,$R58)="","",INDEX('_list'!$L$2:$L$676,$R58)))</f>
        <v/>
      </c>
      <c r="N58" s="116">
        <f>IF($R58="","",IF(INDEX('_list'!$H$2:$H$676,$R58)="","",INDEX('_list'!$H$2:$H$676,$R58)))</f>
        <v/>
      </c>
      <c r="O58" s="113">
        <f>IF($R58="","",IF(INDEX('_list'!$I$2:$I$676,$R58)="","",INDEX('_list'!$I$2:$I$676,$R58)))</f>
        <v/>
      </c>
      <c r="R58">
        <f>IFERROR(MATCH(39,'_list'!$N$2:$N$676,0),"")</f>
        <v/>
      </c>
      <c r="S58">
        <f>IF($R58="","",INDEX('_list'!$C$2:$C$676,$R58))</f>
        <v/>
      </c>
    </row>
    <row r="59" ht="16" customHeight="1">
      <c r="B59" s="112">
        <f>IF($R59="","",40)</f>
        <v/>
      </c>
      <c r="C59" s="113">
        <f>IF($R59="","",IF(INDEX('_list'!$D$2:$D$676,$R59)="","",INDEX('_list'!$D$2:$D$676,$R59)))</f>
        <v/>
      </c>
      <c r="D59" s="113">
        <f>IF($R59="","",IF(INDEX('_list'!$E$2:$E$676,$R59)="","",INDEX('_list'!$E$2:$E$676,$R59)))</f>
        <v/>
      </c>
      <c r="E59" s="113">
        <f>IF($R59="","",IF(INDEX('_list'!$F$2:$F$676,$R59)="","",INDEX('_list'!$F$2:$F$676,$R59)))</f>
        <v/>
      </c>
      <c r="F59" s="114">
        <f>IF($R59="","",IF(INDEX('_list'!$G$2:$G$676,$R59)="","",INDEX('_list'!$G$2:$G$676,$R59)))</f>
        <v/>
      </c>
      <c r="G59" s="115">
        <f>IF($S59="","",IF(INDEX('_pockets'!$AH:$AH,$S59)="","",INDEX('_pockets'!$AH:$AH,$S59)))</f>
        <v/>
      </c>
      <c r="H59" s="115">
        <f>IF($S59="","",IF(INDEX('_pockets'!$AF:$AF,$S59)="","",INDEX('_pockets'!$AF:$AF,$S59)))</f>
        <v/>
      </c>
      <c r="I59" s="116">
        <f>IF(IF($S59="","",IF(INDEX('_pockets'!$AB:$AB,$S59)="","",INDEX('_pockets'!$AB:$AB,$S59)))="","",IF($S59="","",IF(INDEX('_pockets'!$AB:$AB,$S59)="","",INDEX('_pockets'!$AB:$AB,$S59)))*IF($U$18,100,1))</f>
        <v/>
      </c>
      <c r="J59" s="114">
        <f>IF($S59="","",IF(INDEX('_pockets'!$Z:$Z,$S59)="","",INDEX('_pockets'!$Z:$Z,$S59)))</f>
        <v/>
      </c>
      <c r="K59" s="117">
        <f>IF($S59="","",IF(INDEX('_pockets'!$AO:$AO,$S59)="","",INDEX('_pockets'!$AO:$AO,$S59)))</f>
        <v/>
      </c>
      <c r="L59" s="118">
        <f>IF($S59="","",IF(INDEX('_pockets'!$AC:$AC,$S59)="","",INDEX('_pockets'!$AC:$AC,$S59)))</f>
        <v/>
      </c>
      <c r="M59" s="117">
        <f>IF($R59="","",IF(INDEX('_list'!$L$2:$L$676,$R59)="","",INDEX('_list'!$L$2:$L$676,$R59)))</f>
        <v/>
      </c>
      <c r="N59" s="116">
        <f>IF($R59="","",IF(INDEX('_list'!$H$2:$H$676,$R59)="","",INDEX('_list'!$H$2:$H$676,$R59)))</f>
        <v/>
      </c>
      <c r="O59" s="113">
        <f>IF($R59="","",IF(INDEX('_list'!$I$2:$I$676,$R59)="","",INDEX('_list'!$I$2:$I$676,$R59)))</f>
        <v/>
      </c>
      <c r="R59">
        <f>IFERROR(MATCH(40,'_list'!$N$2:$N$676,0),"")</f>
        <v/>
      </c>
      <c r="S59">
        <f>IF($R59="","",INDEX('_list'!$C$2:$C$676,$R59))</f>
        <v/>
      </c>
    </row>
    <row r="60" ht="16" customHeight="1">
      <c r="B60" s="112">
        <f>IF($R60="","",41)</f>
        <v/>
      </c>
      <c r="C60" s="113">
        <f>IF($R60="","",IF(INDEX('_list'!$D$2:$D$676,$R60)="","",INDEX('_list'!$D$2:$D$676,$R60)))</f>
        <v/>
      </c>
      <c r="D60" s="113">
        <f>IF($R60="","",IF(INDEX('_list'!$E$2:$E$676,$R60)="","",INDEX('_list'!$E$2:$E$676,$R60)))</f>
        <v/>
      </c>
      <c r="E60" s="113">
        <f>IF($R60="","",IF(INDEX('_list'!$F$2:$F$676,$R60)="","",INDEX('_list'!$F$2:$F$676,$R60)))</f>
        <v/>
      </c>
      <c r="F60" s="114">
        <f>IF($R60="","",IF(INDEX('_list'!$G$2:$G$676,$R60)="","",INDEX('_list'!$G$2:$G$676,$R60)))</f>
        <v/>
      </c>
      <c r="G60" s="115">
        <f>IF($S60="","",IF(INDEX('_pockets'!$AH:$AH,$S60)="","",INDEX('_pockets'!$AH:$AH,$S60)))</f>
        <v/>
      </c>
      <c r="H60" s="115">
        <f>IF($S60="","",IF(INDEX('_pockets'!$AF:$AF,$S60)="","",INDEX('_pockets'!$AF:$AF,$S60)))</f>
        <v/>
      </c>
      <c r="I60" s="116">
        <f>IF(IF($S60="","",IF(INDEX('_pockets'!$AB:$AB,$S60)="","",INDEX('_pockets'!$AB:$AB,$S60)))="","",IF($S60="","",IF(INDEX('_pockets'!$AB:$AB,$S60)="","",INDEX('_pockets'!$AB:$AB,$S60)))*IF($U$18,100,1))</f>
        <v/>
      </c>
      <c r="J60" s="114">
        <f>IF($S60="","",IF(INDEX('_pockets'!$Z:$Z,$S60)="","",INDEX('_pockets'!$Z:$Z,$S60)))</f>
        <v/>
      </c>
      <c r="K60" s="117">
        <f>IF($S60="","",IF(INDEX('_pockets'!$AO:$AO,$S60)="","",INDEX('_pockets'!$AO:$AO,$S60)))</f>
        <v/>
      </c>
      <c r="L60" s="118">
        <f>IF($S60="","",IF(INDEX('_pockets'!$AC:$AC,$S60)="","",INDEX('_pockets'!$AC:$AC,$S60)))</f>
        <v/>
      </c>
      <c r="M60" s="117">
        <f>IF($R60="","",IF(INDEX('_list'!$L$2:$L$676,$R60)="","",INDEX('_list'!$L$2:$L$676,$R60)))</f>
        <v/>
      </c>
      <c r="N60" s="116">
        <f>IF($R60="","",IF(INDEX('_list'!$H$2:$H$676,$R60)="","",INDEX('_list'!$H$2:$H$676,$R60)))</f>
        <v/>
      </c>
      <c r="O60" s="113">
        <f>IF($R60="","",IF(INDEX('_list'!$I$2:$I$676,$R60)="","",INDEX('_list'!$I$2:$I$676,$R60)))</f>
        <v/>
      </c>
      <c r="R60">
        <f>IFERROR(MATCH(41,'_list'!$N$2:$N$676,0),"")</f>
        <v/>
      </c>
      <c r="S60">
        <f>IF($R60="","",INDEX('_list'!$C$2:$C$676,$R60))</f>
        <v/>
      </c>
    </row>
    <row r="61" ht="16" customHeight="1">
      <c r="B61" s="112">
        <f>IF($R61="","",42)</f>
        <v/>
      </c>
      <c r="C61" s="113">
        <f>IF($R61="","",IF(INDEX('_list'!$D$2:$D$676,$R61)="","",INDEX('_list'!$D$2:$D$676,$R61)))</f>
        <v/>
      </c>
      <c r="D61" s="113">
        <f>IF($R61="","",IF(INDEX('_list'!$E$2:$E$676,$R61)="","",INDEX('_list'!$E$2:$E$676,$R61)))</f>
        <v/>
      </c>
      <c r="E61" s="113">
        <f>IF($R61="","",IF(INDEX('_list'!$F$2:$F$676,$R61)="","",INDEX('_list'!$F$2:$F$676,$R61)))</f>
        <v/>
      </c>
      <c r="F61" s="114">
        <f>IF($R61="","",IF(INDEX('_list'!$G$2:$G$676,$R61)="","",INDEX('_list'!$G$2:$G$676,$R61)))</f>
        <v/>
      </c>
      <c r="G61" s="115">
        <f>IF($S61="","",IF(INDEX('_pockets'!$AH:$AH,$S61)="","",INDEX('_pockets'!$AH:$AH,$S61)))</f>
        <v/>
      </c>
      <c r="H61" s="115">
        <f>IF($S61="","",IF(INDEX('_pockets'!$AF:$AF,$S61)="","",INDEX('_pockets'!$AF:$AF,$S61)))</f>
        <v/>
      </c>
      <c r="I61" s="116">
        <f>IF(IF($S61="","",IF(INDEX('_pockets'!$AB:$AB,$S61)="","",INDEX('_pockets'!$AB:$AB,$S61)))="","",IF($S61="","",IF(INDEX('_pockets'!$AB:$AB,$S61)="","",INDEX('_pockets'!$AB:$AB,$S61)))*IF($U$18,100,1))</f>
        <v/>
      </c>
      <c r="J61" s="114">
        <f>IF($S61="","",IF(INDEX('_pockets'!$Z:$Z,$S61)="","",INDEX('_pockets'!$Z:$Z,$S61)))</f>
        <v/>
      </c>
      <c r="K61" s="117">
        <f>IF($S61="","",IF(INDEX('_pockets'!$AO:$AO,$S61)="","",INDEX('_pockets'!$AO:$AO,$S61)))</f>
        <v/>
      </c>
      <c r="L61" s="118">
        <f>IF($S61="","",IF(INDEX('_pockets'!$AC:$AC,$S61)="","",INDEX('_pockets'!$AC:$AC,$S61)))</f>
        <v/>
      </c>
      <c r="M61" s="117">
        <f>IF($R61="","",IF(INDEX('_list'!$L$2:$L$676,$R61)="","",INDEX('_list'!$L$2:$L$676,$R61)))</f>
        <v/>
      </c>
      <c r="N61" s="116">
        <f>IF($R61="","",IF(INDEX('_list'!$H$2:$H$676,$R61)="","",INDEX('_list'!$H$2:$H$676,$R61)))</f>
        <v/>
      </c>
      <c r="O61" s="113">
        <f>IF($R61="","",IF(INDEX('_list'!$I$2:$I$676,$R61)="","",INDEX('_list'!$I$2:$I$676,$R61)))</f>
        <v/>
      </c>
      <c r="R61">
        <f>IFERROR(MATCH(42,'_list'!$N$2:$N$676,0),"")</f>
        <v/>
      </c>
      <c r="S61">
        <f>IF($R61="","",INDEX('_list'!$C$2:$C$676,$R61))</f>
        <v/>
      </c>
    </row>
    <row r="62" ht="16" customHeight="1">
      <c r="B62" s="112">
        <f>IF($R62="","",43)</f>
        <v/>
      </c>
      <c r="C62" s="113">
        <f>IF($R62="","",IF(INDEX('_list'!$D$2:$D$676,$R62)="","",INDEX('_list'!$D$2:$D$676,$R62)))</f>
        <v/>
      </c>
      <c r="D62" s="113">
        <f>IF($R62="","",IF(INDEX('_list'!$E$2:$E$676,$R62)="","",INDEX('_list'!$E$2:$E$676,$R62)))</f>
        <v/>
      </c>
      <c r="E62" s="113">
        <f>IF($R62="","",IF(INDEX('_list'!$F$2:$F$676,$R62)="","",INDEX('_list'!$F$2:$F$676,$R62)))</f>
        <v/>
      </c>
      <c r="F62" s="114">
        <f>IF($R62="","",IF(INDEX('_list'!$G$2:$G$676,$R62)="","",INDEX('_list'!$G$2:$G$676,$R62)))</f>
        <v/>
      </c>
      <c r="G62" s="115">
        <f>IF($S62="","",IF(INDEX('_pockets'!$AH:$AH,$S62)="","",INDEX('_pockets'!$AH:$AH,$S62)))</f>
        <v/>
      </c>
      <c r="H62" s="115">
        <f>IF($S62="","",IF(INDEX('_pockets'!$AF:$AF,$S62)="","",INDEX('_pockets'!$AF:$AF,$S62)))</f>
        <v/>
      </c>
      <c r="I62" s="116">
        <f>IF(IF($S62="","",IF(INDEX('_pockets'!$AB:$AB,$S62)="","",INDEX('_pockets'!$AB:$AB,$S62)))="","",IF($S62="","",IF(INDEX('_pockets'!$AB:$AB,$S62)="","",INDEX('_pockets'!$AB:$AB,$S62)))*IF($U$18,100,1))</f>
        <v/>
      </c>
      <c r="J62" s="114">
        <f>IF($S62="","",IF(INDEX('_pockets'!$Z:$Z,$S62)="","",INDEX('_pockets'!$Z:$Z,$S62)))</f>
        <v/>
      </c>
      <c r="K62" s="117">
        <f>IF($S62="","",IF(INDEX('_pockets'!$AO:$AO,$S62)="","",INDEX('_pockets'!$AO:$AO,$S62)))</f>
        <v/>
      </c>
      <c r="L62" s="118">
        <f>IF($S62="","",IF(INDEX('_pockets'!$AC:$AC,$S62)="","",INDEX('_pockets'!$AC:$AC,$S62)))</f>
        <v/>
      </c>
      <c r="M62" s="117">
        <f>IF($R62="","",IF(INDEX('_list'!$L$2:$L$676,$R62)="","",INDEX('_list'!$L$2:$L$676,$R62)))</f>
        <v/>
      </c>
      <c r="N62" s="116">
        <f>IF($R62="","",IF(INDEX('_list'!$H$2:$H$676,$R62)="","",INDEX('_list'!$H$2:$H$676,$R62)))</f>
        <v/>
      </c>
      <c r="O62" s="113">
        <f>IF($R62="","",IF(INDEX('_list'!$I$2:$I$676,$R62)="","",INDEX('_list'!$I$2:$I$676,$R62)))</f>
        <v/>
      </c>
      <c r="R62">
        <f>IFERROR(MATCH(43,'_list'!$N$2:$N$676,0),"")</f>
        <v/>
      </c>
      <c r="S62">
        <f>IF($R62="","",INDEX('_list'!$C$2:$C$676,$R62))</f>
        <v/>
      </c>
    </row>
    <row r="63" ht="16" customHeight="1">
      <c r="B63" s="112">
        <f>IF($R63="","",44)</f>
        <v/>
      </c>
      <c r="C63" s="113">
        <f>IF($R63="","",IF(INDEX('_list'!$D$2:$D$676,$R63)="","",INDEX('_list'!$D$2:$D$676,$R63)))</f>
        <v/>
      </c>
      <c r="D63" s="113">
        <f>IF($R63="","",IF(INDEX('_list'!$E$2:$E$676,$R63)="","",INDEX('_list'!$E$2:$E$676,$R63)))</f>
        <v/>
      </c>
      <c r="E63" s="113">
        <f>IF($R63="","",IF(INDEX('_list'!$F$2:$F$676,$R63)="","",INDEX('_list'!$F$2:$F$676,$R63)))</f>
        <v/>
      </c>
      <c r="F63" s="114">
        <f>IF($R63="","",IF(INDEX('_list'!$G$2:$G$676,$R63)="","",INDEX('_list'!$G$2:$G$676,$R63)))</f>
        <v/>
      </c>
      <c r="G63" s="115">
        <f>IF($S63="","",IF(INDEX('_pockets'!$AH:$AH,$S63)="","",INDEX('_pockets'!$AH:$AH,$S63)))</f>
        <v/>
      </c>
      <c r="H63" s="115">
        <f>IF($S63="","",IF(INDEX('_pockets'!$AF:$AF,$S63)="","",INDEX('_pockets'!$AF:$AF,$S63)))</f>
        <v/>
      </c>
      <c r="I63" s="116">
        <f>IF(IF($S63="","",IF(INDEX('_pockets'!$AB:$AB,$S63)="","",INDEX('_pockets'!$AB:$AB,$S63)))="","",IF($S63="","",IF(INDEX('_pockets'!$AB:$AB,$S63)="","",INDEX('_pockets'!$AB:$AB,$S63)))*IF($U$18,100,1))</f>
        <v/>
      </c>
      <c r="J63" s="114">
        <f>IF($S63="","",IF(INDEX('_pockets'!$Z:$Z,$S63)="","",INDEX('_pockets'!$Z:$Z,$S63)))</f>
        <v/>
      </c>
      <c r="K63" s="117">
        <f>IF($S63="","",IF(INDEX('_pockets'!$AO:$AO,$S63)="","",INDEX('_pockets'!$AO:$AO,$S63)))</f>
        <v/>
      </c>
      <c r="L63" s="118">
        <f>IF($S63="","",IF(INDEX('_pockets'!$AC:$AC,$S63)="","",INDEX('_pockets'!$AC:$AC,$S63)))</f>
        <v/>
      </c>
      <c r="M63" s="117">
        <f>IF($R63="","",IF(INDEX('_list'!$L$2:$L$676,$R63)="","",INDEX('_list'!$L$2:$L$676,$R63)))</f>
        <v/>
      </c>
      <c r="N63" s="116">
        <f>IF($R63="","",IF(INDEX('_list'!$H$2:$H$676,$R63)="","",INDEX('_list'!$H$2:$H$676,$R63)))</f>
        <v/>
      </c>
      <c r="O63" s="113">
        <f>IF($R63="","",IF(INDEX('_list'!$I$2:$I$676,$R63)="","",INDEX('_list'!$I$2:$I$676,$R63)))</f>
        <v/>
      </c>
      <c r="R63">
        <f>IFERROR(MATCH(44,'_list'!$N$2:$N$676,0),"")</f>
        <v/>
      </c>
      <c r="S63">
        <f>IF($R63="","",INDEX('_list'!$C$2:$C$676,$R63))</f>
        <v/>
      </c>
    </row>
    <row r="64" ht="16" customHeight="1">
      <c r="B64" s="112">
        <f>IF($R64="","",45)</f>
        <v/>
      </c>
      <c r="C64" s="113">
        <f>IF($R64="","",IF(INDEX('_list'!$D$2:$D$676,$R64)="","",INDEX('_list'!$D$2:$D$676,$R64)))</f>
        <v/>
      </c>
      <c r="D64" s="113">
        <f>IF($R64="","",IF(INDEX('_list'!$E$2:$E$676,$R64)="","",INDEX('_list'!$E$2:$E$676,$R64)))</f>
        <v/>
      </c>
      <c r="E64" s="113">
        <f>IF($R64="","",IF(INDEX('_list'!$F$2:$F$676,$R64)="","",INDEX('_list'!$F$2:$F$676,$R64)))</f>
        <v/>
      </c>
      <c r="F64" s="114">
        <f>IF($R64="","",IF(INDEX('_list'!$G$2:$G$676,$R64)="","",INDEX('_list'!$G$2:$G$676,$R64)))</f>
        <v/>
      </c>
      <c r="G64" s="115">
        <f>IF($S64="","",IF(INDEX('_pockets'!$AH:$AH,$S64)="","",INDEX('_pockets'!$AH:$AH,$S64)))</f>
        <v/>
      </c>
      <c r="H64" s="115">
        <f>IF($S64="","",IF(INDEX('_pockets'!$AF:$AF,$S64)="","",INDEX('_pockets'!$AF:$AF,$S64)))</f>
        <v/>
      </c>
      <c r="I64" s="116">
        <f>IF(IF($S64="","",IF(INDEX('_pockets'!$AB:$AB,$S64)="","",INDEX('_pockets'!$AB:$AB,$S64)))="","",IF($S64="","",IF(INDEX('_pockets'!$AB:$AB,$S64)="","",INDEX('_pockets'!$AB:$AB,$S64)))*IF($U$18,100,1))</f>
        <v/>
      </c>
      <c r="J64" s="114">
        <f>IF($S64="","",IF(INDEX('_pockets'!$Z:$Z,$S64)="","",INDEX('_pockets'!$Z:$Z,$S64)))</f>
        <v/>
      </c>
      <c r="K64" s="117">
        <f>IF($S64="","",IF(INDEX('_pockets'!$AO:$AO,$S64)="","",INDEX('_pockets'!$AO:$AO,$S64)))</f>
        <v/>
      </c>
      <c r="L64" s="118">
        <f>IF($S64="","",IF(INDEX('_pockets'!$AC:$AC,$S64)="","",INDEX('_pockets'!$AC:$AC,$S64)))</f>
        <v/>
      </c>
      <c r="M64" s="117">
        <f>IF($R64="","",IF(INDEX('_list'!$L$2:$L$676,$R64)="","",INDEX('_list'!$L$2:$L$676,$R64)))</f>
        <v/>
      </c>
      <c r="N64" s="116">
        <f>IF($R64="","",IF(INDEX('_list'!$H$2:$H$676,$R64)="","",INDEX('_list'!$H$2:$H$676,$R64)))</f>
        <v/>
      </c>
      <c r="O64" s="113">
        <f>IF($R64="","",IF(INDEX('_list'!$I$2:$I$676,$R64)="","",INDEX('_list'!$I$2:$I$676,$R64)))</f>
        <v/>
      </c>
      <c r="R64">
        <f>IFERROR(MATCH(45,'_list'!$N$2:$N$676,0),"")</f>
        <v/>
      </c>
      <c r="S64">
        <f>IF($R64="","",INDEX('_list'!$C$2:$C$676,$R64))</f>
        <v/>
      </c>
    </row>
    <row r="65" ht="16" customHeight="1">
      <c r="B65" s="112">
        <f>IF($R65="","",46)</f>
        <v/>
      </c>
      <c r="C65" s="113">
        <f>IF($R65="","",IF(INDEX('_list'!$D$2:$D$676,$R65)="","",INDEX('_list'!$D$2:$D$676,$R65)))</f>
        <v/>
      </c>
      <c r="D65" s="113">
        <f>IF($R65="","",IF(INDEX('_list'!$E$2:$E$676,$R65)="","",INDEX('_list'!$E$2:$E$676,$R65)))</f>
        <v/>
      </c>
      <c r="E65" s="113">
        <f>IF($R65="","",IF(INDEX('_list'!$F$2:$F$676,$R65)="","",INDEX('_list'!$F$2:$F$676,$R65)))</f>
        <v/>
      </c>
      <c r="F65" s="114">
        <f>IF($R65="","",IF(INDEX('_list'!$G$2:$G$676,$R65)="","",INDEX('_list'!$G$2:$G$676,$R65)))</f>
        <v/>
      </c>
      <c r="G65" s="115">
        <f>IF($S65="","",IF(INDEX('_pockets'!$AH:$AH,$S65)="","",INDEX('_pockets'!$AH:$AH,$S65)))</f>
        <v/>
      </c>
      <c r="H65" s="115">
        <f>IF($S65="","",IF(INDEX('_pockets'!$AF:$AF,$S65)="","",INDEX('_pockets'!$AF:$AF,$S65)))</f>
        <v/>
      </c>
      <c r="I65" s="116">
        <f>IF(IF($S65="","",IF(INDEX('_pockets'!$AB:$AB,$S65)="","",INDEX('_pockets'!$AB:$AB,$S65)))="","",IF($S65="","",IF(INDEX('_pockets'!$AB:$AB,$S65)="","",INDEX('_pockets'!$AB:$AB,$S65)))*IF($U$18,100,1))</f>
        <v/>
      </c>
      <c r="J65" s="114">
        <f>IF($S65="","",IF(INDEX('_pockets'!$Z:$Z,$S65)="","",INDEX('_pockets'!$Z:$Z,$S65)))</f>
        <v/>
      </c>
      <c r="K65" s="117">
        <f>IF($S65="","",IF(INDEX('_pockets'!$AO:$AO,$S65)="","",INDEX('_pockets'!$AO:$AO,$S65)))</f>
        <v/>
      </c>
      <c r="L65" s="118">
        <f>IF($S65="","",IF(INDEX('_pockets'!$AC:$AC,$S65)="","",INDEX('_pockets'!$AC:$AC,$S65)))</f>
        <v/>
      </c>
      <c r="M65" s="117">
        <f>IF($R65="","",IF(INDEX('_list'!$L$2:$L$676,$R65)="","",INDEX('_list'!$L$2:$L$676,$R65)))</f>
        <v/>
      </c>
      <c r="N65" s="116">
        <f>IF($R65="","",IF(INDEX('_list'!$H$2:$H$676,$R65)="","",INDEX('_list'!$H$2:$H$676,$R65)))</f>
        <v/>
      </c>
      <c r="O65" s="113">
        <f>IF($R65="","",IF(INDEX('_list'!$I$2:$I$676,$R65)="","",INDEX('_list'!$I$2:$I$676,$R65)))</f>
        <v/>
      </c>
      <c r="R65">
        <f>IFERROR(MATCH(46,'_list'!$N$2:$N$676,0),"")</f>
        <v/>
      </c>
      <c r="S65">
        <f>IF($R65="","",INDEX('_list'!$C$2:$C$676,$R65))</f>
        <v/>
      </c>
    </row>
    <row r="66" ht="16" customHeight="1">
      <c r="B66" s="112">
        <f>IF($R66="","",47)</f>
        <v/>
      </c>
      <c r="C66" s="113">
        <f>IF($R66="","",IF(INDEX('_list'!$D$2:$D$676,$R66)="","",INDEX('_list'!$D$2:$D$676,$R66)))</f>
        <v/>
      </c>
      <c r="D66" s="113">
        <f>IF($R66="","",IF(INDEX('_list'!$E$2:$E$676,$R66)="","",INDEX('_list'!$E$2:$E$676,$R66)))</f>
        <v/>
      </c>
      <c r="E66" s="113">
        <f>IF($R66="","",IF(INDEX('_list'!$F$2:$F$676,$R66)="","",INDEX('_list'!$F$2:$F$676,$R66)))</f>
        <v/>
      </c>
      <c r="F66" s="114">
        <f>IF($R66="","",IF(INDEX('_list'!$G$2:$G$676,$R66)="","",INDEX('_list'!$G$2:$G$676,$R66)))</f>
        <v/>
      </c>
      <c r="G66" s="115">
        <f>IF($S66="","",IF(INDEX('_pockets'!$AH:$AH,$S66)="","",INDEX('_pockets'!$AH:$AH,$S66)))</f>
        <v/>
      </c>
      <c r="H66" s="115">
        <f>IF($S66="","",IF(INDEX('_pockets'!$AF:$AF,$S66)="","",INDEX('_pockets'!$AF:$AF,$S66)))</f>
        <v/>
      </c>
      <c r="I66" s="116">
        <f>IF(IF($S66="","",IF(INDEX('_pockets'!$AB:$AB,$S66)="","",INDEX('_pockets'!$AB:$AB,$S66)))="","",IF($S66="","",IF(INDEX('_pockets'!$AB:$AB,$S66)="","",INDEX('_pockets'!$AB:$AB,$S66)))*IF($U$18,100,1))</f>
        <v/>
      </c>
      <c r="J66" s="114">
        <f>IF($S66="","",IF(INDEX('_pockets'!$Z:$Z,$S66)="","",INDEX('_pockets'!$Z:$Z,$S66)))</f>
        <v/>
      </c>
      <c r="K66" s="117">
        <f>IF($S66="","",IF(INDEX('_pockets'!$AO:$AO,$S66)="","",INDEX('_pockets'!$AO:$AO,$S66)))</f>
        <v/>
      </c>
      <c r="L66" s="118">
        <f>IF($S66="","",IF(INDEX('_pockets'!$AC:$AC,$S66)="","",INDEX('_pockets'!$AC:$AC,$S66)))</f>
        <v/>
      </c>
      <c r="M66" s="117">
        <f>IF($R66="","",IF(INDEX('_list'!$L$2:$L$676,$R66)="","",INDEX('_list'!$L$2:$L$676,$R66)))</f>
        <v/>
      </c>
      <c r="N66" s="116">
        <f>IF($R66="","",IF(INDEX('_list'!$H$2:$H$676,$R66)="","",INDEX('_list'!$H$2:$H$676,$R66)))</f>
        <v/>
      </c>
      <c r="O66" s="113">
        <f>IF($R66="","",IF(INDEX('_list'!$I$2:$I$676,$R66)="","",INDEX('_list'!$I$2:$I$676,$R66)))</f>
        <v/>
      </c>
      <c r="R66">
        <f>IFERROR(MATCH(47,'_list'!$N$2:$N$676,0),"")</f>
        <v/>
      </c>
      <c r="S66">
        <f>IF($R66="","",INDEX('_list'!$C$2:$C$676,$R66))</f>
        <v/>
      </c>
    </row>
    <row r="67" ht="16" customHeight="1">
      <c r="B67" s="112">
        <f>IF($R67="","",48)</f>
        <v/>
      </c>
      <c r="C67" s="113">
        <f>IF($R67="","",IF(INDEX('_list'!$D$2:$D$676,$R67)="","",INDEX('_list'!$D$2:$D$676,$R67)))</f>
        <v/>
      </c>
      <c r="D67" s="113">
        <f>IF($R67="","",IF(INDEX('_list'!$E$2:$E$676,$R67)="","",INDEX('_list'!$E$2:$E$676,$R67)))</f>
        <v/>
      </c>
      <c r="E67" s="113">
        <f>IF($R67="","",IF(INDEX('_list'!$F$2:$F$676,$R67)="","",INDEX('_list'!$F$2:$F$676,$R67)))</f>
        <v/>
      </c>
      <c r="F67" s="114">
        <f>IF($R67="","",IF(INDEX('_list'!$G$2:$G$676,$R67)="","",INDEX('_list'!$G$2:$G$676,$R67)))</f>
        <v/>
      </c>
      <c r="G67" s="115">
        <f>IF($S67="","",IF(INDEX('_pockets'!$AH:$AH,$S67)="","",INDEX('_pockets'!$AH:$AH,$S67)))</f>
        <v/>
      </c>
      <c r="H67" s="115">
        <f>IF($S67="","",IF(INDEX('_pockets'!$AF:$AF,$S67)="","",INDEX('_pockets'!$AF:$AF,$S67)))</f>
        <v/>
      </c>
      <c r="I67" s="116">
        <f>IF(IF($S67="","",IF(INDEX('_pockets'!$AB:$AB,$S67)="","",INDEX('_pockets'!$AB:$AB,$S67)))="","",IF($S67="","",IF(INDEX('_pockets'!$AB:$AB,$S67)="","",INDEX('_pockets'!$AB:$AB,$S67)))*IF($U$18,100,1))</f>
        <v/>
      </c>
      <c r="J67" s="114">
        <f>IF($S67="","",IF(INDEX('_pockets'!$Z:$Z,$S67)="","",INDEX('_pockets'!$Z:$Z,$S67)))</f>
        <v/>
      </c>
      <c r="K67" s="117">
        <f>IF($S67="","",IF(INDEX('_pockets'!$AO:$AO,$S67)="","",INDEX('_pockets'!$AO:$AO,$S67)))</f>
        <v/>
      </c>
      <c r="L67" s="118">
        <f>IF($S67="","",IF(INDEX('_pockets'!$AC:$AC,$S67)="","",INDEX('_pockets'!$AC:$AC,$S67)))</f>
        <v/>
      </c>
      <c r="M67" s="117">
        <f>IF($R67="","",IF(INDEX('_list'!$L$2:$L$676,$R67)="","",INDEX('_list'!$L$2:$L$676,$R67)))</f>
        <v/>
      </c>
      <c r="N67" s="116">
        <f>IF($R67="","",IF(INDEX('_list'!$H$2:$H$676,$R67)="","",INDEX('_list'!$H$2:$H$676,$R67)))</f>
        <v/>
      </c>
      <c r="O67" s="113">
        <f>IF($R67="","",IF(INDEX('_list'!$I$2:$I$676,$R67)="","",INDEX('_list'!$I$2:$I$676,$R67)))</f>
        <v/>
      </c>
      <c r="R67">
        <f>IFERROR(MATCH(48,'_list'!$N$2:$N$676,0),"")</f>
        <v/>
      </c>
      <c r="S67">
        <f>IF($R67="","",INDEX('_list'!$C$2:$C$676,$R67))</f>
        <v/>
      </c>
    </row>
    <row r="68" ht="16" customHeight="1">
      <c r="B68" s="112">
        <f>IF($R68="","",49)</f>
        <v/>
      </c>
      <c r="C68" s="113">
        <f>IF($R68="","",IF(INDEX('_list'!$D$2:$D$676,$R68)="","",INDEX('_list'!$D$2:$D$676,$R68)))</f>
        <v/>
      </c>
      <c r="D68" s="113">
        <f>IF($R68="","",IF(INDEX('_list'!$E$2:$E$676,$R68)="","",INDEX('_list'!$E$2:$E$676,$R68)))</f>
        <v/>
      </c>
      <c r="E68" s="113">
        <f>IF($R68="","",IF(INDEX('_list'!$F$2:$F$676,$R68)="","",INDEX('_list'!$F$2:$F$676,$R68)))</f>
        <v/>
      </c>
      <c r="F68" s="114">
        <f>IF($R68="","",IF(INDEX('_list'!$G$2:$G$676,$R68)="","",INDEX('_list'!$G$2:$G$676,$R68)))</f>
        <v/>
      </c>
      <c r="G68" s="115">
        <f>IF($S68="","",IF(INDEX('_pockets'!$AH:$AH,$S68)="","",INDEX('_pockets'!$AH:$AH,$S68)))</f>
        <v/>
      </c>
      <c r="H68" s="115">
        <f>IF($S68="","",IF(INDEX('_pockets'!$AF:$AF,$S68)="","",INDEX('_pockets'!$AF:$AF,$S68)))</f>
        <v/>
      </c>
      <c r="I68" s="116">
        <f>IF(IF($S68="","",IF(INDEX('_pockets'!$AB:$AB,$S68)="","",INDEX('_pockets'!$AB:$AB,$S68)))="","",IF($S68="","",IF(INDEX('_pockets'!$AB:$AB,$S68)="","",INDEX('_pockets'!$AB:$AB,$S68)))*IF($U$18,100,1))</f>
        <v/>
      </c>
      <c r="J68" s="114">
        <f>IF($S68="","",IF(INDEX('_pockets'!$Z:$Z,$S68)="","",INDEX('_pockets'!$Z:$Z,$S68)))</f>
        <v/>
      </c>
      <c r="K68" s="117">
        <f>IF($S68="","",IF(INDEX('_pockets'!$AO:$AO,$S68)="","",INDEX('_pockets'!$AO:$AO,$S68)))</f>
        <v/>
      </c>
      <c r="L68" s="118">
        <f>IF($S68="","",IF(INDEX('_pockets'!$AC:$AC,$S68)="","",INDEX('_pockets'!$AC:$AC,$S68)))</f>
        <v/>
      </c>
      <c r="M68" s="117">
        <f>IF($R68="","",IF(INDEX('_list'!$L$2:$L$676,$R68)="","",INDEX('_list'!$L$2:$L$676,$R68)))</f>
        <v/>
      </c>
      <c r="N68" s="116">
        <f>IF($R68="","",IF(INDEX('_list'!$H$2:$H$676,$R68)="","",INDEX('_list'!$H$2:$H$676,$R68)))</f>
        <v/>
      </c>
      <c r="O68" s="113">
        <f>IF($R68="","",IF(INDEX('_list'!$I$2:$I$676,$R68)="","",INDEX('_list'!$I$2:$I$676,$R68)))</f>
        <v/>
      </c>
      <c r="R68">
        <f>IFERROR(MATCH(49,'_list'!$N$2:$N$676,0),"")</f>
        <v/>
      </c>
      <c r="S68">
        <f>IF($R68="","",INDEX('_list'!$C$2:$C$676,$R68))</f>
        <v/>
      </c>
    </row>
    <row r="69" ht="16" customHeight="1">
      <c r="B69" s="112">
        <f>IF($R69="","",50)</f>
        <v/>
      </c>
      <c r="C69" s="113">
        <f>IF($R69="","",IF(INDEX('_list'!$D$2:$D$676,$R69)="","",INDEX('_list'!$D$2:$D$676,$R69)))</f>
        <v/>
      </c>
      <c r="D69" s="113">
        <f>IF($R69="","",IF(INDEX('_list'!$E$2:$E$676,$R69)="","",INDEX('_list'!$E$2:$E$676,$R69)))</f>
        <v/>
      </c>
      <c r="E69" s="113">
        <f>IF($R69="","",IF(INDEX('_list'!$F$2:$F$676,$R69)="","",INDEX('_list'!$F$2:$F$676,$R69)))</f>
        <v/>
      </c>
      <c r="F69" s="114">
        <f>IF($R69="","",IF(INDEX('_list'!$G$2:$G$676,$R69)="","",INDEX('_list'!$G$2:$G$676,$R69)))</f>
        <v/>
      </c>
      <c r="G69" s="115">
        <f>IF($S69="","",IF(INDEX('_pockets'!$AH:$AH,$S69)="","",INDEX('_pockets'!$AH:$AH,$S69)))</f>
        <v/>
      </c>
      <c r="H69" s="115">
        <f>IF($S69="","",IF(INDEX('_pockets'!$AF:$AF,$S69)="","",INDEX('_pockets'!$AF:$AF,$S69)))</f>
        <v/>
      </c>
      <c r="I69" s="116">
        <f>IF(IF($S69="","",IF(INDEX('_pockets'!$AB:$AB,$S69)="","",INDEX('_pockets'!$AB:$AB,$S69)))="","",IF($S69="","",IF(INDEX('_pockets'!$AB:$AB,$S69)="","",INDEX('_pockets'!$AB:$AB,$S69)))*IF($U$18,100,1))</f>
        <v/>
      </c>
      <c r="J69" s="114">
        <f>IF($S69="","",IF(INDEX('_pockets'!$Z:$Z,$S69)="","",INDEX('_pockets'!$Z:$Z,$S69)))</f>
        <v/>
      </c>
      <c r="K69" s="117">
        <f>IF($S69="","",IF(INDEX('_pockets'!$AO:$AO,$S69)="","",INDEX('_pockets'!$AO:$AO,$S69)))</f>
        <v/>
      </c>
      <c r="L69" s="118">
        <f>IF($S69="","",IF(INDEX('_pockets'!$AC:$AC,$S69)="","",INDEX('_pockets'!$AC:$AC,$S69)))</f>
        <v/>
      </c>
      <c r="M69" s="117">
        <f>IF($R69="","",IF(INDEX('_list'!$L$2:$L$676,$R69)="","",INDEX('_list'!$L$2:$L$676,$R69)))</f>
        <v/>
      </c>
      <c r="N69" s="116">
        <f>IF($R69="","",IF(INDEX('_list'!$H$2:$H$676,$R69)="","",INDEX('_list'!$H$2:$H$676,$R69)))</f>
        <v/>
      </c>
      <c r="O69" s="113">
        <f>IF($R69="","",IF(INDEX('_list'!$I$2:$I$676,$R69)="","",INDEX('_list'!$I$2:$I$676,$R69)))</f>
        <v/>
      </c>
      <c r="R69">
        <f>IFERROR(MATCH(50,'_list'!$N$2:$N$676,0),"")</f>
        <v/>
      </c>
      <c r="S69">
        <f>IF($R69="","",INDEX('_list'!$C$2:$C$676,$R69))</f>
        <v/>
      </c>
    </row>
    <row r="70" ht="16" customHeight="1">
      <c r="B70" s="112">
        <f>IF($R70="","",51)</f>
        <v/>
      </c>
      <c r="C70" s="113">
        <f>IF($R70="","",IF(INDEX('_list'!$D$2:$D$676,$R70)="","",INDEX('_list'!$D$2:$D$676,$R70)))</f>
        <v/>
      </c>
      <c r="D70" s="113">
        <f>IF($R70="","",IF(INDEX('_list'!$E$2:$E$676,$R70)="","",INDEX('_list'!$E$2:$E$676,$R70)))</f>
        <v/>
      </c>
      <c r="E70" s="113">
        <f>IF($R70="","",IF(INDEX('_list'!$F$2:$F$676,$R70)="","",INDEX('_list'!$F$2:$F$676,$R70)))</f>
        <v/>
      </c>
      <c r="F70" s="114">
        <f>IF($R70="","",IF(INDEX('_list'!$G$2:$G$676,$R70)="","",INDEX('_list'!$G$2:$G$676,$R70)))</f>
        <v/>
      </c>
      <c r="G70" s="115">
        <f>IF($S70="","",IF(INDEX('_pockets'!$AH:$AH,$S70)="","",INDEX('_pockets'!$AH:$AH,$S70)))</f>
        <v/>
      </c>
      <c r="H70" s="115">
        <f>IF($S70="","",IF(INDEX('_pockets'!$AF:$AF,$S70)="","",INDEX('_pockets'!$AF:$AF,$S70)))</f>
        <v/>
      </c>
      <c r="I70" s="116">
        <f>IF(IF($S70="","",IF(INDEX('_pockets'!$AB:$AB,$S70)="","",INDEX('_pockets'!$AB:$AB,$S70)))="","",IF($S70="","",IF(INDEX('_pockets'!$AB:$AB,$S70)="","",INDEX('_pockets'!$AB:$AB,$S70)))*IF($U$18,100,1))</f>
        <v/>
      </c>
      <c r="J70" s="114">
        <f>IF($S70="","",IF(INDEX('_pockets'!$Z:$Z,$S70)="","",INDEX('_pockets'!$Z:$Z,$S70)))</f>
        <v/>
      </c>
      <c r="K70" s="117">
        <f>IF($S70="","",IF(INDEX('_pockets'!$AO:$AO,$S70)="","",INDEX('_pockets'!$AO:$AO,$S70)))</f>
        <v/>
      </c>
      <c r="L70" s="118">
        <f>IF($S70="","",IF(INDEX('_pockets'!$AC:$AC,$S70)="","",INDEX('_pockets'!$AC:$AC,$S70)))</f>
        <v/>
      </c>
      <c r="M70" s="117">
        <f>IF($R70="","",IF(INDEX('_list'!$L$2:$L$676,$R70)="","",INDEX('_list'!$L$2:$L$676,$R70)))</f>
        <v/>
      </c>
      <c r="N70" s="116">
        <f>IF($R70="","",IF(INDEX('_list'!$H$2:$H$676,$R70)="","",INDEX('_list'!$H$2:$H$676,$R70)))</f>
        <v/>
      </c>
      <c r="O70" s="113">
        <f>IF($R70="","",IF(INDEX('_list'!$I$2:$I$676,$R70)="","",INDEX('_list'!$I$2:$I$676,$R70)))</f>
        <v/>
      </c>
      <c r="R70">
        <f>IFERROR(MATCH(51,'_list'!$N$2:$N$676,0),"")</f>
        <v/>
      </c>
      <c r="S70">
        <f>IF($R70="","",INDEX('_list'!$C$2:$C$676,$R70))</f>
        <v/>
      </c>
    </row>
    <row r="71" ht="16" customHeight="1">
      <c r="B71" s="112">
        <f>IF($R71="","",52)</f>
        <v/>
      </c>
      <c r="C71" s="113">
        <f>IF($R71="","",IF(INDEX('_list'!$D$2:$D$676,$R71)="","",INDEX('_list'!$D$2:$D$676,$R71)))</f>
        <v/>
      </c>
      <c r="D71" s="113">
        <f>IF($R71="","",IF(INDEX('_list'!$E$2:$E$676,$R71)="","",INDEX('_list'!$E$2:$E$676,$R71)))</f>
        <v/>
      </c>
      <c r="E71" s="113">
        <f>IF($R71="","",IF(INDEX('_list'!$F$2:$F$676,$R71)="","",INDEX('_list'!$F$2:$F$676,$R71)))</f>
        <v/>
      </c>
      <c r="F71" s="114">
        <f>IF($R71="","",IF(INDEX('_list'!$G$2:$G$676,$R71)="","",INDEX('_list'!$G$2:$G$676,$R71)))</f>
        <v/>
      </c>
      <c r="G71" s="115">
        <f>IF($S71="","",IF(INDEX('_pockets'!$AH:$AH,$S71)="","",INDEX('_pockets'!$AH:$AH,$S71)))</f>
        <v/>
      </c>
      <c r="H71" s="115">
        <f>IF($S71="","",IF(INDEX('_pockets'!$AF:$AF,$S71)="","",INDEX('_pockets'!$AF:$AF,$S71)))</f>
        <v/>
      </c>
      <c r="I71" s="116">
        <f>IF(IF($S71="","",IF(INDEX('_pockets'!$AB:$AB,$S71)="","",INDEX('_pockets'!$AB:$AB,$S71)))="","",IF($S71="","",IF(INDEX('_pockets'!$AB:$AB,$S71)="","",INDEX('_pockets'!$AB:$AB,$S71)))*IF($U$18,100,1))</f>
        <v/>
      </c>
      <c r="J71" s="114">
        <f>IF($S71="","",IF(INDEX('_pockets'!$Z:$Z,$S71)="","",INDEX('_pockets'!$Z:$Z,$S71)))</f>
        <v/>
      </c>
      <c r="K71" s="117">
        <f>IF($S71="","",IF(INDEX('_pockets'!$AO:$AO,$S71)="","",INDEX('_pockets'!$AO:$AO,$S71)))</f>
        <v/>
      </c>
      <c r="L71" s="118">
        <f>IF($S71="","",IF(INDEX('_pockets'!$AC:$AC,$S71)="","",INDEX('_pockets'!$AC:$AC,$S71)))</f>
        <v/>
      </c>
      <c r="M71" s="117">
        <f>IF($R71="","",IF(INDEX('_list'!$L$2:$L$676,$R71)="","",INDEX('_list'!$L$2:$L$676,$R71)))</f>
        <v/>
      </c>
      <c r="N71" s="116">
        <f>IF($R71="","",IF(INDEX('_list'!$H$2:$H$676,$R71)="","",INDEX('_list'!$H$2:$H$676,$R71)))</f>
        <v/>
      </c>
      <c r="O71" s="113">
        <f>IF($R71="","",IF(INDEX('_list'!$I$2:$I$676,$R71)="","",INDEX('_list'!$I$2:$I$676,$R71)))</f>
        <v/>
      </c>
      <c r="R71">
        <f>IFERROR(MATCH(52,'_list'!$N$2:$N$676,0),"")</f>
        <v/>
      </c>
      <c r="S71">
        <f>IF($R71="","",INDEX('_list'!$C$2:$C$676,$R71))</f>
        <v/>
      </c>
    </row>
    <row r="72" ht="16" customHeight="1">
      <c r="B72" s="112">
        <f>IF($R72="","",53)</f>
        <v/>
      </c>
      <c r="C72" s="113">
        <f>IF($R72="","",IF(INDEX('_list'!$D$2:$D$676,$R72)="","",INDEX('_list'!$D$2:$D$676,$R72)))</f>
        <v/>
      </c>
      <c r="D72" s="113">
        <f>IF($R72="","",IF(INDEX('_list'!$E$2:$E$676,$R72)="","",INDEX('_list'!$E$2:$E$676,$R72)))</f>
        <v/>
      </c>
      <c r="E72" s="113">
        <f>IF($R72="","",IF(INDEX('_list'!$F$2:$F$676,$R72)="","",INDEX('_list'!$F$2:$F$676,$R72)))</f>
        <v/>
      </c>
      <c r="F72" s="114">
        <f>IF($R72="","",IF(INDEX('_list'!$G$2:$G$676,$R72)="","",INDEX('_list'!$G$2:$G$676,$R72)))</f>
        <v/>
      </c>
      <c r="G72" s="115">
        <f>IF($S72="","",IF(INDEX('_pockets'!$AH:$AH,$S72)="","",INDEX('_pockets'!$AH:$AH,$S72)))</f>
        <v/>
      </c>
      <c r="H72" s="115">
        <f>IF($S72="","",IF(INDEX('_pockets'!$AF:$AF,$S72)="","",INDEX('_pockets'!$AF:$AF,$S72)))</f>
        <v/>
      </c>
      <c r="I72" s="116">
        <f>IF(IF($S72="","",IF(INDEX('_pockets'!$AB:$AB,$S72)="","",INDEX('_pockets'!$AB:$AB,$S72)))="","",IF($S72="","",IF(INDEX('_pockets'!$AB:$AB,$S72)="","",INDEX('_pockets'!$AB:$AB,$S72)))*IF($U$18,100,1))</f>
        <v/>
      </c>
      <c r="J72" s="114">
        <f>IF($S72="","",IF(INDEX('_pockets'!$Z:$Z,$S72)="","",INDEX('_pockets'!$Z:$Z,$S72)))</f>
        <v/>
      </c>
      <c r="K72" s="117">
        <f>IF($S72="","",IF(INDEX('_pockets'!$AO:$AO,$S72)="","",INDEX('_pockets'!$AO:$AO,$S72)))</f>
        <v/>
      </c>
      <c r="L72" s="118">
        <f>IF($S72="","",IF(INDEX('_pockets'!$AC:$AC,$S72)="","",INDEX('_pockets'!$AC:$AC,$S72)))</f>
        <v/>
      </c>
      <c r="M72" s="117">
        <f>IF($R72="","",IF(INDEX('_list'!$L$2:$L$676,$R72)="","",INDEX('_list'!$L$2:$L$676,$R72)))</f>
        <v/>
      </c>
      <c r="N72" s="116">
        <f>IF($R72="","",IF(INDEX('_list'!$H$2:$H$676,$R72)="","",INDEX('_list'!$H$2:$H$676,$R72)))</f>
        <v/>
      </c>
      <c r="O72" s="113">
        <f>IF($R72="","",IF(INDEX('_list'!$I$2:$I$676,$R72)="","",INDEX('_list'!$I$2:$I$676,$R72)))</f>
        <v/>
      </c>
      <c r="R72">
        <f>IFERROR(MATCH(53,'_list'!$N$2:$N$676,0),"")</f>
        <v/>
      </c>
      <c r="S72">
        <f>IF($R72="","",INDEX('_list'!$C$2:$C$676,$R72))</f>
        <v/>
      </c>
    </row>
    <row r="73" ht="16" customHeight="1">
      <c r="B73" s="112">
        <f>IF($R73="","",54)</f>
        <v/>
      </c>
      <c r="C73" s="113">
        <f>IF($R73="","",IF(INDEX('_list'!$D$2:$D$676,$R73)="","",INDEX('_list'!$D$2:$D$676,$R73)))</f>
        <v/>
      </c>
      <c r="D73" s="113">
        <f>IF($R73="","",IF(INDEX('_list'!$E$2:$E$676,$R73)="","",INDEX('_list'!$E$2:$E$676,$R73)))</f>
        <v/>
      </c>
      <c r="E73" s="113">
        <f>IF($R73="","",IF(INDEX('_list'!$F$2:$F$676,$R73)="","",INDEX('_list'!$F$2:$F$676,$R73)))</f>
        <v/>
      </c>
      <c r="F73" s="114">
        <f>IF($R73="","",IF(INDEX('_list'!$G$2:$G$676,$R73)="","",INDEX('_list'!$G$2:$G$676,$R73)))</f>
        <v/>
      </c>
      <c r="G73" s="115">
        <f>IF($S73="","",IF(INDEX('_pockets'!$AH:$AH,$S73)="","",INDEX('_pockets'!$AH:$AH,$S73)))</f>
        <v/>
      </c>
      <c r="H73" s="115">
        <f>IF($S73="","",IF(INDEX('_pockets'!$AF:$AF,$S73)="","",INDEX('_pockets'!$AF:$AF,$S73)))</f>
        <v/>
      </c>
      <c r="I73" s="116">
        <f>IF(IF($S73="","",IF(INDEX('_pockets'!$AB:$AB,$S73)="","",INDEX('_pockets'!$AB:$AB,$S73)))="","",IF($S73="","",IF(INDEX('_pockets'!$AB:$AB,$S73)="","",INDEX('_pockets'!$AB:$AB,$S73)))*IF($U$18,100,1))</f>
        <v/>
      </c>
      <c r="J73" s="114">
        <f>IF($S73="","",IF(INDEX('_pockets'!$Z:$Z,$S73)="","",INDEX('_pockets'!$Z:$Z,$S73)))</f>
        <v/>
      </c>
      <c r="K73" s="117">
        <f>IF($S73="","",IF(INDEX('_pockets'!$AO:$AO,$S73)="","",INDEX('_pockets'!$AO:$AO,$S73)))</f>
        <v/>
      </c>
      <c r="L73" s="118">
        <f>IF($S73="","",IF(INDEX('_pockets'!$AC:$AC,$S73)="","",INDEX('_pockets'!$AC:$AC,$S73)))</f>
        <v/>
      </c>
      <c r="M73" s="117">
        <f>IF($R73="","",IF(INDEX('_list'!$L$2:$L$676,$R73)="","",INDEX('_list'!$L$2:$L$676,$R73)))</f>
        <v/>
      </c>
      <c r="N73" s="116">
        <f>IF($R73="","",IF(INDEX('_list'!$H$2:$H$676,$R73)="","",INDEX('_list'!$H$2:$H$676,$R73)))</f>
        <v/>
      </c>
      <c r="O73" s="113">
        <f>IF($R73="","",IF(INDEX('_list'!$I$2:$I$676,$R73)="","",INDEX('_list'!$I$2:$I$676,$R73)))</f>
        <v/>
      </c>
      <c r="R73">
        <f>IFERROR(MATCH(54,'_list'!$N$2:$N$676,0),"")</f>
        <v/>
      </c>
      <c r="S73">
        <f>IF($R73="","",INDEX('_list'!$C$2:$C$676,$R73))</f>
        <v/>
      </c>
    </row>
    <row r="74" ht="16" customHeight="1">
      <c r="B74" s="112">
        <f>IF($R74="","",55)</f>
        <v/>
      </c>
      <c r="C74" s="113">
        <f>IF($R74="","",IF(INDEX('_list'!$D$2:$D$676,$R74)="","",INDEX('_list'!$D$2:$D$676,$R74)))</f>
        <v/>
      </c>
      <c r="D74" s="113">
        <f>IF($R74="","",IF(INDEX('_list'!$E$2:$E$676,$R74)="","",INDEX('_list'!$E$2:$E$676,$R74)))</f>
        <v/>
      </c>
      <c r="E74" s="113">
        <f>IF($R74="","",IF(INDEX('_list'!$F$2:$F$676,$R74)="","",INDEX('_list'!$F$2:$F$676,$R74)))</f>
        <v/>
      </c>
      <c r="F74" s="114">
        <f>IF($R74="","",IF(INDEX('_list'!$G$2:$G$676,$R74)="","",INDEX('_list'!$G$2:$G$676,$R74)))</f>
        <v/>
      </c>
      <c r="G74" s="115">
        <f>IF($S74="","",IF(INDEX('_pockets'!$AH:$AH,$S74)="","",INDEX('_pockets'!$AH:$AH,$S74)))</f>
        <v/>
      </c>
      <c r="H74" s="115">
        <f>IF($S74="","",IF(INDEX('_pockets'!$AF:$AF,$S74)="","",INDEX('_pockets'!$AF:$AF,$S74)))</f>
        <v/>
      </c>
      <c r="I74" s="116">
        <f>IF(IF($S74="","",IF(INDEX('_pockets'!$AB:$AB,$S74)="","",INDEX('_pockets'!$AB:$AB,$S74)))="","",IF($S74="","",IF(INDEX('_pockets'!$AB:$AB,$S74)="","",INDEX('_pockets'!$AB:$AB,$S74)))*IF($U$18,100,1))</f>
        <v/>
      </c>
      <c r="J74" s="114">
        <f>IF($S74="","",IF(INDEX('_pockets'!$Z:$Z,$S74)="","",INDEX('_pockets'!$Z:$Z,$S74)))</f>
        <v/>
      </c>
      <c r="K74" s="117">
        <f>IF($S74="","",IF(INDEX('_pockets'!$AO:$AO,$S74)="","",INDEX('_pockets'!$AO:$AO,$S74)))</f>
        <v/>
      </c>
      <c r="L74" s="118">
        <f>IF($S74="","",IF(INDEX('_pockets'!$AC:$AC,$S74)="","",INDEX('_pockets'!$AC:$AC,$S74)))</f>
        <v/>
      </c>
      <c r="M74" s="117">
        <f>IF($R74="","",IF(INDEX('_list'!$L$2:$L$676,$R74)="","",INDEX('_list'!$L$2:$L$676,$R74)))</f>
        <v/>
      </c>
      <c r="N74" s="116">
        <f>IF($R74="","",IF(INDEX('_list'!$H$2:$H$676,$R74)="","",INDEX('_list'!$H$2:$H$676,$R74)))</f>
        <v/>
      </c>
      <c r="O74" s="113">
        <f>IF($R74="","",IF(INDEX('_list'!$I$2:$I$676,$R74)="","",INDEX('_list'!$I$2:$I$676,$R74)))</f>
        <v/>
      </c>
      <c r="R74">
        <f>IFERROR(MATCH(55,'_list'!$N$2:$N$676,0),"")</f>
        <v/>
      </c>
      <c r="S74">
        <f>IF($R74="","",INDEX('_list'!$C$2:$C$676,$R74))</f>
        <v/>
      </c>
    </row>
    <row r="75" ht="16" customHeight="1">
      <c r="B75" s="112">
        <f>IF($R75="","",56)</f>
        <v/>
      </c>
      <c r="C75" s="113">
        <f>IF($R75="","",IF(INDEX('_list'!$D$2:$D$676,$R75)="","",INDEX('_list'!$D$2:$D$676,$R75)))</f>
        <v/>
      </c>
      <c r="D75" s="113">
        <f>IF($R75="","",IF(INDEX('_list'!$E$2:$E$676,$R75)="","",INDEX('_list'!$E$2:$E$676,$R75)))</f>
        <v/>
      </c>
      <c r="E75" s="113">
        <f>IF($R75="","",IF(INDEX('_list'!$F$2:$F$676,$R75)="","",INDEX('_list'!$F$2:$F$676,$R75)))</f>
        <v/>
      </c>
      <c r="F75" s="114">
        <f>IF($R75="","",IF(INDEX('_list'!$G$2:$G$676,$R75)="","",INDEX('_list'!$G$2:$G$676,$R75)))</f>
        <v/>
      </c>
      <c r="G75" s="115">
        <f>IF($S75="","",IF(INDEX('_pockets'!$AH:$AH,$S75)="","",INDEX('_pockets'!$AH:$AH,$S75)))</f>
        <v/>
      </c>
      <c r="H75" s="115">
        <f>IF($S75="","",IF(INDEX('_pockets'!$AF:$AF,$S75)="","",INDEX('_pockets'!$AF:$AF,$S75)))</f>
        <v/>
      </c>
      <c r="I75" s="116">
        <f>IF(IF($S75="","",IF(INDEX('_pockets'!$AB:$AB,$S75)="","",INDEX('_pockets'!$AB:$AB,$S75)))="","",IF($S75="","",IF(INDEX('_pockets'!$AB:$AB,$S75)="","",INDEX('_pockets'!$AB:$AB,$S75)))*IF($U$18,100,1))</f>
        <v/>
      </c>
      <c r="J75" s="114">
        <f>IF($S75="","",IF(INDEX('_pockets'!$Z:$Z,$S75)="","",INDEX('_pockets'!$Z:$Z,$S75)))</f>
        <v/>
      </c>
      <c r="K75" s="117">
        <f>IF($S75="","",IF(INDEX('_pockets'!$AO:$AO,$S75)="","",INDEX('_pockets'!$AO:$AO,$S75)))</f>
        <v/>
      </c>
      <c r="L75" s="118">
        <f>IF($S75="","",IF(INDEX('_pockets'!$AC:$AC,$S75)="","",INDEX('_pockets'!$AC:$AC,$S75)))</f>
        <v/>
      </c>
      <c r="M75" s="117">
        <f>IF($R75="","",IF(INDEX('_list'!$L$2:$L$676,$R75)="","",INDEX('_list'!$L$2:$L$676,$R75)))</f>
        <v/>
      </c>
      <c r="N75" s="116">
        <f>IF($R75="","",IF(INDEX('_list'!$H$2:$H$676,$R75)="","",INDEX('_list'!$H$2:$H$676,$R75)))</f>
        <v/>
      </c>
      <c r="O75" s="113">
        <f>IF($R75="","",IF(INDEX('_list'!$I$2:$I$676,$R75)="","",INDEX('_list'!$I$2:$I$676,$R75)))</f>
        <v/>
      </c>
      <c r="R75">
        <f>IFERROR(MATCH(56,'_list'!$N$2:$N$676,0),"")</f>
        <v/>
      </c>
      <c r="S75">
        <f>IF($R75="","",INDEX('_list'!$C$2:$C$676,$R75))</f>
        <v/>
      </c>
    </row>
    <row r="76" ht="16" customHeight="1">
      <c r="B76" s="112">
        <f>IF($R76="","",57)</f>
        <v/>
      </c>
      <c r="C76" s="113">
        <f>IF($R76="","",IF(INDEX('_list'!$D$2:$D$676,$R76)="","",INDEX('_list'!$D$2:$D$676,$R76)))</f>
        <v/>
      </c>
      <c r="D76" s="113">
        <f>IF($R76="","",IF(INDEX('_list'!$E$2:$E$676,$R76)="","",INDEX('_list'!$E$2:$E$676,$R76)))</f>
        <v/>
      </c>
      <c r="E76" s="113">
        <f>IF($R76="","",IF(INDEX('_list'!$F$2:$F$676,$R76)="","",INDEX('_list'!$F$2:$F$676,$R76)))</f>
        <v/>
      </c>
      <c r="F76" s="114">
        <f>IF($R76="","",IF(INDEX('_list'!$G$2:$G$676,$R76)="","",INDEX('_list'!$G$2:$G$676,$R76)))</f>
        <v/>
      </c>
      <c r="G76" s="115">
        <f>IF($S76="","",IF(INDEX('_pockets'!$AH:$AH,$S76)="","",INDEX('_pockets'!$AH:$AH,$S76)))</f>
        <v/>
      </c>
      <c r="H76" s="115">
        <f>IF($S76="","",IF(INDEX('_pockets'!$AF:$AF,$S76)="","",INDEX('_pockets'!$AF:$AF,$S76)))</f>
        <v/>
      </c>
      <c r="I76" s="116">
        <f>IF(IF($S76="","",IF(INDEX('_pockets'!$AB:$AB,$S76)="","",INDEX('_pockets'!$AB:$AB,$S76)))="","",IF($S76="","",IF(INDEX('_pockets'!$AB:$AB,$S76)="","",INDEX('_pockets'!$AB:$AB,$S76)))*IF($U$18,100,1))</f>
        <v/>
      </c>
      <c r="J76" s="114">
        <f>IF($S76="","",IF(INDEX('_pockets'!$Z:$Z,$S76)="","",INDEX('_pockets'!$Z:$Z,$S76)))</f>
        <v/>
      </c>
      <c r="K76" s="117">
        <f>IF($S76="","",IF(INDEX('_pockets'!$AO:$AO,$S76)="","",INDEX('_pockets'!$AO:$AO,$S76)))</f>
        <v/>
      </c>
      <c r="L76" s="118">
        <f>IF($S76="","",IF(INDEX('_pockets'!$AC:$AC,$S76)="","",INDEX('_pockets'!$AC:$AC,$S76)))</f>
        <v/>
      </c>
      <c r="M76" s="117">
        <f>IF($R76="","",IF(INDEX('_list'!$L$2:$L$676,$R76)="","",INDEX('_list'!$L$2:$L$676,$R76)))</f>
        <v/>
      </c>
      <c r="N76" s="116">
        <f>IF($R76="","",IF(INDEX('_list'!$H$2:$H$676,$R76)="","",INDEX('_list'!$H$2:$H$676,$R76)))</f>
        <v/>
      </c>
      <c r="O76" s="113">
        <f>IF($R76="","",IF(INDEX('_list'!$I$2:$I$676,$R76)="","",INDEX('_list'!$I$2:$I$676,$R76)))</f>
        <v/>
      </c>
      <c r="R76">
        <f>IFERROR(MATCH(57,'_list'!$N$2:$N$676,0),"")</f>
        <v/>
      </c>
      <c r="S76">
        <f>IF($R76="","",INDEX('_list'!$C$2:$C$676,$R76))</f>
        <v/>
      </c>
    </row>
    <row r="77" ht="16" customHeight="1">
      <c r="B77" s="112">
        <f>IF($R77="","",58)</f>
        <v/>
      </c>
      <c r="C77" s="113">
        <f>IF($R77="","",IF(INDEX('_list'!$D$2:$D$676,$R77)="","",INDEX('_list'!$D$2:$D$676,$R77)))</f>
        <v/>
      </c>
      <c r="D77" s="113">
        <f>IF($R77="","",IF(INDEX('_list'!$E$2:$E$676,$R77)="","",INDEX('_list'!$E$2:$E$676,$R77)))</f>
        <v/>
      </c>
      <c r="E77" s="113">
        <f>IF($R77="","",IF(INDEX('_list'!$F$2:$F$676,$R77)="","",INDEX('_list'!$F$2:$F$676,$R77)))</f>
        <v/>
      </c>
      <c r="F77" s="114">
        <f>IF($R77="","",IF(INDEX('_list'!$G$2:$G$676,$R77)="","",INDEX('_list'!$G$2:$G$676,$R77)))</f>
        <v/>
      </c>
      <c r="G77" s="115">
        <f>IF($S77="","",IF(INDEX('_pockets'!$AH:$AH,$S77)="","",INDEX('_pockets'!$AH:$AH,$S77)))</f>
        <v/>
      </c>
      <c r="H77" s="115">
        <f>IF($S77="","",IF(INDEX('_pockets'!$AF:$AF,$S77)="","",INDEX('_pockets'!$AF:$AF,$S77)))</f>
        <v/>
      </c>
      <c r="I77" s="116">
        <f>IF(IF($S77="","",IF(INDEX('_pockets'!$AB:$AB,$S77)="","",INDEX('_pockets'!$AB:$AB,$S77)))="","",IF($S77="","",IF(INDEX('_pockets'!$AB:$AB,$S77)="","",INDEX('_pockets'!$AB:$AB,$S77)))*IF($U$18,100,1))</f>
        <v/>
      </c>
      <c r="J77" s="114">
        <f>IF($S77="","",IF(INDEX('_pockets'!$Z:$Z,$S77)="","",INDEX('_pockets'!$Z:$Z,$S77)))</f>
        <v/>
      </c>
      <c r="K77" s="117">
        <f>IF($S77="","",IF(INDEX('_pockets'!$AO:$AO,$S77)="","",INDEX('_pockets'!$AO:$AO,$S77)))</f>
        <v/>
      </c>
      <c r="L77" s="118">
        <f>IF($S77="","",IF(INDEX('_pockets'!$AC:$AC,$S77)="","",INDEX('_pockets'!$AC:$AC,$S77)))</f>
        <v/>
      </c>
      <c r="M77" s="117">
        <f>IF($R77="","",IF(INDEX('_list'!$L$2:$L$676,$R77)="","",INDEX('_list'!$L$2:$L$676,$R77)))</f>
        <v/>
      </c>
      <c r="N77" s="116">
        <f>IF($R77="","",IF(INDEX('_list'!$H$2:$H$676,$R77)="","",INDEX('_list'!$H$2:$H$676,$R77)))</f>
        <v/>
      </c>
      <c r="O77" s="113">
        <f>IF($R77="","",IF(INDEX('_list'!$I$2:$I$676,$R77)="","",INDEX('_list'!$I$2:$I$676,$R77)))</f>
        <v/>
      </c>
      <c r="R77">
        <f>IFERROR(MATCH(58,'_list'!$N$2:$N$676,0),"")</f>
        <v/>
      </c>
      <c r="S77">
        <f>IF($R77="","",INDEX('_list'!$C$2:$C$676,$R77))</f>
        <v/>
      </c>
    </row>
    <row r="78" ht="16" customHeight="1">
      <c r="B78" s="112">
        <f>IF($R78="","",59)</f>
        <v/>
      </c>
      <c r="C78" s="113">
        <f>IF($R78="","",IF(INDEX('_list'!$D$2:$D$676,$R78)="","",INDEX('_list'!$D$2:$D$676,$R78)))</f>
        <v/>
      </c>
      <c r="D78" s="113">
        <f>IF($R78="","",IF(INDEX('_list'!$E$2:$E$676,$R78)="","",INDEX('_list'!$E$2:$E$676,$R78)))</f>
        <v/>
      </c>
      <c r="E78" s="113">
        <f>IF($R78="","",IF(INDEX('_list'!$F$2:$F$676,$R78)="","",INDEX('_list'!$F$2:$F$676,$R78)))</f>
        <v/>
      </c>
      <c r="F78" s="114">
        <f>IF($R78="","",IF(INDEX('_list'!$G$2:$G$676,$R78)="","",INDEX('_list'!$G$2:$G$676,$R78)))</f>
        <v/>
      </c>
      <c r="G78" s="115">
        <f>IF($S78="","",IF(INDEX('_pockets'!$AH:$AH,$S78)="","",INDEX('_pockets'!$AH:$AH,$S78)))</f>
        <v/>
      </c>
      <c r="H78" s="115">
        <f>IF($S78="","",IF(INDEX('_pockets'!$AF:$AF,$S78)="","",INDEX('_pockets'!$AF:$AF,$S78)))</f>
        <v/>
      </c>
      <c r="I78" s="116">
        <f>IF(IF($S78="","",IF(INDEX('_pockets'!$AB:$AB,$S78)="","",INDEX('_pockets'!$AB:$AB,$S78)))="","",IF($S78="","",IF(INDEX('_pockets'!$AB:$AB,$S78)="","",INDEX('_pockets'!$AB:$AB,$S78)))*IF($U$18,100,1))</f>
        <v/>
      </c>
      <c r="J78" s="114">
        <f>IF($S78="","",IF(INDEX('_pockets'!$Z:$Z,$S78)="","",INDEX('_pockets'!$Z:$Z,$S78)))</f>
        <v/>
      </c>
      <c r="K78" s="117">
        <f>IF($S78="","",IF(INDEX('_pockets'!$AO:$AO,$S78)="","",INDEX('_pockets'!$AO:$AO,$S78)))</f>
        <v/>
      </c>
      <c r="L78" s="118">
        <f>IF($S78="","",IF(INDEX('_pockets'!$AC:$AC,$S78)="","",INDEX('_pockets'!$AC:$AC,$S78)))</f>
        <v/>
      </c>
      <c r="M78" s="117">
        <f>IF($R78="","",IF(INDEX('_list'!$L$2:$L$676,$R78)="","",INDEX('_list'!$L$2:$L$676,$R78)))</f>
        <v/>
      </c>
      <c r="N78" s="116">
        <f>IF($R78="","",IF(INDEX('_list'!$H$2:$H$676,$R78)="","",INDEX('_list'!$H$2:$H$676,$R78)))</f>
        <v/>
      </c>
      <c r="O78" s="113">
        <f>IF($R78="","",IF(INDEX('_list'!$I$2:$I$676,$R78)="","",INDEX('_list'!$I$2:$I$676,$R78)))</f>
        <v/>
      </c>
      <c r="R78">
        <f>IFERROR(MATCH(59,'_list'!$N$2:$N$676,0),"")</f>
        <v/>
      </c>
      <c r="S78">
        <f>IF($R78="","",INDEX('_list'!$C$2:$C$676,$R78))</f>
        <v/>
      </c>
    </row>
    <row r="79" ht="16" customHeight="1">
      <c r="B79" s="112">
        <f>IF($R79="","",60)</f>
        <v/>
      </c>
      <c r="C79" s="113">
        <f>IF($R79="","",IF(INDEX('_list'!$D$2:$D$676,$R79)="","",INDEX('_list'!$D$2:$D$676,$R79)))</f>
        <v/>
      </c>
      <c r="D79" s="113">
        <f>IF($R79="","",IF(INDEX('_list'!$E$2:$E$676,$R79)="","",INDEX('_list'!$E$2:$E$676,$R79)))</f>
        <v/>
      </c>
      <c r="E79" s="113">
        <f>IF($R79="","",IF(INDEX('_list'!$F$2:$F$676,$R79)="","",INDEX('_list'!$F$2:$F$676,$R79)))</f>
        <v/>
      </c>
      <c r="F79" s="114">
        <f>IF($R79="","",IF(INDEX('_list'!$G$2:$G$676,$R79)="","",INDEX('_list'!$G$2:$G$676,$R79)))</f>
        <v/>
      </c>
      <c r="G79" s="115">
        <f>IF($S79="","",IF(INDEX('_pockets'!$AH:$AH,$S79)="","",INDEX('_pockets'!$AH:$AH,$S79)))</f>
        <v/>
      </c>
      <c r="H79" s="115">
        <f>IF($S79="","",IF(INDEX('_pockets'!$AF:$AF,$S79)="","",INDEX('_pockets'!$AF:$AF,$S79)))</f>
        <v/>
      </c>
      <c r="I79" s="116">
        <f>IF(IF($S79="","",IF(INDEX('_pockets'!$AB:$AB,$S79)="","",INDEX('_pockets'!$AB:$AB,$S79)))="","",IF($S79="","",IF(INDEX('_pockets'!$AB:$AB,$S79)="","",INDEX('_pockets'!$AB:$AB,$S79)))*IF($U$18,100,1))</f>
        <v/>
      </c>
      <c r="J79" s="114">
        <f>IF($S79="","",IF(INDEX('_pockets'!$Z:$Z,$S79)="","",INDEX('_pockets'!$Z:$Z,$S79)))</f>
        <v/>
      </c>
      <c r="K79" s="117">
        <f>IF($S79="","",IF(INDEX('_pockets'!$AO:$AO,$S79)="","",INDEX('_pockets'!$AO:$AO,$S79)))</f>
        <v/>
      </c>
      <c r="L79" s="118">
        <f>IF($S79="","",IF(INDEX('_pockets'!$AC:$AC,$S79)="","",INDEX('_pockets'!$AC:$AC,$S79)))</f>
        <v/>
      </c>
      <c r="M79" s="117">
        <f>IF($R79="","",IF(INDEX('_list'!$L$2:$L$676,$R79)="","",INDEX('_list'!$L$2:$L$676,$R79)))</f>
        <v/>
      </c>
      <c r="N79" s="116">
        <f>IF($R79="","",IF(INDEX('_list'!$H$2:$H$676,$R79)="","",INDEX('_list'!$H$2:$H$676,$R79)))</f>
        <v/>
      </c>
      <c r="O79" s="113">
        <f>IF($R79="","",IF(INDEX('_list'!$I$2:$I$676,$R79)="","",INDEX('_list'!$I$2:$I$676,$R79)))</f>
        <v/>
      </c>
      <c r="R79">
        <f>IFERROR(MATCH(60,'_list'!$N$2:$N$676,0),"")</f>
        <v/>
      </c>
      <c r="S79">
        <f>IF($R79="","",INDEX('_list'!$C$2:$C$676,$R79))</f>
        <v/>
      </c>
    </row>
    <row r="80" ht="16" customHeight="1">
      <c r="B80" s="112">
        <f>IF($R80="","",61)</f>
        <v/>
      </c>
      <c r="C80" s="113">
        <f>IF($R80="","",IF(INDEX('_list'!$D$2:$D$676,$R80)="","",INDEX('_list'!$D$2:$D$676,$R80)))</f>
        <v/>
      </c>
      <c r="D80" s="113">
        <f>IF($R80="","",IF(INDEX('_list'!$E$2:$E$676,$R80)="","",INDEX('_list'!$E$2:$E$676,$R80)))</f>
        <v/>
      </c>
      <c r="E80" s="113">
        <f>IF($R80="","",IF(INDEX('_list'!$F$2:$F$676,$R80)="","",INDEX('_list'!$F$2:$F$676,$R80)))</f>
        <v/>
      </c>
      <c r="F80" s="114">
        <f>IF($R80="","",IF(INDEX('_list'!$G$2:$G$676,$R80)="","",INDEX('_list'!$G$2:$G$676,$R80)))</f>
        <v/>
      </c>
      <c r="G80" s="115">
        <f>IF($S80="","",IF(INDEX('_pockets'!$AH:$AH,$S80)="","",INDEX('_pockets'!$AH:$AH,$S80)))</f>
        <v/>
      </c>
      <c r="H80" s="115">
        <f>IF($S80="","",IF(INDEX('_pockets'!$AF:$AF,$S80)="","",INDEX('_pockets'!$AF:$AF,$S80)))</f>
        <v/>
      </c>
      <c r="I80" s="116">
        <f>IF(IF($S80="","",IF(INDEX('_pockets'!$AB:$AB,$S80)="","",INDEX('_pockets'!$AB:$AB,$S80)))="","",IF($S80="","",IF(INDEX('_pockets'!$AB:$AB,$S80)="","",INDEX('_pockets'!$AB:$AB,$S80)))*IF($U$18,100,1))</f>
        <v/>
      </c>
      <c r="J80" s="114">
        <f>IF($S80="","",IF(INDEX('_pockets'!$Z:$Z,$S80)="","",INDEX('_pockets'!$Z:$Z,$S80)))</f>
        <v/>
      </c>
      <c r="K80" s="117">
        <f>IF($S80="","",IF(INDEX('_pockets'!$AO:$AO,$S80)="","",INDEX('_pockets'!$AO:$AO,$S80)))</f>
        <v/>
      </c>
      <c r="L80" s="118">
        <f>IF($S80="","",IF(INDEX('_pockets'!$AC:$AC,$S80)="","",INDEX('_pockets'!$AC:$AC,$S80)))</f>
        <v/>
      </c>
      <c r="M80" s="117">
        <f>IF($R80="","",IF(INDEX('_list'!$L$2:$L$676,$R80)="","",INDEX('_list'!$L$2:$L$676,$R80)))</f>
        <v/>
      </c>
      <c r="N80" s="116">
        <f>IF($R80="","",IF(INDEX('_list'!$H$2:$H$676,$R80)="","",INDEX('_list'!$H$2:$H$676,$R80)))</f>
        <v/>
      </c>
      <c r="O80" s="113">
        <f>IF($R80="","",IF(INDEX('_list'!$I$2:$I$676,$R80)="","",INDEX('_list'!$I$2:$I$676,$R80)))</f>
        <v/>
      </c>
      <c r="R80">
        <f>IFERROR(MATCH(61,'_list'!$N$2:$N$676,0),"")</f>
        <v/>
      </c>
      <c r="S80">
        <f>IF($R80="","",INDEX('_list'!$C$2:$C$676,$R80))</f>
        <v/>
      </c>
    </row>
    <row r="81" ht="16" customHeight="1">
      <c r="B81" s="112">
        <f>IF($R81="","",62)</f>
        <v/>
      </c>
      <c r="C81" s="113">
        <f>IF($R81="","",IF(INDEX('_list'!$D$2:$D$676,$R81)="","",INDEX('_list'!$D$2:$D$676,$R81)))</f>
        <v/>
      </c>
      <c r="D81" s="113">
        <f>IF($R81="","",IF(INDEX('_list'!$E$2:$E$676,$R81)="","",INDEX('_list'!$E$2:$E$676,$R81)))</f>
        <v/>
      </c>
      <c r="E81" s="113">
        <f>IF($R81="","",IF(INDEX('_list'!$F$2:$F$676,$R81)="","",INDEX('_list'!$F$2:$F$676,$R81)))</f>
        <v/>
      </c>
      <c r="F81" s="114">
        <f>IF($R81="","",IF(INDEX('_list'!$G$2:$G$676,$R81)="","",INDEX('_list'!$G$2:$G$676,$R81)))</f>
        <v/>
      </c>
      <c r="G81" s="115">
        <f>IF($S81="","",IF(INDEX('_pockets'!$AH:$AH,$S81)="","",INDEX('_pockets'!$AH:$AH,$S81)))</f>
        <v/>
      </c>
      <c r="H81" s="115">
        <f>IF($S81="","",IF(INDEX('_pockets'!$AF:$AF,$S81)="","",INDEX('_pockets'!$AF:$AF,$S81)))</f>
        <v/>
      </c>
      <c r="I81" s="116">
        <f>IF(IF($S81="","",IF(INDEX('_pockets'!$AB:$AB,$S81)="","",INDEX('_pockets'!$AB:$AB,$S81)))="","",IF($S81="","",IF(INDEX('_pockets'!$AB:$AB,$S81)="","",INDEX('_pockets'!$AB:$AB,$S81)))*IF($U$18,100,1))</f>
        <v/>
      </c>
      <c r="J81" s="114">
        <f>IF($S81="","",IF(INDEX('_pockets'!$Z:$Z,$S81)="","",INDEX('_pockets'!$Z:$Z,$S81)))</f>
        <v/>
      </c>
      <c r="K81" s="117">
        <f>IF($S81="","",IF(INDEX('_pockets'!$AO:$AO,$S81)="","",INDEX('_pockets'!$AO:$AO,$S81)))</f>
        <v/>
      </c>
      <c r="L81" s="118">
        <f>IF($S81="","",IF(INDEX('_pockets'!$AC:$AC,$S81)="","",INDEX('_pockets'!$AC:$AC,$S81)))</f>
        <v/>
      </c>
      <c r="M81" s="117">
        <f>IF($R81="","",IF(INDEX('_list'!$L$2:$L$676,$R81)="","",INDEX('_list'!$L$2:$L$676,$R81)))</f>
        <v/>
      </c>
      <c r="N81" s="116">
        <f>IF($R81="","",IF(INDEX('_list'!$H$2:$H$676,$R81)="","",INDEX('_list'!$H$2:$H$676,$R81)))</f>
        <v/>
      </c>
      <c r="O81" s="113">
        <f>IF($R81="","",IF(INDEX('_list'!$I$2:$I$676,$R81)="","",INDEX('_list'!$I$2:$I$676,$R81)))</f>
        <v/>
      </c>
      <c r="R81">
        <f>IFERROR(MATCH(62,'_list'!$N$2:$N$676,0),"")</f>
        <v/>
      </c>
      <c r="S81">
        <f>IF($R81="","",INDEX('_list'!$C$2:$C$676,$R81))</f>
        <v/>
      </c>
    </row>
    <row r="82" ht="16" customHeight="1">
      <c r="B82" s="112">
        <f>IF($R82="","",63)</f>
        <v/>
      </c>
      <c r="C82" s="113">
        <f>IF($R82="","",IF(INDEX('_list'!$D$2:$D$676,$R82)="","",INDEX('_list'!$D$2:$D$676,$R82)))</f>
        <v/>
      </c>
      <c r="D82" s="113">
        <f>IF($R82="","",IF(INDEX('_list'!$E$2:$E$676,$R82)="","",INDEX('_list'!$E$2:$E$676,$R82)))</f>
        <v/>
      </c>
      <c r="E82" s="113">
        <f>IF($R82="","",IF(INDEX('_list'!$F$2:$F$676,$R82)="","",INDEX('_list'!$F$2:$F$676,$R82)))</f>
        <v/>
      </c>
      <c r="F82" s="114">
        <f>IF($R82="","",IF(INDEX('_list'!$G$2:$G$676,$R82)="","",INDEX('_list'!$G$2:$G$676,$R82)))</f>
        <v/>
      </c>
      <c r="G82" s="115">
        <f>IF($S82="","",IF(INDEX('_pockets'!$AH:$AH,$S82)="","",INDEX('_pockets'!$AH:$AH,$S82)))</f>
        <v/>
      </c>
      <c r="H82" s="115">
        <f>IF($S82="","",IF(INDEX('_pockets'!$AF:$AF,$S82)="","",INDEX('_pockets'!$AF:$AF,$S82)))</f>
        <v/>
      </c>
      <c r="I82" s="116">
        <f>IF(IF($S82="","",IF(INDEX('_pockets'!$AB:$AB,$S82)="","",INDEX('_pockets'!$AB:$AB,$S82)))="","",IF($S82="","",IF(INDEX('_pockets'!$AB:$AB,$S82)="","",INDEX('_pockets'!$AB:$AB,$S82)))*IF($U$18,100,1))</f>
        <v/>
      </c>
      <c r="J82" s="114">
        <f>IF($S82="","",IF(INDEX('_pockets'!$Z:$Z,$S82)="","",INDEX('_pockets'!$Z:$Z,$S82)))</f>
        <v/>
      </c>
      <c r="K82" s="117">
        <f>IF($S82="","",IF(INDEX('_pockets'!$AO:$AO,$S82)="","",INDEX('_pockets'!$AO:$AO,$S82)))</f>
        <v/>
      </c>
      <c r="L82" s="118">
        <f>IF($S82="","",IF(INDEX('_pockets'!$AC:$AC,$S82)="","",INDEX('_pockets'!$AC:$AC,$S82)))</f>
        <v/>
      </c>
      <c r="M82" s="117">
        <f>IF($R82="","",IF(INDEX('_list'!$L$2:$L$676,$R82)="","",INDEX('_list'!$L$2:$L$676,$R82)))</f>
        <v/>
      </c>
      <c r="N82" s="116">
        <f>IF($R82="","",IF(INDEX('_list'!$H$2:$H$676,$R82)="","",INDEX('_list'!$H$2:$H$676,$R82)))</f>
        <v/>
      </c>
      <c r="O82" s="113">
        <f>IF($R82="","",IF(INDEX('_list'!$I$2:$I$676,$R82)="","",INDEX('_list'!$I$2:$I$676,$R82)))</f>
        <v/>
      </c>
      <c r="R82">
        <f>IFERROR(MATCH(63,'_list'!$N$2:$N$676,0),"")</f>
        <v/>
      </c>
      <c r="S82">
        <f>IF($R82="","",INDEX('_list'!$C$2:$C$676,$R82))</f>
        <v/>
      </c>
    </row>
    <row r="83" ht="16" customHeight="1">
      <c r="B83" s="112">
        <f>IF($R83="","",64)</f>
        <v/>
      </c>
      <c r="C83" s="113">
        <f>IF($R83="","",IF(INDEX('_list'!$D$2:$D$676,$R83)="","",INDEX('_list'!$D$2:$D$676,$R83)))</f>
        <v/>
      </c>
      <c r="D83" s="113">
        <f>IF($R83="","",IF(INDEX('_list'!$E$2:$E$676,$R83)="","",INDEX('_list'!$E$2:$E$676,$R83)))</f>
        <v/>
      </c>
      <c r="E83" s="113">
        <f>IF($R83="","",IF(INDEX('_list'!$F$2:$F$676,$R83)="","",INDEX('_list'!$F$2:$F$676,$R83)))</f>
        <v/>
      </c>
      <c r="F83" s="114">
        <f>IF($R83="","",IF(INDEX('_list'!$G$2:$G$676,$R83)="","",INDEX('_list'!$G$2:$G$676,$R83)))</f>
        <v/>
      </c>
      <c r="G83" s="115">
        <f>IF($S83="","",IF(INDEX('_pockets'!$AH:$AH,$S83)="","",INDEX('_pockets'!$AH:$AH,$S83)))</f>
        <v/>
      </c>
      <c r="H83" s="115">
        <f>IF($S83="","",IF(INDEX('_pockets'!$AF:$AF,$S83)="","",INDEX('_pockets'!$AF:$AF,$S83)))</f>
        <v/>
      </c>
      <c r="I83" s="116">
        <f>IF(IF($S83="","",IF(INDEX('_pockets'!$AB:$AB,$S83)="","",INDEX('_pockets'!$AB:$AB,$S83)))="","",IF($S83="","",IF(INDEX('_pockets'!$AB:$AB,$S83)="","",INDEX('_pockets'!$AB:$AB,$S83)))*IF($U$18,100,1))</f>
        <v/>
      </c>
      <c r="J83" s="114">
        <f>IF($S83="","",IF(INDEX('_pockets'!$Z:$Z,$S83)="","",INDEX('_pockets'!$Z:$Z,$S83)))</f>
        <v/>
      </c>
      <c r="K83" s="117">
        <f>IF($S83="","",IF(INDEX('_pockets'!$AO:$AO,$S83)="","",INDEX('_pockets'!$AO:$AO,$S83)))</f>
        <v/>
      </c>
      <c r="L83" s="118">
        <f>IF($S83="","",IF(INDEX('_pockets'!$AC:$AC,$S83)="","",INDEX('_pockets'!$AC:$AC,$S83)))</f>
        <v/>
      </c>
      <c r="M83" s="117">
        <f>IF($R83="","",IF(INDEX('_list'!$L$2:$L$676,$R83)="","",INDEX('_list'!$L$2:$L$676,$R83)))</f>
        <v/>
      </c>
      <c r="N83" s="116">
        <f>IF($R83="","",IF(INDEX('_list'!$H$2:$H$676,$R83)="","",INDEX('_list'!$H$2:$H$676,$R83)))</f>
        <v/>
      </c>
      <c r="O83" s="113">
        <f>IF($R83="","",IF(INDEX('_list'!$I$2:$I$676,$R83)="","",INDEX('_list'!$I$2:$I$676,$R83)))</f>
        <v/>
      </c>
      <c r="R83">
        <f>IFERROR(MATCH(64,'_list'!$N$2:$N$676,0),"")</f>
        <v/>
      </c>
      <c r="S83">
        <f>IF($R83="","",INDEX('_list'!$C$2:$C$676,$R83))</f>
        <v/>
      </c>
    </row>
    <row r="84" ht="16" customHeight="1">
      <c r="B84" s="112">
        <f>IF($R84="","",65)</f>
        <v/>
      </c>
      <c r="C84" s="113">
        <f>IF($R84="","",IF(INDEX('_list'!$D$2:$D$676,$R84)="","",INDEX('_list'!$D$2:$D$676,$R84)))</f>
        <v/>
      </c>
      <c r="D84" s="113">
        <f>IF($R84="","",IF(INDEX('_list'!$E$2:$E$676,$R84)="","",INDEX('_list'!$E$2:$E$676,$R84)))</f>
        <v/>
      </c>
      <c r="E84" s="113">
        <f>IF($R84="","",IF(INDEX('_list'!$F$2:$F$676,$R84)="","",INDEX('_list'!$F$2:$F$676,$R84)))</f>
        <v/>
      </c>
      <c r="F84" s="114">
        <f>IF($R84="","",IF(INDEX('_list'!$G$2:$G$676,$R84)="","",INDEX('_list'!$G$2:$G$676,$R84)))</f>
        <v/>
      </c>
      <c r="G84" s="115">
        <f>IF($S84="","",IF(INDEX('_pockets'!$AH:$AH,$S84)="","",INDEX('_pockets'!$AH:$AH,$S84)))</f>
        <v/>
      </c>
      <c r="H84" s="115">
        <f>IF($S84="","",IF(INDEX('_pockets'!$AF:$AF,$S84)="","",INDEX('_pockets'!$AF:$AF,$S84)))</f>
        <v/>
      </c>
      <c r="I84" s="116">
        <f>IF(IF($S84="","",IF(INDEX('_pockets'!$AB:$AB,$S84)="","",INDEX('_pockets'!$AB:$AB,$S84)))="","",IF($S84="","",IF(INDEX('_pockets'!$AB:$AB,$S84)="","",INDEX('_pockets'!$AB:$AB,$S84)))*IF($U$18,100,1))</f>
        <v/>
      </c>
      <c r="J84" s="114">
        <f>IF($S84="","",IF(INDEX('_pockets'!$Z:$Z,$S84)="","",INDEX('_pockets'!$Z:$Z,$S84)))</f>
        <v/>
      </c>
      <c r="K84" s="117">
        <f>IF($S84="","",IF(INDEX('_pockets'!$AO:$AO,$S84)="","",INDEX('_pockets'!$AO:$AO,$S84)))</f>
        <v/>
      </c>
      <c r="L84" s="118">
        <f>IF($S84="","",IF(INDEX('_pockets'!$AC:$AC,$S84)="","",INDEX('_pockets'!$AC:$AC,$S84)))</f>
        <v/>
      </c>
      <c r="M84" s="117">
        <f>IF($R84="","",IF(INDEX('_list'!$L$2:$L$676,$R84)="","",INDEX('_list'!$L$2:$L$676,$R84)))</f>
        <v/>
      </c>
      <c r="N84" s="116">
        <f>IF($R84="","",IF(INDEX('_list'!$H$2:$H$676,$R84)="","",INDEX('_list'!$H$2:$H$676,$R84)))</f>
        <v/>
      </c>
      <c r="O84" s="113">
        <f>IF($R84="","",IF(INDEX('_list'!$I$2:$I$676,$R84)="","",INDEX('_list'!$I$2:$I$676,$R84)))</f>
        <v/>
      </c>
      <c r="R84">
        <f>IFERROR(MATCH(65,'_list'!$N$2:$N$676,0),"")</f>
        <v/>
      </c>
      <c r="S84">
        <f>IF($R84="","",INDEX('_list'!$C$2:$C$676,$R84))</f>
        <v/>
      </c>
    </row>
    <row r="85" ht="16" customHeight="1">
      <c r="B85" s="112">
        <f>IF($R85="","",66)</f>
        <v/>
      </c>
      <c r="C85" s="113">
        <f>IF($R85="","",IF(INDEX('_list'!$D$2:$D$676,$R85)="","",INDEX('_list'!$D$2:$D$676,$R85)))</f>
        <v/>
      </c>
      <c r="D85" s="113">
        <f>IF($R85="","",IF(INDEX('_list'!$E$2:$E$676,$R85)="","",INDEX('_list'!$E$2:$E$676,$R85)))</f>
        <v/>
      </c>
      <c r="E85" s="113">
        <f>IF($R85="","",IF(INDEX('_list'!$F$2:$F$676,$R85)="","",INDEX('_list'!$F$2:$F$676,$R85)))</f>
        <v/>
      </c>
      <c r="F85" s="114">
        <f>IF($R85="","",IF(INDEX('_list'!$G$2:$G$676,$R85)="","",INDEX('_list'!$G$2:$G$676,$R85)))</f>
        <v/>
      </c>
      <c r="G85" s="115">
        <f>IF($S85="","",IF(INDEX('_pockets'!$AH:$AH,$S85)="","",INDEX('_pockets'!$AH:$AH,$S85)))</f>
        <v/>
      </c>
      <c r="H85" s="115">
        <f>IF($S85="","",IF(INDEX('_pockets'!$AF:$AF,$S85)="","",INDEX('_pockets'!$AF:$AF,$S85)))</f>
        <v/>
      </c>
      <c r="I85" s="116">
        <f>IF(IF($S85="","",IF(INDEX('_pockets'!$AB:$AB,$S85)="","",INDEX('_pockets'!$AB:$AB,$S85)))="","",IF($S85="","",IF(INDEX('_pockets'!$AB:$AB,$S85)="","",INDEX('_pockets'!$AB:$AB,$S85)))*IF($U$18,100,1))</f>
        <v/>
      </c>
      <c r="J85" s="114">
        <f>IF($S85="","",IF(INDEX('_pockets'!$Z:$Z,$S85)="","",INDEX('_pockets'!$Z:$Z,$S85)))</f>
        <v/>
      </c>
      <c r="K85" s="117">
        <f>IF($S85="","",IF(INDEX('_pockets'!$AO:$AO,$S85)="","",INDEX('_pockets'!$AO:$AO,$S85)))</f>
        <v/>
      </c>
      <c r="L85" s="118">
        <f>IF($S85="","",IF(INDEX('_pockets'!$AC:$AC,$S85)="","",INDEX('_pockets'!$AC:$AC,$S85)))</f>
        <v/>
      </c>
      <c r="M85" s="117">
        <f>IF($R85="","",IF(INDEX('_list'!$L$2:$L$676,$R85)="","",INDEX('_list'!$L$2:$L$676,$R85)))</f>
        <v/>
      </c>
      <c r="N85" s="116">
        <f>IF($R85="","",IF(INDEX('_list'!$H$2:$H$676,$R85)="","",INDEX('_list'!$H$2:$H$676,$R85)))</f>
        <v/>
      </c>
      <c r="O85" s="113">
        <f>IF($R85="","",IF(INDEX('_list'!$I$2:$I$676,$R85)="","",INDEX('_list'!$I$2:$I$676,$R85)))</f>
        <v/>
      </c>
      <c r="R85">
        <f>IFERROR(MATCH(66,'_list'!$N$2:$N$676,0),"")</f>
        <v/>
      </c>
      <c r="S85">
        <f>IF($R85="","",INDEX('_list'!$C$2:$C$676,$R85))</f>
        <v/>
      </c>
    </row>
    <row r="86" ht="16" customHeight="1">
      <c r="B86" s="112">
        <f>IF($R86="","",67)</f>
        <v/>
      </c>
      <c r="C86" s="113">
        <f>IF($R86="","",IF(INDEX('_list'!$D$2:$D$676,$R86)="","",INDEX('_list'!$D$2:$D$676,$R86)))</f>
        <v/>
      </c>
      <c r="D86" s="113">
        <f>IF($R86="","",IF(INDEX('_list'!$E$2:$E$676,$R86)="","",INDEX('_list'!$E$2:$E$676,$R86)))</f>
        <v/>
      </c>
      <c r="E86" s="113">
        <f>IF($R86="","",IF(INDEX('_list'!$F$2:$F$676,$R86)="","",INDEX('_list'!$F$2:$F$676,$R86)))</f>
        <v/>
      </c>
      <c r="F86" s="114">
        <f>IF($R86="","",IF(INDEX('_list'!$G$2:$G$676,$R86)="","",INDEX('_list'!$G$2:$G$676,$R86)))</f>
        <v/>
      </c>
      <c r="G86" s="115">
        <f>IF($S86="","",IF(INDEX('_pockets'!$AH:$AH,$S86)="","",INDEX('_pockets'!$AH:$AH,$S86)))</f>
        <v/>
      </c>
      <c r="H86" s="115">
        <f>IF($S86="","",IF(INDEX('_pockets'!$AF:$AF,$S86)="","",INDEX('_pockets'!$AF:$AF,$S86)))</f>
        <v/>
      </c>
      <c r="I86" s="116">
        <f>IF(IF($S86="","",IF(INDEX('_pockets'!$AB:$AB,$S86)="","",INDEX('_pockets'!$AB:$AB,$S86)))="","",IF($S86="","",IF(INDEX('_pockets'!$AB:$AB,$S86)="","",INDEX('_pockets'!$AB:$AB,$S86)))*IF($U$18,100,1))</f>
        <v/>
      </c>
      <c r="J86" s="114">
        <f>IF($S86="","",IF(INDEX('_pockets'!$Z:$Z,$S86)="","",INDEX('_pockets'!$Z:$Z,$S86)))</f>
        <v/>
      </c>
      <c r="K86" s="117">
        <f>IF($S86="","",IF(INDEX('_pockets'!$AO:$AO,$S86)="","",INDEX('_pockets'!$AO:$AO,$S86)))</f>
        <v/>
      </c>
      <c r="L86" s="118">
        <f>IF($S86="","",IF(INDEX('_pockets'!$AC:$AC,$S86)="","",INDEX('_pockets'!$AC:$AC,$S86)))</f>
        <v/>
      </c>
      <c r="M86" s="117">
        <f>IF($R86="","",IF(INDEX('_list'!$L$2:$L$676,$R86)="","",INDEX('_list'!$L$2:$L$676,$R86)))</f>
        <v/>
      </c>
      <c r="N86" s="116">
        <f>IF($R86="","",IF(INDEX('_list'!$H$2:$H$676,$R86)="","",INDEX('_list'!$H$2:$H$676,$R86)))</f>
        <v/>
      </c>
      <c r="O86" s="113">
        <f>IF($R86="","",IF(INDEX('_list'!$I$2:$I$676,$R86)="","",INDEX('_list'!$I$2:$I$676,$R86)))</f>
        <v/>
      </c>
      <c r="R86">
        <f>IFERROR(MATCH(67,'_list'!$N$2:$N$676,0),"")</f>
        <v/>
      </c>
      <c r="S86">
        <f>IF($R86="","",INDEX('_list'!$C$2:$C$676,$R86))</f>
        <v/>
      </c>
    </row>
    <row r="87" ht="16" customHeight="1">
      <c r="B87" s="112">
        <f>IF($R87="","",68)</f>
        <v/>
      </c>
      <c r="C87" s="113">
        <f>IF($R87="","",IF(INDEX('_list'!$D$2:$D$676,$R87)="","",INDEX('_list'!$D$2:$D$676,$R87)))</f>
        <v/>
      </c>
      <c r="D87" s="113">
        <f>IF($R87="","",IF(INDEX('_list'!$E$2:$E$676,$R87)="","",INDEX('_list'!$E$2:$E$676,$R87)))</f>
        <v/>
      </c>
      <c r="E87" s="113">
        <f>IF($R87="","",IF(INDEX('_list'!$F$2:$F$676,$R87)="","",INDEX('_list'!$F$2:$F$676,$R87)))</f>
        <v/>
      </c>
      <c r="F87" s="114">
        <f>IF($R87="","",IF(INDEX('_list'!$G$2:$G$676,$R87)="","",INDEX('_list'!$G$2:$G$676,$R87)))</f>
        <v/>
      </c>
      <c r="G87" s="115">
        <f>IF($S87="","",IF(INDEX('_pockets'!$AH:$AH,$S87)="","",INDEX('_pockets'!$AH:$AH,$S87)))</f>
        <v/>
      </c>
      <c r="H87" s="115">
        <f>IF($S87="","",IF(INDEX('_pockets'!$AF:$AF,$S87)="","",INDEX('_pockets'!$AF:$AF,$S87)))</f>
        <v/>
      </c>
      <c r="I87" s="116">
        <f>IF(IF($S87="","",IF(INDEX('_pockets'!$AB:$AB,$S87)="","",INDEX('_pockets'!$AB:$AB,$S87)))="","",IF($S87="","",IF(INDEX('_pockets'!$AB:$AB,$S87)="","",INDEX('_pockets'!$AB:$AB,$S87)))*IF($U$18,100,1))</f>
        <v/>
      </c>
      <c r="J87" s="114">
        <f>IF($S87="","",IF(INDEX('_pockets'!$Z:$Z,$S87)="","",INDEX('_pockets'!$Z:$Z,$S87)))</f>
        <v/>
      </c>
      <c r="K87" s="117">
        <f>IF($S87="","",IF(INDEX('_pockets'!$AO:$AO,$S87)="","",INDEX('_pockets'!$AO:$AO,$S87)))</f>
        <v/>
      </c>
      <c r="L87" s="118">
        <f>IF($S87="","",IF(INDEX('_pockets'!$AC:$AC,$S87)="","",INDEX('_pockets'!$AC:$AC,$S87)))</f>
        <v/>
      </c>
      <c r="M87" s="117">
        <f>IF($R87="","",IF(INDEX('_list'!$L$2:$L$676,$R87)="","",INDEX('_list'!$L$2:$L$676,$R87)))</f>
        <v/>
      </c>
      <c r="N87" s="116">
        <f>IF($R87="","",IF(INDEX('_list'!$H$2:$H$676,$R87)="","",INDEX('_list'!$H$2:$H$676,$R87)))</f>
        <v/>
      </c>
      <c r="O87" s="113">
        <f>IF($R87="","",IF(INDEX('_list'!$I$2:$I$676,$R87)="","",INDEX('_list'!$I$2:$I$676,$R87)))</f>
        <v/>
      </c>
      <c r="R87">
        <f>IFERROR(MATCH(68,'_list'!$N$2:$N$676,0),"")</f>
        <v/>
      </c>
      <c r="S87">
        <f>IF($R87="","",INDEX('_list'!$C$2:$C$676,$R87))</f>
        <v/>
      </c>
    </row>
    <row r="88" ht="16" customHeight="1">
      <c r="B88" s="112">
        <f>IF($R88="","",69)</f>
        <v/>
      </c>
      <c r="C88" s="113">
        <f>IF($R88="","",IF(INDEX('_list'!$D$2:$D$676,$R88)="","",INDEX('_list'!$D$2:$D$676,$R88)))</f>
        <v/>
      </c>
      <c r="D88" s="113">
        <f>IF($R88="","",IF(INDEX('_list'!$E$2:$E$676,$R88)="","",INDEX('_list'!$E$2:$E$676,$R88)))</f>
        <v/>
      </c>
      <c r="E88" s="113">
        <f>IF($R88="","",IF(INDEX('_list'!$F$2:$F$676,$R88)="","",INDEX('_list'!$F$2:$F$676,$R88)))</f>
        <v/>
      </c>
      <c r="F88" s="114">
        <f>IF($R88="","",IF(INDEX('_list'!$G$2:$G$676,$R88)="","",INDEX('_list'!$G$2:$G$676,$R88)))</f>
        <v/>
      </c>
      <c r="G88" s="115">
        <f>IF($S88="","",IF(INDEX('_pockets'!$AH:$AH,$S88)="","",INDEX('_pockets'!$AH:$AH,$S88)))</f>
        <v/>
      </c>
      <c r="H88" s="115">
        <f>IF($S88="","",IF(INDEX('_pockets'!$AF:$AF,$S88)="","",INDEX('_pockets'!$AF:$AF,$S88)))</f>
        <v/>
      </c>
      <c r="I88" s="116">
        <f>IF(IF($S88="","",IF(INDEX('_pockets'!$AB:$AB,$S88)="","",INDEX('_pockets'!$AB:$AB,$S88)))="","",IF($S88="","",IF(INDEX('_pockets'!$AB:$AB,$S88)="","",INDEX('_pockets'!$AB:$AB,$S88)))*IF($U$18,100,1))</f>
        <v/>
      </c>
      <c r="J88" s="114">
        <f>IF($S88="","",IF(INDEX('_pockets'!$Z:$Z,$S88)="","",INDEX('_pockets'!$Z:$Z,$S88)))</f>
        <v/>
      </c>
      <c r="K88" s="117">
        <f>IF($S88="","",IF(INDEX('_pockets'!$AO:$AO,$S88)="","",INDEX('_pockets'!$AO:$AO,$S88)))</f>
        <v/>
      </c>
      <c r="L88" s="118">
        <f>IF($S88="","",IF(INDEX('_pockets'!$AC:$AC,$S88)="","",INDEX('_pockets'!$AC:$AC,$S88)))</f>
        <v/>
      </c>
      <c r="M88" s="117">
        <f>IF($R88="","",IF(INDEX('_list'!$L$2:$L$676,$R88)="","",INDEX('_list'!$L$2:$L$676,$R88)))</f>
        <v/>
      </c>
      <c r="N88" s="116">
        <f>IF($R88="","",IF(INDEX('_list'!$H$2:$H$676,$R88)="","",INDEX('_list'!$H$2:$H$676,$R88)))</f>
        <v/>
      </c>
      <c r="O88" s="113">
        <f>IF($R88="","",IF(INDEX('_list'!$I$2:$I$676,$R88)="","",INDEX('_list'!$I$2:$I$676,$R88)))</f>
        <v/>
      </c>
      <c r="R88">
        <f>IFERROR(MATCH(69,'_list'!$N$2:$N$676,0),"")</f>
        <v/>
      </c>
      <c r="S88">
        <f>IF($R88="","",INDEX('_list'!$C$2:$C$676,$R88))</f>
        <v/>
      </c>
    </row>
    <row r="89" ht="16" customHeight="1">
      <c r="B89" s="112">
        <f>IF($R89="","",70)</f>
        <v/>
      </c>
      <c r="C89" s="113">
        <f>IF($R89="","",IF(INDEX('_list'!$D$2:$D$676,$R89)="","",INDEX('_list'!$D$2:$D$676,$R89)))</f>
        <v/>
      </c>
      <c r="D89" s="113">
        <f>IF($R89="","",IF(INDEX('_list'!$E$2:$E$676,$R89)="","",INDEX('_list'!$E$2:$E$676,$R89)))</f>
        <v/>
      </c>
      <c r="E89" s="113">
        <f>IF($R89="","",IF(INDEX('_list'!$F$2:$F$676,$R89)="","",INDEX('_list'!$F$2:$F$676,$R89)))</f>
        <v/>
      </c>
      <c r="F89" s="114">
        <f>IF($R89="","",IF(INDEX('_list'!$G$2:$G$676,$R89)="","",INDEX('_list'!$G$2:$G$676,$R89)))</f>
        <v/>
      </c>
      <c r="G89" s="115">
        <f>IF($S89="","",IF(INDEX('_pockets'!$AH:$AH,$S89)="","",INDEX('_pockets'!$AH:$AH,$S89)))</f>
        <v/>
      </c>
      <c r="H89" s="115">
        <f>IF($S89="","",IF(INDEX('_pockets'!$AF:$AF,$S89)="","",INDEX('_pockets'!$AF:$AF,$S89)))</f>
        <v/>
      </c>
      <c r="I89" s="116">
        <f>IF(IF($S89="","",IF(INDEX('_pockets'!$AB:$AB,$S89)="","",INDEX('_pockets'!$AB:$AB,$S89)))="","",IF($S89="","",IF(INDEX('_pockets'!$AB:$AB,$S89)="","",INDEX('_pockets'!$AB:$AB,$S89)))*IF($U$18,100,1))</f>
        <v/>
      </c>
      <c r="J89" s="114">
        <f>IF($S89="","",IF(INDEX('_pockets'!$Z:$Z,$S89)="","",INDEX('_pockets'!$Z:$Z,$S89)))</f>
        <v/>
      </c>
      <c r="K89" s="117">
        <f>IF($S89="","",IF(INDEX('_pockets'!$AO:$AO,$S89)="","",INDEX('_pockets'!$AO:$AO,$S89)))</f>
        <v/>
      </c>
      <c r="L89" s="118">
        <f>IF($S89="","",IF(INDEX('_pockets'!$AC:$AC,$S89)="","",INDEX('_pockets'!$AC:$AC,$S89)))</f>
        <v/>
      </c>
      <c r="M89" s="117">
        <f>IF($R89="","",IF(INDEX('_list'!$L$2:$L$676,$R89)="","",INDEX('_list'!$L$2:$L$676,$R89)))</f>
        <v/>
      </c>
      <c r="N89" s="116">
        <f>IF($R89="","",IF(INDEX('_list'!$H$2:$H$676,$R89)="","",INDEX('_list'!$H$2:$H$676,$R89)))</f>
        <v/>
      </c>
      <c r="O89" s="113">
        <f>IF($R89="","",IF(INDEX('_list'!$I$2:$I$676,$R89)="","",INDEX('_list'!$I$2:$I$676,$R89)))</f>
        <v/>
      </c>
      <c r="R89">
        <f>IFERROR(MATCH(70,'_list'!$N$2:$N$676,0),"")</f>
        <v/>
      </c>
      <c r="S89">
        <f>IF($R89="","",INDEX('_list'!$C$2:$C$676,$R89))</f>
        <v/>
      </c>
    </row>
    <row r="90" ht="16" customHeight="1">
      <c r="B90" s="112">
        <f>IF($R90="","",71)</f>
        <v/>
      </c>
      <c r="C90" s="113">
        <f>IF($R90="","",IF(INDEX('_list'!$D$2:$D$676,$R90)="","",INDEX('_list'!$D$2:$D$676,$R90)))</f>
        <v/>
      </c>
      <c r="D90" s="113">
        <f>IF($R90="","",IF(INDEX('_list'!$E$2:$E$676,$R90)="","",INDEX('_list'!$E$2:$E$676,$R90)))</f>
        <v/>
      </c>
      <c r="E90" s="113">
        <f>IF($R90="","",IF(INDEX('_list'!$F$2:$F$676,$R90)="","",INDEX('_list'!$F$2:$F$676,$R90)))</f>
        <v/>
      </c>
      <c r="F90" s="114">
        <f>IF($R90="","",IF(INDEX('_list'!$G$2:$G$676,$R90)="","",INDEX('_list'!$G$2:$G$676,$R90)))</f>
        <v/>
      </c>
      <c r="G90" s="115">
        <f>IF($S90="","",IF(INDEX('_pockets'!$AH:$AH,$S90)="","",INDEX('_pockets'!$AH:$AH,$S90)))</f>
        <v/>
      </c>
      <c r="H90" s="115">
        <f>IF($S90="","",IF(INDEX('_pockets'!$AF:$AF,$S90)="","",INDEX('_pockets'!$AF:$AF,$S90)))</f>
        <v/>
      </c>
      <c r="I90" s="116">
        <f>IF(IF($S90="","",IF(INDEX('_pockets'!$AB:$AB,$S90)="","",INDEX('_pockets'!$AB:$AB,$S90)))="","",IF($S90="","",IF(INDEX('_pockets'!$AB:$AB,$S90)="","",INDEX('_pockets'!$AB:$AB,$S90)))*IF($U$18,100,1))</f>
        <v/>
      </c>
      <c r="J90" s="114">
        <f>IF($S90="","",IF(INDEX('_pockets'!$Z:$Z,$S90)="","",INDEX('_pockets'!$Z:$Z,$S90)))</f>
        <v/>
      </c>
      <c r="K90" s="117">
        <f>IF($S90="","",IF(INDEX('_pockets'!$AO:$AO,$S90)="","",INDEX('_pockets'!$AO:$AO,$S90)))</f>
        <v/>
      </c>
      <c r="L90" s="118">
        <f>IF($S90="","",IF(INDEX('_pockets'!$AC:$AC,$S90)="","",INDEX('_pockets'!$AC:$AC,$S90)))</f>
        <v/>
      </c>
      <c r="M90" s="117">
        <f>IF($R90="","",IF(INDEX('_list'!$L$2:$L$676,$R90)="","",INDEX('_list'!$L$2:$L$676,$R90)))</f>
        <v/>
      </c>
      <c r="N90" s="116">
        <f>IF($R90="","",IF(INDEX('_list'!$H$2:$H$676,$R90)="","",INDEX('_list'!$H$2:$H$676,$R90)))</f>
        <v/>
      </c>
      <c r="O90" s="113">
        <f>IF($R90="","",IF(INDEX('_list'!$I$2:$I$676,$R90)="","",INDEX('_list'!$I$2:$I$676,$R90)))</f>
        <v/>
      </c>
      <c r="R90">
        <f>IFERROR(MATCH(71,'_list'!$N$2:$N$676,0),"")</f>
        <v/>
      </c>
      <c r="S90">
        <f>IF($R90="","",INDEX('_list'!$C$2:$C$676,$R90))</f>
        <v/>
      </c>
    </row>
    <row r="91" ht="16" customHeight="1">
      <c r="B91" s="112">
        <f>IF($R91="","",72)</f>
        <v/>
      </c>
      <c r="C91" s="113">
        <f>IF($R91="","",IF(INDEX('_list'!$D$2:$D$676,$R91)="","",INDEX('_list'!$D$2:$D$676,$R91)))</f>
        <v/>
      </c>
      <c r="D91" s="113">
        <f>IF($R91="","",IF(INDEX('_list'!$E$2:$E$676,$R91)="","",INDEX('_list'!$E$2:$E$676,$R91)))</f>
        <v/>
      </c>
      <c r="E91" s="113">
        <f>IF($R91="","",IF(INDEX('_list'!$F$2:$F$676,$R91)="","",INDEX('_list'!$F$2:$F$676,$R91)))</f>
        <v/>
      </c>
      <c r="F91" s="114">
        <f>IF($R91="","",IF(INDEX('_list'!$G$2:$G$676,$R91)="","",INDEX('_list'!$G$2:$G$676,$R91)))</f>
        <v/>
      </c>
      <c r="G91" s="115">
        <f>IF($S91="","",IF(INDEX('_pockets'!$AH:$AH,$S91)="","",INDEX('_pockets'!$AH:$AH,$S91)))</f>
        <v/>
      </c>
      <c r="H91" s="115">
        <f>IF($S91="","",IF(INDEX('_pockets'!$AF:$AF,$S91)="","",INDEX('_pockets'!$AF:$AF,$S91)))</f>
        <v/>
      </c>
      <c r="I91" s="116">
        <f>IF(IF($S91="","",IF(INDEX('_pockets'!$AB:$AB,$S91)="","",INDEX('_pockets'!$AB:$AB,$S91)))="","",IF($S91="","",IF(INDEX('_pockets'!$AB:$AB,$S91)="","",INDEX('_pockets'!$AB:$AB,$S91)))*IF($U$18,100,1))</f>
        <v/>
      </c>
      <c r="J91" s="114">
        <f>IF($S91="","",IF(INDEX('_pockets'!$Z:$Z,$S91)="","",INDEX('_pockets'!$Z:$Z,$S91)))</f>
        <v/>
      </c>
      <c r="K91" s="117">
        <f>IF($S91="","",IF(INDEX('_pockets'!$AO:$AO,$S91)="","",INDEX('_pockets'!$AO:$AO,$S91)))</f>
        <v/>
      </c>
      <c r="L91" s="118">
        <f>IF($S91="","",IF(INDEX('_pockets'!$AC:$AC,$S91)="","",INDEX('_pockets'!$AC:$AC,$S91)))</f>
        <v/>
      </c>
      <c r="M91" s="117">
        <f>IF($R91="","",IF(INDEX('_list'!$L$2:$L$676,$R91)="","",INDEX('_list'!$L$2:$L$676,$R91)))</f>
        <v/>
      </c>
      <c r="N91" s="116">
        <f>IF($R91="","",IF(INDEX('_list'!$H$2:$H$676,$R91)="","",INDEX('_list'!$H$2:$H$676,$R91)))</f>
        <v/>
      </c>
      <c r="O91" s="113">
        <f>IF($R91="","",IF(INDEX('_list'!$I$2:$I$676,$R91)="","",INDEX('_list'!$I$2:$I$676,$R91)))</f>
        <v/>
      </c>
      <c r="R91">
        <f>IFERROR(MATCH(72,'_list'!$N$2:$N$676,0),"")</f>
        <v/>
      </c>
      <c r="S91">
        <f>IF($R91="","",INDEX('_list'!$C$2:$C$676,$R91))</f>
        <v/>
      </c>
    </row>
    <row r="92" ht="16" customHeight="1">
      <c r="B92" s="112">
        <f>IF($R92="","",73)</f>
        <v/>
      </c>
      <c r="C92" s="113">
        <f>IF($R92="","",IF(INDEX('_list'!$D$2:$D$676,$R92)="","",INDEX('_list'!$D$2:$D$676,$R92)))</f>
        <v/>
      </c>
      <c r="D92" s="113">
        <f>IF($R92="","",IF(INDEX('_list'!$E$2:$E$676,$R92)="","",INDEX('_list'!$E$2:$E$676,$R92)))</f>
        <v/>
      </c>
      <c r="E92" s="113">
        <f>IF($R92="","",IF(INDEX('_list'!$F$2:$F$676,$R92)="","",INDEX('_list'!$F$2:$F$676,$R92)))</f>
        <v/>
      </c>
      <c r="F92" s="114">
        <f>IF($R92="","",IF(INDEX('_list'!$G$2:$G$676,$R92)="","",INDEX('_list'!$G$2:$G$676,$R92)))</f>
        <v/>
      </c>
      <c r="G92" s="115">
        <f>IF($S92="","",IF(INDEX('_pockets'!$AH:$AH,$S92)="","",INDEX('_pockets'!$AH:$AH,$S92)))</f>
        <v/>
      </c>
      <c r="H92" s="115">
        <f>IF($S92="","",IF(INDEX('_pockets'!$AF:$AF,$S92)="","",INDEX('_pockets'!$AF:$AF,$S92)))</f>
        <v/>
      </c>
      <c r="I92" s="116">
        <f>IF(IF($S92="","",IF(INDEX('_pockets'!$AB:$AB,$S92)="","",INDEX('_pockets'!$AB:$AB,$S92)))="","",IF($S92="","",IF(INDEX('_pockets'!$AB:$AB,$S92)="","",INDEX('_pockets'!$AB:$AB,$S92)))*IF($U$18,100,1))</f>
        <v/>
      </c>
      <c r="J92" s="114">
        <f>IF($S92="","",IF(INDEX('_pockets'!$Z:$Z,$S92)="","",INDEX('_pockets'!$Z:$Z,$S92)))</f>
        <v/>
      </c>
      <c r="K92" s="117">
        <f>IF($S92="","",IF(INDEX('_pockets'!$AO:$AO,$S92)="","",INDEX('_pockets'!$AO:$AO,$S92)))</f>
        <v/>
      </c>
      <c r="L92" s="118">
        <f>IF($S92="","",IF(INDEX('_pockets'!$AC:$AC,$S92)="","",INDEX('_pockets'!$AC:$AC,$S92)))</f>
        <v/>
      </c>
      <c r="M92" s="117">
        <f>IF($R92="","",IF(INDEX('_list'!$L$2:$L$676,$R92)="","",INDEX('_list'!$L$2:$L$676,$R92)))</f>
        <v/>
      </c>
      <c r="N92" s="116">
        <f>IF($R92="","",IF(INDEX('_list'!$H$2:$H$676,$R92)="","",INDEX('_list'!$H$2:$H$676,$R92)))</f>
        <v/>
      </c>
      <c r="O92" s="113">
        <f>IF($R92="","",IF(INDEX('_list'!$I$2:$I$676,$R92)="","",INDEX('_list'!$I$2:$I$676,$R92)))</f>
        <v/>
      </c>
      <c r="R92">
        <f>IFERROR(MATCH(73,'_list'!$N$2:$N$676,0),"")</f>
        <v/>
      </c>
      <c r="S92">
        <f>IF($R92="","",INDEX('_list'!$C$2:$C$676,$R92))</f>
        <v/>
      </c>
    </row>
    <row r="93" ht="16" customHeight="1">
      <c r="B93" s="112">
        <f>IF($R93="","",74)</f>
        <v/>
      </c>
      <c r="C93" s="113">
        <f>IF($R93="","",IF(INDEX('_list'!$D$2:$D$676,$R93)="","",INDEX('_list'!$D$2:$D$676,$R93)))</f>
        <v/>
      </c>
      <c r="D93" s="113">
        <f>IF($R93="","",IF(INDEX('_list'!$E$2:$E$676,$R93)="","",INDEX('_list'!$E$2:$E$676,$R93)))</f>
        <v/>
      </c>
      <c r="E93" s="113">
        <f>IF($R93="","",IF(INDEX('_list'!$F$2:$F$676,$R93)="","",INDEX('_list'!$F$2:$F$676,$R93)))</f>
        <v/>
      </c>
      <c r="F93" s="114">
        <f>IF($R93="","",IF(INDEX('_list'!$G$2:$G$676,$R93)="","",INDEX('_list'!$G$2:$G$676,$R93)))</f>
        <v/>
      </c>
      <c r="G93" s="115">
        <f>IF($S93="","",IF(INDEX('_pockets'!$AH:$AH,$S93)="","",INDEX('_pockets'!$AH:$AH,$S93)))</f>
        <v/>
      </c>
      <c r="H93" s="115">
        <f>IF($S93="","",IF(INDEX('_pockets'!$AF:$AF,$S93)="","",INDEX('_pockets'!$AF:$AF,$S93)))</f>
        <v/>
      </c>
      <c r="I93" s="116">
        <f>IF(IF($S93="","",IF(INDEX('_pockets'!$AB:$AB,$S93)="","",INDEX('_pockets'!$AB:$AB,$S93)))="","",IF($S93="","",IF(INDEX('_pockets'!$AB:$AB,$S93)="","",INDEX('_pockets'!$AB:$AB,$S93)))*IF($U$18,100,1))</f>
        <v/>
      </c>
      <c r="J93" s="114">
        <f>IF($S93="","",IF(INDEX('_pockets'!$Z:$Z,$S93)="","",INDEX('_pockets'!$Z:$Z,$S93)))</f>
        <v/>
      </c>
      <c r="K93" s="117">
        <f>IF($S93="","",IF(INDEX('_pockets'!$AO:$AO,$S93)="","",INDEX('_pockets'!$AO:$AO,$S93)))</f>
        <v/>
      </c>
      <c r="L93" s="118">
        <f>IF($S93="","",IF(INDEX('_pockets'!$AC:$AC,$S93)="","",INDEX('_pockets'!$AC:$AC,$S93)))</f>
        <v/>
      </c>
      <c r="M93" s="117">
        <f>IF($R93="","",IF(INDEX('_list'!$L$2:$L$676,$R93)="","",INDEX('_list'!$L$2:$L$676,$R93)))</f>
        <v/>
      </c>
      <c r="N93" s="116">
        <f>IF($R93="","",IF(INDEX('_list'!$H$2:$H$676,$R93)="","",INDEX('_list'!$H$2:$H$676,$R93)))</f>
        <v/>
      </c>
      <c r="O93" s="113">
        <f>IF($R93="","",IF(INDEX('_list'!$I$2:$I$676,$R93)="","",INDEX('_list'!$I$2:$I$676,$R93)))</f>
        <v/>
      </c>
      <c r="R93">
        <f>IFERROR(MATCH(74,'_list'!$N$2:$N$676,0),"")</f>
        <v/>
      </c>
      <c r="S93">
        <f>IF($R93="","",INDEX('_list'!$C$2:$C$676,$R93))</f>
        <v/>
      </c>
    </row>
    <row r="94" ht="16" customHeight="1">
      <c r="B94" s="112">
        <f>IF($R94="","",75)</f>
        <v/>
      </c>
      <c r="C94" s="113">
        <f>IF($R94="","",IF(INDEX('_list'!$D$2:$D$676,$R94)="","",INDEX('_list'!$D$2:$D$676,$R94)))</f>
        <v/>
      </c>
      <c r="D94" s="113">
        <f>IF($R94="","",IF(INDEX('_list'!$E$2:$E$676,$R94)="","",INDEX('_list'!$E$2:$E$676,$R94)))</f>
        <v/>
      </c>
      <c r="E94" s="113">
        <f>IF($R94="","",IF(INDEX('_list'!$F$2:$F$676,$R94)="","",INDEX('_list'!$F$2:$F$676,$R94)))</f>
        <v/>
      </c>
      <c r="F94" s="114">
        <f>IF($R94="","",IF(INDEX('_list'!$G$2:$G$676,$R94)="","",INDEX('_list'!$G$2:$G$676,$R94)))</f>
        <v/>
      </c>
      <c r="G94" s="115">
        <f>IF($S94="","",IF(INDEX('_pockets'!$AH:$AH,$S94)="","",INDEX('_pockets'!$AH:$AH,$S94)))</f>
        <v/>
      </c>
      <c r="H94" s="115">
        <f>IF($S94="","",IF(INDEX('_pockets'!$AF:$AF,$S94)="","",INDEX('_pockets'!$AF:$AF,$S94)))</f>
        <v/>
      </c>
      <c r="I94" s="116">
        <f>IF(IF($S94="","",IF(INDEX('_pockets'!$AB:$AB,$S94)="","",INDEX('_pockets'!$AB:$AB,$S94)))="","",IF($S94="","",IF(INDEX('_pockets'!$AB:$AB,$S94)="","",INDEX('_pockets'!$AB:$AB,$S94)))*IF($U$18,100,1))</f>
        <v/>
      </c>
      <c r="J94" s="114">
        <f>IF($S94="","",IF(INDEX('_pockets'!$Z:$Z,$S94)="","",INDEX('_pockets'!$Z:$Z,$S94)))</f>
        <v/>
      </c>
      <c r="K94" s="117">
        <f>IF($S94="","",IF(INDEX('_pockets'!$AO:$AO,$S94)="","",INDEX('_pockets'!$AO:$AO,$S94)))</f>
        <v/>
      </c>
      <c r="L94" s="118">
        <f>IF($S94="","",IF(INDEX('_pockets'!$AC:$AC,$S94)="","",INDEX('_pockets'!$AC:$AC,$S94)))</f>
        <v/>
      </c>
      <c r="M94" s="117">
        <f>IF($R94="","",IF(INDEX('_list'!$L$2:$L$676,$R94)="","",INDEX('_list'!$L$2:$L$676,$R94)))</f>
        <v/>
      </c>
      <c r="N94" s="116">
        <f>IF($R94="","",IF(INDEX('_list'!$H$2:$H$676,$R94)="","",INDEX('_list'!$H$2:$H$676,$R94)))</f>
        <v/>
      </c>
      <c r="O94" s="113">
        <f>IF($R94="","",IF(INDEX('_list'!$I$2:$I$676,$R94)="","",INDEX('_list'!$I$2:$I$676,$R94)))</f>
        <v/>
      </c>
      <c r="R94">
        <f>IFERROR(MATCH(75,'_list'!$N$2:$N$676,0),"")</f>
        <v/>
      </c>
      <c r="S94">
        <f>IF($R94="","",INDEX('_list'!$C$2:$C$676,$R94))</f>
        <v/>
      </c>
    </row>
    <row r="95" ht="16" customHeight="1">
      <c r="B95" s="112">
        <f>IF($R95="","",76)</f>
        <v/>
      </c>
      <c r="C95" s="113">
        <f>IF($R95="","",IF(INDEX('_list'!$D$2:$D$676,$R95)="","",INDEX('_list'!$D$2:$D$676,$R95)))</f>
        <v/>
      </c>
      <c r="D95" s="113">
        <f>IF($R95="","",IF(INDEX('_list'!$E$2:$E$676,$R95)="","",INDEX('_list'!$E$2:$E$676,$R95)))</f>
        <v/>
      </c>
      <c r="E95" s="113">
        <f>IF($R95="","",IF(INDEX('_list'!$F$2:$F$676,$R95)="","",INDEX('_list'!$F$2:$F$676,$R95)))</f>
        <v/>
      </c>
      <c r="F95" s="114">
        <f>IF($R95="","",IF(INDEX('_list'!$G$2:$G$676,$R95)="","",INDEX('_list'!$G$2:$G$676,$R95)))</f>
        <v/>
      </c>
      <c r="G95" s="115">
        <f>IF($S95="","",IF(INDEX('_pockets'!$AH:$AH,$S95)="","",INDEX('_pockets'!$AH:$AH,$S95)))</f>
        <v/>
      </c>
      <c r="H95" s="115">
        <f>IF($S95="","",IF(INDEX('_pockets'!$AF:$AF,$S95)="","",INDEX('_pockets'!$AF:$AF,$S95)))</f>
        <v/>
      </c>
      <c r="I95" s="116">
        <f>IF(IF($S95="","",IF(INDEX('_pockets'!$AB:$AB,$S95)="","",INDEX('_pockets'!$AB:$AB,$S95)))="","",IF($S95="","",IF(INDEX('_pockets'!$AB:$AB,$S95)="","",INDEX('_pockets'!$AB:$AB,$S95)))*IF($U$18,100,1))</f>
        <v/>
      </c>
      <c r="J95" s="114">
        <f>IF($S95="","",IF(INDEX('_pockets'!$Z:$Z,$S95)="","",INDEX('_pockets'!$Z:$Z,$S95)))</f>
        <v/>
      </c>
      <c r="K95" s="117">
        <f>IF($S95="","",IF(INDEX('_pockets'!$AO:$AO,$S95)="","",INDEX('_pockets'!$AO:$AO,$S95)))</f>
        <v/>
      </c>
      <c r="L95" s="118">
        <f>IF($S95="","",IF(INDEX('_pockets'!$AC:$AC,$S95)="","",INDEX('_pockets'!$AC:$AC,$S95)))</f>
        <v/>
      </c>
      <c r="M95" s="117">
        <f>IF($R95="","",IF(INDEX('_list'!$L$2:$L$676,$R95)="","",INDEX('_list'!$L$2:$L$676,$R95)))</f>
        <v/>
      </c>
      <c r="N95" s="116">
        <f>IF($R95="","",IF(INDEX('_list'!$H$2:$H$676,$R95)="","",INDEX('_list'!$H$2:$H$676,$R95)))</f>
        <v/>
      </c>
      <c r="O95" s="113">
        <f>IF($R95="","",IF(INDEX('_list'!$I$2:$I$676,$R95)="","",INDEX('_list'!$I$2:$I$676,$R95)))</f>
        <v/>
      </c>
      <c r="R95">
        <f>IFERROR(MATCH(76,'_list'!$N$2:$N$676,0),"")</f>
        <v/>
      </c>
      <c r="S95">
        <f>IF($R95="","",INDEX('_list'!$C$2:$C$676,$R95))</f>
        <v/>
      </c>
    </row>
    <row r="96" ht="16" customHeight="1">
      <c r="B96" s="112">
        <f>IF($R96="","",77)</f>
        <v/>
      </c>
      <c r="C96" s="113">
        <f>IF($R96="","",IF(INDEX('_list'!$D$2:$D$676,$R96)="","",INDEX('_list'!$D$2:$D$676,$R96)))</f>
        <v/>
      </c>
      <c r="D96" s="113">
        <f>IF($R96="","",IF(INDEX('_list'!$E$2:$E$676,$R96)="","",INDEX('_list'!$E$2:$E$676,$R96)))</f>
        <v/>
      </c>
      <c r="E96" s="113">
        <f>IF($R96="","",IF(INDEX('_list'!$F$2:$F$676,$R96)="","",INDEX('_list'!$F$2:$F$676,$R96)))</f>
        <v/>
      </c>
      <c r="F96" s="114">
        <f>IF($R96="","",IF(INDEX('_list'!$G$2:$G$676,$R96)="","",INDEX('_list'!$G$2:$G$676,$R96)))</f>
        <v/>
      </c>
      <c r="G96" s="115">
        <f>IF($S96="","",IF(INDEX('_pockets'!$AH:$AH,$S96)="","",INDEX('_pockets'!$AH:$AH,$S96)))</f>
        <v/>
      </c>
      <c r="H96" s="115">
        <f>IF($S96="","",IF(INDEX('_pockets'!$AF:$AF,$S96)="","",INDEX('_pockets'!$AF:$AF,$S96)))</f>
        <v/>
      </c>
      <c r="I96" s="116">
        <f>IF(IF($S96="","",IF(INDEX('_pockets'!$AB:$AB,$S96)="","",INDEX('_pockets'!$AB:$AB,$S96)))="","",IF($S96="","",IF(INDEX('_pockets'!$AB:$AB,$S96)="","",INDEX('_pockets'!$AB:$AB,$S96)))*IF($U$18,100,1))</f>
        <v/>
      </c>
      <c r="J96" s="114">
        <f>IF($S96="","",IF(INDEX('_pockets'!$Z:$Z,$S96)="","",INDEX('_pockets'!$Z:$Z,$S96)))</f>
        <v/>
      </c>
      <c r="K96" s="117">
        <f>IF($S96="","",IF(INDEX('_pockets'!$AO:$AO,$S96)="","",INDEX('_pockets'!$AO:$AO,$S96)))</f>
        <v/>
      </c>
      <c r="L96" s="118">
        <f>IF($S96="","",IF(INDEX('_pockets'!$AC:$AC,$S96)="","",INDEX('_pockets'!$AC:$AC,$S96)))</f>
        <v/>
      </c>
      <c r="M96" s="117">
        <f>IF($R96="","",IF(INDEX('_list'!$L$2:$L$676,$R96)="","",INDEX('_list'!$L$2:$L$676,$R96)))</f>
        <v/>
      </c>
      <c r="N96" s="116">
        <f>IF($R96="","",IF(INDEX('_list'!$H$2:$H$676,$R96)="","",INDEX('_list'!$H$2:$H$676,$R96)))</f>
        <v/>
      </c>
      <c r="O96" s="113">
        <f>IF($R96="","",IF(INDEX('_list'!$I$2:$I$676,$R96)="","",INDEX('_list'!$I$2:$I$676,$R96)))</f>
        <v/>
      </c>
      <c r="R96">
        <f>IFERROR(MATCH(77,'_list'!$N$2:$N$676,0),"")</f>
        <v/>
      </c>
      <c r="S96">
        <f>IF($R96="","",INDEX('_list'!$C$2:$C$676,$R96))</f>
        <v/>
      </c>
    </row>
    <row r="97" ht="16" customHeight="1">
      <c r="B97" s="112">
        <f>IF($R97="","",78)</f>
        <v/>
      </c>
      <c r="C97" s="113">
        <f>IF($R97="","",IF(INDEX('_list'!$D$2:$D$676,$R97)="","",INDEX('_list'!$D$2:$D$676,$R97)))</f>
        <v/>
      </c>
      <c r="D97" s="113">
        <f>IF($R97="","",IF(INDEX('_list'!$E$2:$E$676,$R97)="","",INDEX('_list'!$E$2:$E$676,$R97)))</f>
        <v/>
      </c>
      <c r="E97" s="113">
        <f>IF($R97="","",IF(INDEX('_list'!$F$2:$F$676,$R97)="","",INDEX('_list'!$F$2:$F$676,$R97)))</f>
        <v/>
      </c>
      <c r="F97" s="114">
        <f>IF($R97="","",IF(INDEX('_list'!$G$2:$G$676,$R97)="","",INDEX('_list'!$G$2:$G$676,$R97)))</f>
        <v/>
      </c>
      <c r="G97" s="115">
        <f>IF($S97="","",IF(INDEX('_pockets'!$AH:$AH,$S97)="","",INDEX('_pockets'!$AH:$AH,$S97)))</f>
        <v/>
      </c>
      <c r="H97" s="115">
        <f>IF($S97="","",IF(INDEX('_pockets'!$AF:$AF,$S97)="","",INDEX('_pockets'!$AF:$AF,$S97)))</f>
        <v/>
      </c>
      <c r="I97" s="116">
        <f>IF(IF($S97="","",IF(INDEX('_pockets'!$AB:$AB,$S97)="","",INDEX('_pockets'!$AB:$AB,$S97)))="","",IF($S97="","",IF(INDEX('_pockets'!$AB:$AB,$S97)="","",INDEX('_pockets'!$AB:$AB,$S97)))*IF($U$18,100,1))</f>
        <v/>
      </c>
      <c r="J97" s="114">
        <f>IF($S97="","",IF(INDEX('_pockets'!$Z:$Z,$S97)="","",INDEX('_pockets'!$Z:$Z,$S97)))</f>
        <v/>
      </c>
      <c r="K97" s="117">
        <f>IF($S97="","",IF(INDEX('_pockets'!$AO:$AO,$S97)="","",INDEX('_pockets'!$AO:$AO,$S97)))</f>
        <v/>
      </c>
      <c r="L97" s="118">
        <f>IF($S97="","",IF(INDEX('_pockets'!$AC:$AC,$S97)="","",INDEX('_pockets'!$AC:$AC,$S97)))</f>
        <v/>
      </c>
      <c r="M97" s="117">
        <f>IF($R97="","",IF(INDEX('_list'!$L$2:$L$676,$R97)="","",INDEX('_list'!$L$2:$L$676,$R97)))</f>
        <v/>
      </c>
      <c r="N97" s="116">
        <f>IF($R97="","",IF(INDEX('_list'!$H$2:$H$676,$R97)="","",INDEX('_list'!$H$2:$H$676,$R97)))</f>
        <v/>
      </c>
      <c r="O97" s="113">
        <f>IF($R97="","",IF(INDEX('_list'!$I$2:$I$676,$R97)="","",INDEX('_list'!$I$2:$I$676,$R97)))</f>
        <v/>
      </c>
      <c r="R97">
        <f>IFERROR(MATCH(78,'_list'!$N$2:$N$676,0),"")</f>
        <v/>
      </c>
      <c r="S97">
        <f>IF($R97="","",INDEX('_list'!$C$2:$C$676,$R97))</f>
        <v/>
      </c>
    </row>
    <row r="98" ht="16" customHeight="1">
      <c r="B98" s="112">
        <f>IF($R98="","",79)</f>
        <v/>
      </c>
      <c r="C98" s="113">
        <f>IF($R98="","",IF(INDEX('_list'!$D$2:$D$676,$R98)="","",INDEX('_list'!$D$2:$D$676,$R98)))</f>
        <v/>
      </c>
      <c r="D98" s="113">
        <f>IF($R98="","",IF(INDEX('_list'!$E$2:$E$676,$R98)="","",INDEX('_list'!$E$2:$E$676,$R98)))</f>
        <v/>
      </c>
      <c r="E98" s="113">
        <f>IF($R98="","",IF(INDEX('_list'!$F$2:$F$676,$R98)="","",INDEX('_list'!$F$2:$F$676,$R98)))</f>
        <v/>
      </c>
      <c r="F98" s="114">
        <f>IF($R98="","",IF(INDEX('_list'!$G$2:$G$676,$R98)="","",INDEX('_list'!$G$2:$G$676,$R98)))</f>
        <v/>
      </c>
      <c r="G98" s="115">
        <f>IF($S98="","",IF(INDEX('_pockets'!$AH:$AH,$S98)="","",INDEX('_pockets'!$AH:$AH,$S98)))</f>
        <v/>
      </c>
      <c r="H98" s="115">
        <f>IF($S98="","",IF(INDEX('_pockets'!$AF:$AF,$S98)="","",INDEX('_pockets'!$AF:$AF,$S98)))</f>
        <v/>
      </c>
      <c r="I98" s="116">
        <f>IF(IF($S98="","",IF(INDEX('_pockets'!$AB:$AB,$S98)="","",INDEX('_pockets'!$AB:$AB,$S98)))="","",IF($S98="","",IF(INDEX('_pockets'!$AB:$AB,$S98)="","",INDEX('_pockets'!$AB:$AB,$S98)))*IF($U$18,100,1))</f>
        <v/>
      </c>
      <c r="J98" s="114">
        <f>IF($S98="","",IF(INDEX('_pockets'!$Z:$Z,$S98)="","",INDEX('_pockets'!$Z:$Z,$S98)))</f>
        <v/>
      </c>
      <c r="K98" s="117">
        <f>IF($S98="","",IF(INDEX('_pockets'!$AO:$AO,$S98)="","",INDEX('_pockets'!$AO:$AO,$S98)))</f>
        <v/>
      </c>
      <c r="L98" s="118">
        <f>IF($S98="","",IF(INDEX('_pockets'!$AC:$AC,$S98)="","",INDEX('_pockets'!$AC:$AC,$S98)))</f>
        <v/>
      </c>
      <c r="M98" s="117">
        <f>IF($R98="","",IF(INDEX('_list'!$L$2:$L$676,$R98)="","",INDEX('_list'!$L$2:$L$676,$R98)))</f>
        <v/>
      </c>
      <c r="N98" s="116">
        <f>IF($R98="","",IF(INDEX('_list'!$H$2:$H$676,$R98)="","",INDEX('_list'!$H$2:$H$676,$R98)))</f>
        <v/>
      </c>
      <c r="O98" s="113">
        <f>IF($R98="","",IF(INDEX('_list'!$I$2:$I$676,$R98)="","",INDEX('_list'!$I$2:$I$676,$R98)))</f>
        <v/>
      </c>
      <c r="R98">
        <f>IFERROR(MATCH(79,'_list'!$N$2:$N$676,0),"")</f>
        <v/>
      </c>
      <c r="S98">
        <f>IF($R98="","",INDEX('_list'!$C$2:$C$676,$R98))</f>
        <v/>
      </c>
    </row>
    <row r="99" ht="16" customHeight="1">
      <c r="B99" s="112">
        <f>IF($R99="","",80)</f>
        <v/>
      </c>
      <c r="C99" s="113">
        <f>IF($R99="","",IF(INDEX('_list'!$D$2:$D$676,$R99)="","",INDEX('_list'!$D$2:$D$676,$R99)))</f>
        <v/>
      </c>
      <c r="D99" s="113">
        <f>IF($R99="","",IF(INDEX('_list'!$E$2:$E$676,$R99)="","",INDEX('_list'!$E$2:$E$676,$R99)))</f>
        <v/>
      </c>
      <c r="E99" s="113">
        <f>IF($R99="","",IF(INDEX('_list'!$F$2:$F$676,$R99)="","",INDEX('_list'!$F$2:$F$676,$R99)))</f>
        <v/>
      </c>
      <c r="F99" s="114">
        <f>IF($R99="","",IF(INDEX('_list'!$G$2:$G$676,$R99)="","",INDEX('_list'!$G$2:$G$676,$R99)))</f>
        <v/>
      </c>
      <c r="G99" s="115">
        <f>IF($S99="","",IF(INDEX('_pockets'!$AH:$AH,$S99)="","",INDEX('_pockets'!$AH:$AH,$S99)))</f>
        <v/>
      </c>
      <c r="H99" s="115">
        <f>IF($S99="","",IF(INDEX('_pockets'!$AF:$AF,$S99)="","",INDEX('_pockets'!$AF:$AF,$S99)))</f>
        <v/>
      </c>
      <c r="I99" s="116">
        <f>IF(IF($S99="","",IF(INDEX('_pockets'!$AB:$AB,$S99)="","",INDEX('_pockets'!$AB:$AB,$S99)))="","",IF($S99="","",IF(INDEX('_pockets'!$AB:$AB,$S99)="","",INDEX('_pockets'!$AB:$AB,$S99)))*IF($U$18,100,1))</f>
        <v/>
      </c>
      <c r="J99" s="114">
        <f>IF($S99="","",IF(INDEX('_pockets'!$Z:$Z,$S99)="","",INDEX('_pockets'!$Z:$Z,$S99)))</f>
        <v/>
      </c>
      <c r="K99" s="117">
        <f>IF($S99="","",IF(INDEX('_pockets'!$AO:$AO,$S99)="","",INDEX('_pockets'!$AO:$AO,$S99)))</f>
        <v/>
      </c>
      <c r="L99" s="118">
        <f>IF($S99="","",IF(INDEX('_pockets'!$AC:$AC,$S99)="","",INDEX('_pockets'!$AC:$AC,$S99)))</f>
        <v/>
      </c>
      <c r="M99" s="117">
        <f>IF($R99="","",IF(INDEX('_list'!$L$2:$L$676,$R99)="","",INDEX('_list'!$L$2:$L$676,$R99)))</f>
        <v/>
      </c>
      <c r="N99" s="116">
        <f>IF($R99="","",IF(INDEX('_list'!$H$2:$H$676,$R99)="","",INDEX('_list'!$H$2:$H$676,$R99)))</f>
        <v/>
      </c>
      <c r="O99" s="113">
        <f>IF($R99="","",IF(INDEX('_list'!$I$2:$I$676,$R99)="","",INDEX('_list'!$I$2:$I$676,$R99)))</f>
        <v/>
      </c>
      <c r="R99">
        <f>IFERROR(MATCH(80,'_list'!$N$2:$N$676,0),"")</f>
        <v/>
      </c>
      <c r="S99">
        <f>IF($R99="","",INDEX('_list'!$C$2:$C$676,$R99))</f>
        <v/>
      </c>
    </row>
    <row r="100" ht="16" customHeight="1">
      <c r="B100" s="112">
        <f>IF($R100="","",81)</f>
        <v/>
      </c>
      <c r="C100" s="113">
        <f>IF($R100="","",IF(INDEX('_list'!$D$2:$D$676,$R100)="","",INDEX('_list'!$D$2:$D$676,$R100)))</f>
        <v/>
      </c>
      <c r="D100" s="113">
        <f>IF($R100="","",IF(INDEX('_list'!$E$2:$E$676,$R100)="","",INDEX('_list'!$E$2:$E$676,$R100)))</f>
        <v/>
      </c>
      <c r="E100" s="113">
        <f>IF($R100="","",IF(INDEX('_list'!$F$2:$F$676,$R100)="","",INDEX('_list'!$F$2:$F$676,$R100)))</f>
        <v/>
      </c>
      <c r="F100" s="114">
        <f>IF($R100="","",IF(INDEX('_list'!$G$2:$G$676,$R100)="","",INDEX('_list'!$G$2:$G$676,$R100)))</f>
        <v/>
      </c>
      <c r="G100" s="115">
        <f>IF($S100="","",IF(INDEX('_pockets'!$AH:$AH,$S100)="","",INDEX('_pockets'!$AH:$AH,$S100)))</f>
        <v/>
      </c>
      <c r="H100" s="115">
        <f>IF($S100="","",IF(INDEX('_pockets'!$AF:$AF,$S100)="","",INDEX('_pockets'!$AF:$AF,$S100)))</f>
        <v/>
      </c>
      <c r="I100" s="116">
        <f>IF(IF($S100="","",IF(INDEX('_pockets'!$AB:$AB,$S100)="","",INDEX('_pockets'!$AB:$AB,$S100)))="","",IF($S100="","",IF(INDEX('_pockets'!$AB:$AB,$S100)="","",INDEX('_pockets'!$AB:$AB,$S100)))*IF($U$18,100,1))</f>
        <v/>
      </c>
      <c r="J100" s="114">
        <f>IF($S100="","",IF(INDEX('_pockets'!$Z:$Z,$S100)="","",INDEX('_pockets'!$Z:$Z,$S100)))</f>
        <v/>
      </c>
      <c r="K100" s="117">
        <f>IF($S100="","",IF(INDEX('_pockets'!$AO:$AO,$S100)="","",INDEX('_pockets'!$AO:$AO,$S100)))</f>
        <v/>
      </c>
      <c r="L100" s="118">
        <f>IF($S100="","",IF(INDEX('_pockets'!$AC:$AC,$S100)="","",INDEX('_pockets'!$AC:$AC,$S100)))</f>
        <v/>
      </c>
      <c r="M100" s="117">
        <f>IF($R100="","",IF(INDEX('_list'!$L$2:$L$676,$R100)="","",INDEX('_list'!$L$2:$L$676,$R100)))</f>
        <v/>
      </c>
      <c r="N100" s="116">
        <f>IF($R100="","",IF(INDEX('_list'!$H$2:$H$676,$R100)="","",INDEX('_list'!$H$2:$H$676,$R100)))</f>
        <v/>
      </c>
      <c r="O100" s="113">
        <f>IF($R100="","",IF(INDEX('_list'!$I$2:$I$676,$R100)="","",INDEX('_list'!$I$2:$I$676,$R100)))</f>
        <v/>
      </c>
      <c r="R100">
        <f>IFERROR(MATCH(81,'_list'!$N$2:$N$676,0),"")</f>
        <v/>
      </c>
      <c r="S100">
        <f>IF($R100="","",INDEX('_list'!$C$2:$C$676,$R100))</f>
        <v/>
      </c>
    </row>
    <row r="101" ht="16" customHeight="1">
      <c r="B101" s="112">
        <f>IF($R101="","",82)</f>
        <v/>
      </c>
      <c r="C101" s="113">
        <f>IF($R101="","",IF(INDEX('_list'!$D$2:$D$676,$R101)="","",INDEX('_list'!$D$2:$D$676,$R101)))</f>
        <v/>
      </c>
      <c r="D101" s="113">
        <f>IF($R101="","",IF(INDEX('_list'!$E$2:$E$676,$R101)="","",INDEX('_list'!$E$2:$E$676,$R101)))</f>
        <v/>
      </c>
      <c r="E101" s="113">
        <f>IF($R101="","",IF(INDEX('_list'!$F$2:$F$676,$R101)="","",INDEX('_list'!$F$2:$F$676,$R101)))</f>
        <v/>
      </c>
      <c r="F101" s="114">
        <f>IF($R101="","",IF(INDEX('_list'!$G$2:$G$676,$R101)="","",INDEX('_list'!$G$2:$G$676,$R101)))</f>
        <v/>
      </c>
      <c r="G101" s="115">
        <f>IF($S101="","",IF(INDEX('_pockets'!$AH:$AH,$S101)="","",INDEX('_pockets'!$AH:$AH,$S101)))</f>
        <v/>
      </c>
      <c r="H101" s="115">
        <f>IF($S101="","",IF(INDEX('_pockets'!$AF:$AF,$S101)="","",INDEX('_pockets'!$AF:$AF,$S101)))</f>
        <v/>
      </c>
      <c r="I101" s="116">
        <f>IF(IF($S101="","",IF(INDEX('_pockets'!$AB:$AB,$S101)="","",INDEX('_pockets'!$AB:$AB,$S101)))="","",IF($S101="","",IF(INDEX('_pockets'!$AB:$AB,$S101)="","",INDEX('_pockets'!$AB:$AB,$S101)))*IF($U$18,100,1))</f>
        <v/>
      </c>
      <c r="J101" s="114">
        <f>IF($S101="","",IF(INDEX('_pockets'!$Z:$Z,$S101)="","",INDEX('_pockets'!$Z:$Z,$S101)))</f>
        <v/>
      </c>
      <c r="K101" s="117">
        <f>IF($S101="","",IF(INDEX('_pockets'!$AO:$AO,$S101)="","",INDEX('_pockets'!$AO:$AO,$S101)))</f>
        <v/>
      </c>
      <c r="L101" s="118">
        <f>IF($S101="","",IF(INDEX('_pockets'!$AC:$AC,$S101)="","",INDEX('_pockets'!$AC:$AC,$S101)))</f>
        <v/>
      </c>
      <c r="M101" s="117">
        <f>IF($R101="","",IF(INDEX('_list'!$L$2:$L$676,$R101)="","",INDEX('_list'!$L$2:$L$676,$R101)))</f>
        <v/>
      </c>
      <c r="N101" s="116">
        <f>IF($R101="","",IF(INDEX('_list'!$H$2:$H$676,$R101)="","",INDEX('_list'!$H$2:$H$676,$R101)))</f>
        <v/>
      </c>
      <c r="O101" s="113">
        <f>IF($R101="","",IF(INDEX('_list'!$I$2:$I$676,$R101)="","",INDEX('_list'!$I$2:$I$676,$R101)))</f>
        <v/>
      </c>
      <c r="R101">
        <f>IFERROR(MATCH(82,'_list'!$N$2:$N$676,0),"")</f>
        <v/>
      </c>
      <c r="S101">
        <f>IF($R101="","",INDEX('_list'!$C$2:$C$676,$R101))</f>
        <v/>
      </c>
    </row>
    <row r="102" ht="16" customHeight="1">
      <c r="B102" s="112">
        <f>IF($R102="","",83)</f>
        <v/>
      </c>
      <c r="C102" s="113">
        <f>IF($R102="","",IF(INDEX('_list'!$D$2:$D$676,$R102)="","",INDEX('_list'!$D$2:$D$676,$R102)))</f>
        <v/>
      </c>
      <c r="D102" s="113">
        <f>IF($R102="","",IF(INDEX('_list'!$E$2:$E$676,$R102)="","",INDEX('_list'!$E$2:$E$676,$R102)))</f>
        <v/>
      </c>
      <c r="E102" s="113">
        <f>IF($R102="","",IF(INDEX('_list'!$F$2:$F$676,$R102)="","",INDEX('_list'!$F$2:$F$676,$R102)))</f>
        <v/>
      </c>
      <c r="F102" s="114">
        <f>IF($R102="","",IF(INDEX('_list'!$G$2:$G$676,$R102)="","",INDEX('_list'!$G$2:$G$676,$R102)))</f>
        <v/>
      </c>
      <c r="G102" s="115">
        <f>IF($S102="","",IF(INDEX('_pockets'!$AH:$AH,$S102)="","",INDEX('_pockets'!$AH:$AH,$S102)))</f>
        <v/>
      </c>
      <c r="H102" s="115">
        <f>IF($S102="","",IF(INDEX('_pockets'!$AF:$AF,$S102)="","",INDEX('_pockets'!$AF:$AF,$S102)))</f>
        <v/>
      </c>
      <c r="I102" s="116">
        <f>IF(IF($S102="","",IF(INDEX('_pockets'!$AB:$AB,$S102)="","",INDEX('_pockets'!$AB:$AB,$S102)))="","",IF($S102="","",IF(INDEX('_pockets'!$AB:$AB,$S102)="","",INDEX('_pockets'!$AB:$AB,$S102)))*IF($U$18,100,1))</f>
        <v/>
      </c>
      <c r="J102" s="114">
        <f>IF($S102="","",IF(INDEX('_pockets'!$Z:$Z,$S102)="","",INDEX('_pockets'!$Z:$Z,$S102)))</f>
        <v/>
      </c>
      <c r="K102" s="117">
        <f>IF($S102="","",IF(INDEX('_pockets'!$AO:$AO,$S102)="","",INDEX('_pockets'!$AO:$AO,$S102)))</f>
        <v/>
      </c>
      <c r="L102" s="118">
        <f>IF($S102="","",IF(INDEX('_pockets'!$AC:$AC,$S102)="","",INDEX('_pockets'!$AC:$AC,$S102)))</f>
        <v/>
      </c>
      <c r="M102" s="117">
        <f>IF($R102="","",IF(INDEX('_list'!$L$2:$L$676,$R102)="","",INDEX('_list'!$L$2:$L$676,$R102)))</f>
        <v/>
      </c>
      <c r="N102" s="116">
        <f>IF($R102="","",IF(INDEX('_list'!$H$2:$H$676,$R102)="","",INDEX('_list'!$H$2:$H$676,$R102)))</f>
        <v/>
      </c>
      <c r="O102" s="113">
        <f>IF($R102="","",IF(INDEX('_list'!$I$2:$I$676,$R102)="","",INDEX('_list'!$I$2:$I$676,$R102)))</f>
        <v/>
      </c>
      <c r="R102">
        <f>IFERROR(MATCH(83,'_list'!$N$2:$N$676,0),"")</f>
        <v/>
      </c>
      <c r="S102">
        <f>IF($R102="","",INDEX('_list'!$C$2:$C$676,$R102))</f>
        <v/>
      </c>
    </row>
    <row r="103" ht="16" customHeight="1">
      <c r="B103" s="112">
        <f>IF($R103="","",84)</f>
        <v/>
      </c>
      <c r="C103" s="113">
        <f>IF($R103="","",IF(INDEX('_list'!$D$2:$D$676,$R103)="","",INDEX('_list'!$D$2:$D$676,$R103)))</f>
        <v/>
      </c>
      <c r="D103" s="113">
        <f>IF($R103="","",IF(INDEX('_list'!$E$2:$E$676,$R103)="","",INDEX('_list'!$E$2:$E$676,$R103)))</f>
        <v/>
      </c>
      <c r="E103" s="113">
        <f>IF($R103="","",IF(INDEX('_list'!$F$2:$F$676,$R103)="","",INDEX('_list'!$F$2:$F$676,$R103)))</f>
        <v/>
      </c>
      <c r="F103" s="114">
        <f>IF($R103="","",IF(INDEX('_list'!$G$2:$G$676,$R103)="","",INDEX('_list'!$G$2:$G$676,$R103)))</f>
        <v/>
      </c>
      <c r="G103" s="115">
        <f>IF($S103="","",IF(INDEX('_pockets'!$AH:$AH,$S103)="","",INDEX('_pockets'!$AH:$AH,$S103)))</f>
        <v/>
      </c>
      <c r="H103" s="115">
        <f>IF($S103="","",IF(INDEX('_pockets'!$AF:$AF,$S103)="","",INDEX('_pockets'!$AF:$AF,$S103)))</f>
        <v/>
      </c>
      <c r="I103" s="116">
        <f>IF(IF($S103="","",IF(INDEX('_pockets'!$AB:$AB,$S103)="","",INDEX('_pockets'!$AB:$AB,$S103)))="","",IF($S103="","",IF(INDEX('_pockets'!$AB:$AB,$S103)="","",INDEX('_pockets'!$AB:$AB,$S103)))*IF($U$18,100,1))</f>
        <v/>
      </c>
      <c r="J103" s="114">
        <f>IF($S103="","",IF(INDEX('_pockets'!$Z:$Z,$S103)="","",INDEX('_pockets'!$Z:$Z,$S103)))</f>
        <v/>
      </c>
      <c r="K103" s="117">
        <f>IF($S103="","",IF(INDEX('_pockets'!$AO:$AO,$S103)="","",INDEX('_pockets'!$AO:$AO,$S103)))</f>
        <v/>
      </c>
      <c r="L103" s="118">
        <f>IF($S103="","",IF(INDEX('_pockets'!$AC:$AC,$S103)="","",INDEX('_pockets'!$AC:$AC,$S103)))</f>
        <v/>
      </c>
      <c r="M103" s="117">
        <f>IF($R103="","",IF(INDEX('_list'!$L$2:$L$676,$R103)="","",INDEX('_list'!$L$2:$L$676,$R103)))</f>
        <v/>
      </c>
      <c r="N103" s="116">
        <f>IF($R103="","",IF(INDEX('_list'!$H$2:$H$676,$R103)="","",INDEX('_list'!$H$2:$H$676,$R103)))</f>
        <v/>
      </c>
      <c r="O103" s="113">
        <f>IF($R103="","",IF(INDEX('_list'!$I$2:$I$676,$R103)="","",INDEX('_list'!$I$2:$I$676,$R103)))</f>
        <v/>
      </c>
      <c r="R103">
        <f>IFERROR(MATCH(84,'_list'!$N$2:$N$676,0),"")</f>
        <v/>
      </c>
      <c r="S103">
        <f>IF($R103="","",INDEX('_list'!$C$2:$C$676,$R103))</f>
        <v/>
      </c>
    </row>
    <row r="104" ht="16" customHeight="1">
      <c r="B104" s="112">
        <f>IF($R104="","",85)</f>
        <v/>
      </c>
      <c r="C104" s="113">
        <f>IF($R104="","",IF(INDEX('_list'!$D$2:$D$676,$R104)="","",INDEX('_list'!$D$2:$D$676,$R104)))</f>
        <v/>
      </c>
      <c r="D104" s="113">
        <f>IF($R104="","",IF(INDEX('_list'!$E$2:$E$676,$R104)="","",INDEX('_list'!$E$2:$E$676,$R104)))</f>
        <v/>
      </c>
      <c r="E104" s="113">
        <f>IF($R104="","",IF(INDEX('_list'!$F$2:$F$676,$R104)="","",INDEX('_list'!$F$2:$F$676,$R104)))</f>
        <v/>
      </c>
      <c r="F104" s="114">
        <f>IF($R104="","",IF(INDEX('_list'!$G$2:$G$676,$R104)="","",INDEX('_list'!$G$2:$G$676,$R104)))</f>
        <v/>
      </c>
      <c r="G104" s="115">
        <f>IF($S104="","",IF(INDEX('_pockets'!$AH:$AH,$S104)="","",INDEX('_pockets'!$AH:$AH,$S104)))</f>
        <v/>
      </c>
      <c r="H104" s="115">
        <f>IF($S104="","",IF(INDEX('_pockets'!$AF:$AF,$S104)="","",INDEX('_pockets'!$AF:$AF,$S104)))</f>
        <v/>
      </c>
      <c r="I104" s="116">
        <f>IF(IF($S104="","",IF(INDEX('_pockets'!$AB:$AB,$S104)="","",INDEX('_pockets'!$AB:$AB,$S104)))="","",IF($S104="","",IF(INDEX('_pockets'!$AB:$AB,$S104)="","",INDEX('_pockets'!$AB:$AB,$S104)))*IF($U$18,100,1))</f>
        <v/>
      </c>
      <c r="J104" s="114">
        <f>IF($S104="","",IF(INDEX('_pockets'!$Z:$Z,$S104)="","",INDEX('_pockets'!$Z:$Z,$S104)))</f>
        <v/>
      </c>
      <c r="K104" s="117">
        <f>IF($S104="","",IF(INDEX('_pockets'!$AO:$AO,$S104)="","",INDEX('_pockets'!$AO:$AO,$S104)))</f>
        <v/>
      </c>
      <c r="L104" s="118">
        <f>IF($S104="","",IF(INDEX('_pockets'!$AC:$AC,$S104)="","",INDEX('_pockets'!$AC:$AC,$S104)))</f>
        <v/>
      </c>
      <c r="M104" s="117">
        <f>IF($R104="","",IF(INDEX('_list'!$L$2:$L$676,$R104)="","",INDEX('_list'!$L$2:$L$676,$R104)))</f>
        <v/>
      </c>
      <c r="N104" s="116">
        <f>IF($R104="","",IF(INDEX('_list'!$H$2:$H$676,$R104)="","",INDEX('_list'!$H$2:$H$676,$R104)))</f>
        <v/>
      </c>
      <c r="O104" s="113">
        <f>IF($R104="","",IF(INDEX('_list'!$I$2:$I$676,$R104)="","",INDEX('_list'!$I$2:$I$676,$R104)))</f>
        <v/>
      </c>
      <c r="R104">
        <f>IFERROR(MATCH(85,'_list'!$N$2:$N$676,0),"")</f>
        <v/>
      </c>
      <c r="S104">
        <f>IF($R104="","",INDEX('_list'!$C$2:$C$676,$R104))</f>
        <v/>
      </c>
    </row>
    <row r="105" ht="16" customHeight="1">
      <c r="B105" s="112">
        <f>IF($R105="","",86)</f>
        <v/>
      </c>
      <c r="C105" s="113">
        <f>IF($R105="","",IF(INDEX('_list'!$D$2:$D$676,$R105)="","",INDEX('_list'!$D$2:$D$676,$R105)))</f>
        <v/>
      </c>
      <c r="D105" s="113">
        <f>IF($R105="","",IF(INDEX('_list'!$E$2:$E$676,$R105)="","",INDEX('_list'!$E$2:$E$676,$R105)))</f>
        <v/>
      </c>
      <c r="E105" s="113">
        <f>IF($R105="","",IF(INDEX('_list'!$F$2:$F$676,$R105)="","",INDEX('_list'!$F$2:$F$676,$R105)))</f>
        <v/>
      </c>
      <c r="F105" s="114">
        <f>IF($R105="","",IF(INDEX('_list'!$G$2:$G$676,$R105)="","",INDEX('_list'!$G$2:$G$676,$R105)))</f>
        <v/>
      </c>
      <c r="G105" s="115">
        <f>IF($S105="","",IF(INDEX('_pockets'!$AH:$AH,$S105)="","",INDEX('_pockets'!$AH:$AH,$S105)))</f>
        <v/>
      </c>
      <c r="H105" s="115">
        <f>IF($S105="","",IF(INDEX('_pockets'!$AF:$AF,$S105)="","",INDEX('_pockets'!$AF:$AF,$S105)))</f>
        <v/>
      </c>
      <c r="I105" s="116">
        <f>IF(IF($S105="","",IF(INDEX('_pockets'!$AB:$AB,$S105)="","",INDEX('_pockets'!$AB:$AB,$S105)))="","",IF($S105="","",IF(INDEX('_pockets'!$AB:$AB,$S105)="","",INDEX('_pockets'!$AB:$AB,$S105)))*IF($U$18,100,1))</f>
        <v/>
      </c>
      <c r="J105" s="114">
        <f>IF($S105="","",IF(INDEX('_pockets'!$Z:$Z,$S105)="","",INDEX('_pockets'!$Z:$Z,$S105)))</f>
        <v/>
      </c>
      <c r="K105" s="117">
        <f>IF($S105="","",IF(INDEX('_pockets'!$AO:$AO,$S105)="","",INDEX('_pockets'!$AO:$AO,$S105)))</f>
        <v/>
      </c>
      <c r="L105" s="118">
        <f>IF($S105="","",IF(INDEX('_pockets'!$AC:$AC,$S105)="","",INDEX('_pockets'!$AC:$AC,$S105)))</f>
        <v/>
      </c>
      <c r="M105" s="117">
        <f>IF($R105="","",IF(INDEX('_list'!$L$2:$L$676,$R105)="","",INDEX('_list'!$L$2:$L$676,$R105)))</f>
        <v/>
      </c>
      <c r="N105" s="116">
        <f>IF($R105="","",IF(INDEX('_list'!$H$2:$H$676,$R105)="","",INDEX('_list'!$H$2:$H$676,$R105)))</f>
        <v/>
      </c>
      <c r="O105" s="113">
        <f>IF($R105="","",IF(INDEX('_list'!$I$2:$I$676,$R105)="","",INDEX('_list'!$I$2:$I$676,$R105)))</f>
        <v/>
      </c>
      <c r="R105">
        <f>IFERROR(MATCH(86,'_list'!$N$2:$N$676,0),"")</f>
        <v/>
      </c>
      <c r="S105">
        <f>IF($R105="","",INDEX('_list'!$C$2:$C$676,$R105))</f>
        <v/>
      </c>
    </row>
    <row r="106" ht="16" customHeight="1">
      <c r="B106" s="112">
        <f>IF($R106="","",87)</f>
        <v/>
      </c>
      <c r="C106" s="113">
        <f>IF($R106="","",IF(INDEX('_list'!$D$2:$D$676,$R106)="","",INDEX('_list'!$D$2:$D$676,$R106)))</f>
        <v/>
      </c>
      <c r="D106" s="113">
        <f>IF($R106="","",IF(INDEX('_list'!$E$2:$E$676,$R106)="","",INDEX('_list'!$E$2:$E$676,$R106)))</f>
        <v/>
      </c>
      <c r="E106" s="113">
        <f>IF($R106="","",IF(INDEX('_list'!$F$2:$F$676,$R106)="","",INDEX('_list'!$F$2:$F$676,$R106)))</f>
        <v/>
      </c>
      <c r="F106" s="114">
        <f>IF($R106="","",IF(INDEX('_list'!$G$2:$G$676,$R106)="","",INDEX('_list'!$G$2:$G$676,$R106)))</f>
        <v/>
      </c>
      <c r="G106" s="115">
        <f>IF($S106="","",IF(INDEX('_pockets'!$AH:$AH,$S106)="","",INDEX('_pockets'!$AH:$AH,$S106)))</f>
        <v/>
      </c>
      <c r="H106" s="115">
        <f>IF($S106="","",IF(INDEX('_pockets'!$AF:$AF,$S106)="","",INDEX('_pockets'!$AF:$AF,$S106)))</f>
        <v/>
      </c>
      <c r="I106" s="116">
        <f>IF(IF($S106="","",IF(INDEX('_pockets'!$AB:$AB,$S106)="","",INDEX('_pockets'!$AB:$AB,$S106)))="","",IF($S106="","",IF(INDEX('_pockets'!$AB:$AB,$S106)="","",INDEX('_pockets'!$AB:$AB,$S106)))*IF($U$18,100,1))</f>
        <v/>
      </c>
      <c r="J106" s="114">
        <f>IF($S106="","",IF(INDEX('_pockets'!$Z:$Z,$S106)="","",INDEX('_pockets'!$Z:$Z,$S106)))</f>
        <v/>
      </c>
      <c r="K106" s="117">
        <f>IF($S106="","",IF(INDEX('_pockets'!$AO:$AO,$S106)="","",INDEX('_pockets'!$AO:$AO,$S106)))</f>
        <v/>
      </c>
      <c r="L106" s="118">
        <f>IF($S106="","",IF(INDEX('_pockets'!$AC:$AC,$S106)="","",INDEX('_pockets'!$AC:$AC,$S106)))</f>
        <v/>
      </c>
      <c r="M106" s="117">
        <f>IF($R106="","",IF(INDEX('_list'!$L$2:$L$676,$R106)="","",INDEX('_list'!$L$2:$L$676,$R106)))</f>
        <v/>
      </c>
      <c r="N106" s="116">
        <f>IF($R106="","",IF(INDEX('_list'!$H$2:$H$676,$R106)="","",INDEX('_list'!$H$2:$H$676,$R106)))</f>
        <v/>
      </c>
      <c r="O106" s="113">
        <f>IF($R106="","",IF(INDEX('_list'!$I$2:$I$676,$R106)="","",INDEX('_list'!$I$2:$I$676,$R106)))</f>
        <v/>
      </c>
      <c r="R106">
        <f>IFERROR(MATCH(87,'_list'!$N$2:$N$676,0),"")</f>
        <v/>
      </c>
      <c r="S106">
        <f>IF($R106="","",INDEX('_list'!$C$2:$C$676,$R106))</f>
        <v/>
      </c>
    </row>
    <row r="107" ht="16" customHeight="1">
      <c r="B107" s="112">
        <f>IF($R107="","",88)</f>
        <v/>
      </c>
      <c r="C107" s="113">
        <f>IF($R107="","",IF(INDEX('_list'!$D$2:$D$676,$R107)="","",INDEX('_list'!$D$2:$D$676,$R107)))</f>
        <v/>
      </c>
      <c r="D107" s="113">
        <f>IF($R107="","",IF(INDEX('_list'!$E$2:$E$676,$R107)="","",INDEX('_list'!$E$2:$E$676,$R107)))</f>
        <v/>
      </c>
      <c r="E107" s="113">
        <f>IF($R107="","",IF(INDEX('_list'!$F$2:$F$676,$R107)="","",INDEX('_list'!$F$2:$F$676,$R107)))</f>
        <v/>
      </c>
      <c r="F107" s="114">
        <f>IF($R107="","",IF(INDEX('_list'!$G$2:$G$676,$R107)="","",INDEX('_list'!$G$2:$G$676,$R107)))</f>
        <v/>
      </c>
      <c r="G107" s="115">
        <f>IF($S107="","",IF(INDEX('_pockets'!$AH:$AH,$S107)="","",INDEX('_pockets'!$AH:$AH,$S107)))</f>
        <v/>
      </c>
      <c r="H107" s="115">
        <f>IF($S107="","",IF(INDEX('_pockets'!$AF:$AF,$S107)="","",INDEX('_pockets'!$AF:$AF,$S107)))</f>
        <v/>
      </c>
      <c r="I107" s="116">
        <f>IF(IF($S107="","",IF(INDEX('_pockets'!$AB:$AB,$S107)="","",INDEX('_pockets'!$AB:$AB,$S107)))="","",IF($S107="","",IF(INDEX('_pockets'!$AB:$AB,$S107)="","",INDEX('_pockets'!$AB:$AB,$S107)))*IF($U$18,100,1))</f>
        <v/>
      </c>
      <c r="J107" s="114">
        <f>IF($S107="","",IF(INDEX('_pockets'!$Z:$Z,$S107)="","",INDEX('_pockets'!$Z:$Z,$S107)))</f>
        <v/>
      </c>
      <c r="K107" s="117">
        <f>IF($S107="","",IF(INDEX('_pockets'!$AO:$AO,$S107)="","",INDEX('_pockets'!$AO:$AO,$S107)))</f>
        <v/>
      </c>
      <c r="L107" s="118">
        <f>IF($S107="","",IF(INDEX('_pockets'!$AC:$AC,$S107)="","",INDEX('_pockets'!$AC:$AC,$S107)))</f>
        <v/>
      </c>
      <c r="M107" s="117">
        <f>IF($R107="","",IF(INDEX('_list'!$L$2:$L$676,$R107)="","",INDEX('_list'!$L$2:$L$676,$R107)))</f>
        <v/>
      </c>
      <c r="N107" s="116">
        <f>IF($R107="","",IF(INDEX('_list'!$H$2:$H$676,$R107)="","",INDEX('_list'!$H$2:$H$676,$R107)))</f>
        <v/>
      </c>
      <c r="O107" s="113">
        <f>IF($R107="","",IF(INDEX('_list'!$I$2:$I$676,$R107)="","",INDEX('_list'!$I$2:$I$676,$R107)))</f>
        <v/>
      </c>
      <c r="R107">
        <f>IFERROR(MATCH(88,'_list'!$N$2:$N$676,0),"")</f>
        <v/>
      </c>
      <c r="S107">
        <f>IF($R107="","",INDEX('_list'!$C$2:$C$676,$R107))</f>
        <v/>
      </c>
    </row>
    <row r="108" ht="16" customHeight="1">
      <c r="B108" s="112">
        <f>IF($R108="","",89)</f>
        <v/>
      </c>
      <c r="C108" s="113">
        <f>IF($R108="","",IF(INDEX('_list'!$D$2:$D$676,$R108)="","",INDEX('_list'!$D$2:$D$676,$R108)))</f>
        <v/>
      </c>
      <c r="D108" s="113">
        <f>IF($R108="","",IF(INDEX('_list'!$E$2:$E$676,$R108)="","",INDEX('_list'!$E$2:$E$676,$R108)))</f>
        <v/>
      </c>
      <c r="E108" s="113">
        <f>IF($R108="","",IF(INDEX('_list'!$F$2:$F$676,$R108)="","",INDEX('_list'!$F$2:$F$676,$R108)))</f>
        <v/>
      </c>
      <c r="F108" s="114">
        <f>IF($R108="","",IF(INDEX('_list'!$G$2:$G$676,$R108)="","",INDEX('_list'!$G$2:$G$676,$R108)))</f>
        <v/>
      </c>
      <c r="G108" s="115">
        <f>IF($S108="","",IF(INDEX('_pockets'!$AH:$AH,$S108)="","",INDEX('_pockets'!$AH:$AH,$S108)))</f>
        <v/>
      </c>
      <c r="H108" s="115">
        <f>IF($S108="","",IF(INDEX('_pockets'!$AF:$AF,$S108)="","",INDEX('_pockets'!$AF:$AF,$S108)))</f>
        <v/>
      </c>
      <c r="I108" s="116">
        <f>IF(IF($S108="","",IF(INDEX('_pockets'!$AB:$AB,$S108)="","",INDEX('_pockets'!$AB:$AB,$S108)))="","",IF($S108="","",IF(INDEX('_pockets'!$AB:$AB,$S108)="","",INDEX('_pockets'!$AB:$AB,$S108)))*IF($U$18,100,1))</f>
        <v/>
      </c>
      <c r="J108" s="114">
        <f>IF($S108="","",IF(INDEX('_pockets'!$Z:$Z,$S108)="","",INDEX('_pockets'!$Z:$Z,$S108)))</f>
        <v/>
      </c>
      <c r="K108" s="117">
        <f>IF($S108="","",IF(INDEX('_pockets'!$AO:$AO,$S108)="","",INDEX('_pockets'!$AO:$AO,$S108)))</f>
        <v/>
      </c>
      <c r="L108" s="118">
        <f>IF($S108="","",IF(INDEX('_pockets'!$AC:$AC,$S108)="","",INDEX('_pockets'!$AC:$AC,$S108)))</f>
        <v/>
      </c>
      <c r="M108" s="117">
        <f>IF($R108="","",IF(INDEX('_list'!$L$2:$L$676,$R108)="","",INDEX('_list'!$L$2:$L$676,$R108)))</f>
        <v/>
      </c>
      <c r="N108" s="116">
        <f>IF($R108="","",IF(INDEX('_list'!$H$2:$H$676,$R108)="","",INDEX('_list'!$H$2:$H$676,$R108)))</f>
        <v/>
      </c>
      <c r="O108" s="113">
        <f>IF($R108="","",IF(INDEX('_list'!$I$2:$I$676,$R108)="","",INDEX('_list'!$I$2:$I$676,$R108)))</f>
        <v/>
      </c>
      <c r="R108">
        <f>IFERROR(MATCH(89,'_list'!$N$2:$N$676,0),"")</f>
        <v/>
      </c>
      <c r="S108">
        <f>IF($R108="","",INDEX('_list'!$C$2:$C$676,$R108))</f>
        <v/>
      </c>
    </row>
    <row r="109" ht="16" customHeight="1">
      <c r="B109" s="112">
        <f>IF($R109="","",90)</f>
        <v/>
      </c>
      <c r="C109" s="113">
        <f>IF($R109="","",IF(INDEX('_list'!$D$2:$D$676,$R109)="","",INDEX('_list'!$D$2:$D$676,$R109)))</f>
        <v/>
      </c>
      <c r="D109" s="113">
        <f>IF($R109="","",IF(INDEX('_list'!$E$2:$E$676,$R109)="","",INDEX('_list'!$E$2:$E$676,$R109)))</f>
        <v/>
      </c>
      <c r="E109" s="113">
        <f>IF($R109="","",IF(INDEX('_list'!$F$2:$F$676,$R109)="","",INDEX('_list'!$F$2:$F$676,$R109)))</f>
        <v/>
      </c>
      <c r="F109" s="114">
        <f>IF($R109="","",IF(INDEX('_list'!$G$2:$G$676,$R109)="","",INDEX('_list'!$G$2:$G$676,$R109)))</f>
        <v/>
      </c>
      <c r="G109" s="115">
        <f>IF($S109="","",IF(INDEX('_pockets'!$AH:$AH,$S109)="","",INDEX('_pockets'!$AH:$AH,$S109)))</f>
        <v/>
      </c>
      <c r="H109" s="115">
        <f>IF($S109="","",IF(INDEX('_pockets'!$AF:$AF,$S109)="","",INDEX('_pockets'!$AF:$AF,$S109)))</f>
        <v/>
      </c>
      <c r="I109" s="116">
        <f>IF(IF($S109="","",IF(INDEX('_pockets'!$AB:$AB,$S109)="","",INDEX('_pockets'!$AB:$AB,$S109)))="","",IF($S109="","",IF(INDEX('_pockets'!$AB:$AB,$S109)="","",INDEX('_pockets'!$AB:$AB,$S109)))*IF($U$18,100,1))</f>
        <v/>
      </c>
      <c r="J109" s="114">
        <f>IF($S109="","",IF(INDEX('_pockets'!$Z:$Z,$S109)="","",INDEX('_pockets'!$Z:$Z,$S109)))</f>
        <v/>
      </c>
      <c r="K109" s="117">
        <f>IF($S109="","",IF(INDEX('_pockets'!$AO:$AO,$S109)="","",INDEX('_pockets'!$AO:$AO,$S109)))</f>
        <v/>
      </c>
      <c r="L109" s="118">
        <f>IF($S109="","",IF(INDEX('_pockets'!$AC:$AC,$S109)="","",INDEX('_pockets'!$AC:$AC,$S109)))</f>
        <v/>
      </c>
      <c r="M109" s="117">
        <f>IF($R109="","",IF(INDEX('_list'!$L$2:$L$676,$R109)="","",INDEX('_list'!$L$2:$L$676,$R109)))</f>
        <v/>
      </c>
      <c r="N109" s="116">
        <f>IF($R109="","",IF(INDEX('_list'!$H$2:$H$676,$R109)="","",INDEX('_list'!$H$2:$H$676,$R109)))</f>
        <v/>
      </c>
      <c r="O109" s="113">
        <f>IF($R109="","",IF(INDEX('_list'!$I$2:$I$676,$R109)="","",INDEX('_list'!$I$2:$I$676,$R109)))</f>
        <v/>
      </c>
      <c r="R109">
        <f>IFERROR(MATCH(90,'_list'!$N$2:$N$676,0),"")</f>
        <v/>
      </c>
      <c r="S109">
        <f>IF($R109="","",INDEX('_list'!$C$2:$C$676,$R109))</f>
        <v/>
      </c>
    </row>
    <row r="110" ht="16" customHeight="1">
      <c r="B110" s="112">
        <f>IF($R110="","",91)</f>
        <v/>
      </c>
      <c r="C110" s="113">
        <f>IF($R110="","",IF(INDEX('_list'!$D$2:$D$676,$R110)="","",INDEX('_list'!$D$2:$D$676,$R110)))</f>
        <v/>
      </c>
      <c r="D110" s="113">
        <f>IF($R110="","",IF(INDEX('_list'!$E$2:$E$676,$R110)="","",INDEX('_list'!$E$2:$E$676,$R110)))</f>
        <v/>
      </c>
      <c r="E110" s="113">
        <f>IF($R110="","",IF(INDEX('_list'!$F$2:$F$676,$R110)="","",INDEX('_list'!$F$2:$F$676,$R110)))</f>
        <v/>
      </c>
      <c r="F110" s="114">
        <f>IF($R110="","",IF(INDEX('_list'!$G$2:$G$676,$R110)="","",INDEX('_list'!$G$2:$G$676,$R110)))</f>
        <v/>
      </c>
      <c r="G110" s="115">
        <f>IF($S110="","",IF(INDEX('_pockets'!$AH:$AH,$S110)="","",INDEX('_pockets'!$AH:$AH,$S110)))</f>
        <v/>
      </c>
      <c r="H110" s="115">
        <f>IF($S110="","",IF(INDEX('_pockets'!$AF:$AF,$S110)="","",INDEX('_pockets'!$AF:$AF,$S110)))</f>
        <v/>
      </c>
      <c r="I110" s="116">
        <f>IF(IF($S110="","",IF(INDEX('_pockets'!$AB:$AB,$S110)="","",INDEX('_pockets'!$AB:$AB,$S110)))="","",IF($S110="","",IF(INDEX('_pockets'!$AB:$AB,$S110)="","",INDEX('_pockets'!$AB:$AB,$S110)))*IF($U$18,100,1))</f>
        <v/>
      </c>
      <c r="J110" s="114">
        <f>IF($S110="","",IF(INDEX('_pockets'!$Z:$Z,$S110)="","",INDEX('_pockets'!$Z:$Z,$S110)))</f>
        <v/>
      </c>
      <c r="K110" s="117">
        <f>IF($S110="","",IF(INDEX('_pockets'!$AO:$AO,$S110)="","",INDEX('_pockets'!$AO:$AO,$S110)))</f>
        <v/>
      </c>
      <c r="L110" s="118">
        <f>IF($S110="","",IF(INDEX('_pockets'!$AC:$AC,$S110)="","",INDEX('_pockets'!$AC:$AC,$S110)))</f>
        <v/>
      </c>
      <c r="M110" s="117">
        <f>IF($R110="","",IF(INDEX('_list'!$L$2:$L$676,$R110)="","",INDEX('_list'!$L$2:$L$676,$R110)))</f>
        <v/>
      </c>
      <c r="N110" s="116">
        <f>IF($R110="","",IF(INDEX('_list'!$H$2:$H$676,$R110)="","",INDEX('_list'!$H$2:$H$676,$R110)))</f>
        <v/>
      </c>
      <c r="O110" s="113">
        <f>IF($R110="","",IF(INDEX('_list'!$I$2:$I$676,$R110)="","",INDEX('_list'!$I$2:$I$676,$R110)))</f>
        <v/>
      </c>
      <c r="R110">
        <f>IFERROR(MATCH(91,'_list'!$N$2:$N$676,0),"")</f>
        <v/>
      </c>
      <c r="S110">
        <f>IF($R110="","",INDEX('_list'!$C$2:$C$676,$R110))</f>
        <v/>
      </c>
    </row>
    <row r="111" ht="16" customHeight="1">
      <c r="B111" s="112">
        <f>IF($R111="","",92)</f>
        <v/>
      </c>
      <c r="C111" s="113">
        <f>IF($R111="","",IF(INDEX('_list'!$D$2:$D$676,$R111)="","",INDEX('_list'!$D$2:$D$676,$R111)))</f>
        <v/>
      </c>
      <c r="D111" s="113">
        <f>IF($R111="","",IF(INDEX('_list'!$E$2:$E$676,$R111)="","",INDEX('_list'!$E$2:$E$676,$R111)))</f>
        <v/>
      </c>
      <c r="E111" s="113">
        <f>IF($R111="","",IF(INDEX('_list'!$F$2:$F$676,$R111)="","",INDEX('_list'!$F$2:$F$676,$R111)))</f>
        <v/>
      </c>
      <c r="F111" s="114">
        <f>IF($R111="","",IF(INDEX('_list'!$G$2:$G$676,$R111)="","",INDEX('_list'!$G$2:$G$676,$R111)))</f>
        <v/>
      </c>
      <c r="G111" s="115">
        <f>IF($S111="","",IF(INDEX('_pockets'!$AH:$AH,$S111)="","",INDEX('_pockets'!$AH:$AH,$S111)))</f>
        <v/>
      </c>
      <c r="H111" s="115">
        <f>IF($S111="","",IF(INDEX('_pockets'!$AF:$AF,$S111)="","",INDEX('_pockets'!$AF:$AF,$S111)))</f>
        <v/>
      </c>
      <c r="I111" s="116">
        <f>IF(IF($S111="","",IF(INDEX('_pockets'!$AB:$AB,$S111)="","",INDEX('_pockets'!$AB:$AB,$S111)))="","",IF($S111="","",IF(INDEX('_pockets'!$AB:$AB,$S111)="","",INDEX('_pockets'!$AB:$AB,$S111)))*IF($U$18,100,1))</f>
        <v/>
      </c>
      <c r="J111" s="114">
        <f>IF($S111="","",IF(INDEX('_pockets'!$Z:$Z,$S111)="","",INDEX('_pockets'!$Z:$Z,$S111)))</f>
        <v/>
      </c>
      <c r="K111" s="117">
        <f>IF($S111="","",IF(INDEX('_pockets'!$AO:$AO,$S111)="","",INDEX('_pockets'!$AO:$AO,$S111)))</f>
        <v/>
      </c>
      <c r="L111" s="118">
        <f>IF($S111="","",IF(INDEX('_pockets'!$AC:$AC,$S111)="","",INDEX('_pockets'!$AC:$AC,$S111)))</f>
        <v/>
      </c>
      <c r="M111" s="117">
        <f>IF($R111="","",IF(INDEX('_list'!$L$2:$L$676,$R111)="","",INDEX('_list'!$L$2:$L$676,$R111)))</f>
        <v/>
      </c>
      <c r="N111" s="116">
        <f>IF($R111="","",IF(INDEX('_list'!$H$2:$H$676,$R111)="","",INDEX('_list'!$H$2:$H$676,$R111)))</f>
        <v/>
      </c>
      <c r="O111" s="113">
        <f>IF($R111="","",IF(INDEX('_list'!$I$2:$I$676,$R111)="","",INDEX('_list'!$I$2:$I$676,$R111)))</f>
        <v/>
      </c>
      <c r="R111">
        <f>IFERROR(MATCH(92,'_list'!$N$2:$N$676,0),"")</f>
        <v/>
      </c>
      <c r="S111">
        <f>IF($R111="","",INDEX('_list'!$C$2:$C$676,$R111))</f>
        <v/>
      </c>
    </row>
    <row r="112" ht="16" customHeight="1">
      <c r="B112" s="112">
        <f>IF($R112="","",93)</f>
        <v/>
      </c>
      <c r="C112" s="113">
        <f>IF($R112="","",IF(INDEX('_list'!$D$2:$D$676,$R112)="","",INDEX('_list'!$D$2:$D$676,$R112)))</f>
        <v/>
      </c>
      <c r="D112" s="113">
        <f>IF($R112="","",IF(INDEX('_list'!$E$2:$E$676,$R112)="","",INDEX('_list'!$E$2:$E$676,$R112)))</f>
        <v/>
      </c>
      <c r="E112" s="113">
        <f>IF($R112="","",IF(INDEX('_list'!$F$2:$F$676,$R112)="","",INDEX('_list'!$F$2:$F$676,$R112)))</f>
        <v/>
      </c>
      <c r="F112" s="114">
        <f>IF($R112="","",IF(INDEX('_list'!$G$2:$G$676,$R112)="","",INDEX('_list'!$G$2:$G$676,$R112)))</f>
        <v/>
      </c>
      <c r="G112" s="115">
        <f>IF($S112="","",IF(INDEX('_pockets'!$AH:$AH,$S112)="","",INDEX('_pockets'!$AH:$AH,$S112)))</f>
        <v/>
      </c>
      <c r="H112" s="115">
        <f>IF($S112="","",IF(INDEX('_pockets'!$AF:$AF,$S112)="","",INDEX('_pockets'!$AF:$AF,$S112)))</f>
        <v/>
      </c>
      <c r="I112" s="116">
        <f>IF(IF($S112="","",IF(INDEX('_pockets'!$AB:$AB,$S112)="","",INDEX('_pockets'!$AB:$AB,$S112)))="","",IF($S112="","",IF(INDEX('_pockets'!$AB:$AB,$S112)="","",INDEX('_pockets'!$AB:$AB,$S112)))*IF($U$18,100,1))</f>
        <v/>
      </c>
      <c r="J112" s="114">
        <f>IF($S112="","",IF(INDEX('_pockets'!$Z:$Z,$S112)="","",INDEX('_pockets'!$Z:$Z,$S112)))</f>
        <v/>
      </c>
      <c r="K112" s="117">
        <f>IF($S112="","",IF(INDEX('_pockets'!$AO:$AO,$S112)="","",INDEX('_pockets'!$AO:$AO,$S112)))</f>
        <v/>
      </c>
      <c r="L112" s="118">
        <f>IF($S112="","",IF(INDEX('_pockets'!$AC:$AC,$S112)="","",INDEX('_pockets'!$AC:$AC,$S112)))</f>
        <v/>
      </c>
      <c r="M112" s="117">
        <f>IF($R112="","",IF(INDEX('_list'!$L$2:$L$676,$R112)="","",INDEX('_list'!$L$2:$L$676,$R112)))</f>
        <v/>
      </c>
      <c r="N112" s="116">
        <f>IF($R112="","",IF(INDEX('_list'!$H$2:$H$676,$R112)="","",INDEX('_list'!$H$2:$H$676,$R112)))</f>
        <v/>
      </c>
      <c r="O112" s="113">
        <f>IF($R112="","",IF(INDEX('_list'!$I$2:$I$676,$R112)="","",INDEX('_list'!$I$2:$I$676,$R112)))</f>
        <v/>
      </c>
      <c r="R112">
        <f>IFERROR(MATCH(93,'_list'!$N$2:$N$676,0),"")</f>
        <v/>
      </c>
      <c r="S112">
        <f>IF($R112="","",INDEX('_list'!$C$2:$C$676,$R112))</f>
        <v/>
      </c>
    </row>
    <row r="113" ht="16" customHeight="1">
      <c r="B113" s="112">
        <f>IF($R113="","",94)</f>
        <v/>
      </c>
      <c r="C113" s="113">
        <f>IF($R113="","",IF(INDEX('_list'!$D$2:$D$676,$R113)="","",INDEX('_list'!$D$2:$D$676,$R113)))</f>
        <v/>
      </c>
      <c r="D113" s="113">
        <f>IF($R113="","",IF(INDEX('_list'!$E$2:$E$676,$R113)="","",INDEX('_list'!$E$2:$E$676,$R113)))</f>
        <v/>
      </c>
      <c r="E113" s="113">
        <f>IF($R113="","",IF(INDEX('_list'!$F$2:$F$676,$R113)="","",INDEX('_list'!$F$2:$F$676,$R113)))</f>
        <v/>
      </c>
      <c r="F113" s="114">
        <f>IF($R113="","",IF(INDEX('_list'!$G$2:$G$676,$R113)="","",INDEX('_list'!$G$2:$G$676,$R113)))</f>
        <v/>
      </c>
      <c r="G113" s="115">
        <f>IF($S113="","",IF(INDEX('_pockets'!$AH:$AH,$S113)="","",INDEX('_pockets'!$AH:$AH,$S113)))</f>
        <v/>
      </c>
      <c r="H113" s="115">
        <f>IF($S113="","",IF(INDEX('_pockets'!$AF:$AF,$S113)="","",INDEX('_pockets'!$AF:$AF,$S113)))</f>
        <v/>
      </c>
      <c r="I113" s="116">
        <f>IF(IF($S113="","",IF(INDEX('_pockets'!$AB:$AB,$S113)="","",INDEX('_pockets'!$AB:$AB,$S113)))="","",IF($S113="","",IF(INDEX('_pockets'!$AB:$AB,$S113)="","",INDEX('_pockets'!$AB:$AB,$S113)))*IF($U$18,100,1))</f>
        <v/>
      </c>
      <c r="J113" s="114">
        <f>IF($S113="","",IF(INDEX('_pockets'!$Z:$Z,$S113)="","",INDEX('_pockets'!$Z:$Z,$S113)))</f>
        <v/>
      </c>
      <c r="K113" s="117">
        <f>IF($S113="","",IF(INDEX('_pockets'!$AO:$AO,$S113)="","",INDEX('_pockets'!$AO:$AO,$S113)))</f>
        <v/>
      </c>
      <c r="L113" s="118">
        <f>IF($S113="","",IF(INDEX('_pockets'!$AC:$AC,$S113)="","",INDEX('_pockets'!$AC:$AC,$S113)))</f>
        <v/>
      </c>
      <c r="M113" s="117">
        <f>IF($R113="","",IF(INDEX('_list'!$L$2:$L$676,$R113)="","",INDEX('_list'!$L$2:$L$676,$R113)))</f>
        <v/>
      </c>
      <c r="N113" s="116">
        <f>IF($R113="","",IF(INDEX('_list'!$H$2:$H$676,$R113)="","",INDEX('_list'!$H$2:$H$676,$R113)))</f>
        <v/>
      </c>
      <c r="O113" s="113">
        <f>IF($R113="","",IF(INDEX('_list'!$I$2:$I$676,$R113)="","",INDEX('_list'!$I$2:$I$676,$R113)))</f>
        <v/>
      </c>
      <c r="R113">
        <f>IFERROR(MATCH(94,'_list'!$N$2:$N$676,0),"")</f>
        <v/>
      </c>
      <c r="S113">
        <f>IF($R113="","",INDEX('_list'!$C$2:$C$676,$R113))</f>
        <v/>
      </c>
    </row>
    <row r="114" ht="16" customHeight="1">
      <c r="B114" s="112">
        <f>IF($R114="","",95)</f>
        <v/>
      </c>
      <c r="C114" s="113">
        <f>IF($R114="","",IF(INDEX('_list'!$D$2:$D$676,$R114)="","",INDEX('_list'!$D$2:$D$676,$R114)))</f>
        <v/>
      </c>
      <c r="D114" s="113">
        <f>IF($R114="","",IF(INDEX('_list'!$E$2:$E$676,$R114)="","",INDEX('_list'!$E$2:$E$676,$R114)))</f>
        <v/>
      </c>
      <c r="E114" s="113">
        <f>IF($R114="","",IF(INDEX('_list'!$F$2:$F$676,$R114)="","",INDEX('_list'!$F$2:$F$676,$R114)))</f>
        <v/>
      </c>
      <c r="F114" s="114">
        <f>IF($R114="","",IF(INDEX('_list'!$G$2:$G$676,$R114)="","",INDEX('_list'!$G$2:$G$676,$R114)))</f>
        <v/>
      </c>
      <c r="G114" s="115">
        <f>IF($S114="","",IF(INDEX('_pockets'!$AH:$AH,$S114)="","",INDEX('_pockets'!$AH:$AH,$S114)))</f>
        <v/>
      </c>
      <c r="H114" s="115">
        <f>IF($S114="","",IF(INDEX('_pockets'!$AF:$AF,$S114)="","",INDEX('_pockets'!$AF:$AF,$S114)))</f>
        <v/>
      </c>
      <c r="I114" s="116">
        <f>IF(IF($S114="","",IF(INDEX('_pockets'!$AB:$AB,$S114)="","",INDEX('_pockets'!$AB:$AB,$S114)))="","",IF($S114="","",IF(INDEX('_pockets'!$AB:$AB,$S114)="","",INDEX('_pockets'!$AB:$AB,$S114)))*IF($U$18,100,1))</f>
        <v/>
      </c>
      <c r="J114" s="114">
        <f>IF($S114="","",IF(INDEX('_pockets'!$Z:$Z,$S114)="","",INDEX('_pockets'!$Z:$Z,$S114)))</f>
        <v/>
      </c>
      <c r="K114" s="117">
        <f>IF($S114="","",IF(INDEX('_pockets'!$AO:$AO,$S114)="","",INDEX('_pockets'!$AO:$AO,$S114)))</f>
        <v/>
      </c>
      <c r="L114" s="118">
        <f>IF($S114="","",IF(INDEX('_pockets'!$AC:$AC,$S114)="","",INDEX('_pockets'!$AC:$AC,$S114)))</f>
        <v/>
      </c>
      <c r="M114" s="117">
        <f>IF($R114="","",IF(INDEX('_list'!$L$2:$L$676,$R114)="","",INDEX('_list'!$L$2:$L$676,$R114)))</f>
        <v/>
      </c>
      <c r="N114" s="116">
        <f>IF($R114="","",IF(INDEX('_list'!$H$2:$H$676,$R114)="","",INDEX('_list'!$H$2:$H$676,$R114)))</f>
        <v/>
      </c>
      <c r="O114" s="113">
        <f>IF($R114="","",IF(INDEX('_list'!$I$2:$I$676,$R114)="","",INDEX('_list'!$I$2:$I$676,$R114)))</f>
        <v/>
      </c>
      <c r="R114">
        <f>IFERROR(MATCH(95,'_list'!$N$2:$N$676,0),"")</f>
        <v/>
      </c>
      <c r="S114">
        <f>IF($R114="","",INDEX('_list'!$C$2:$C$676,$R114))</f>
        <v/>
      </c>
    </row>
    <row r="115" ht="16" customHeight="1">
      <c r="B115" s="112">
        <f>IF($R115="","",96)</f>
        <v/>
      </c>
      <c r="C115" s="113">
        <f>IF($R115="","",IF(INDEX('_list'!$D$2:$D$676,$R115)="","",INDEX('_list'!$D$2:$D$676,$R115)))</f>
        <v/>
      </c>
      <c r="D115" s="113">
        <f>IF($R115="","",IF(INDEX('_list'!$E$2:$E$676,$R115)="","",INDEX('_list'!$E$2:$E$676,$R115)))</f>
        <v/>
      </c>
      <c r="E115" s="113">
        <f>IF($R115="","",IF(INDEX('_list'!$F$2:$F$676,$R115)="","",INDEX('_list'!$F$2:$F$676,$R115)))</f>
        <v/>
      </c>
      <c r="F115" s="114">
        <f>IF($R115="","",IF(INDEX('_list'!$G$2:$G$676,$R115)="","",INDEX('_list'!$G$2:$G$676,$R115)))</f>
        <v/>
      </c>
      <c r="G115" s="115">
        <f>IF($S115="","",IF(INDEX('_pockets'!$AH:$AH,$S115)="","",INDEX('_pockets'!$AH:$AH,$S115)))</f>
        <v/>
      </c>
      <c r="H115" s="115">
        <f>IF($S115="","",IF(INDEX('_pockets'!$AF:$AF,$S115)="","",INDEX('_pockets'!$AF:$AF,$S115)))</f>
        <v/>
      </c>
      <c r="I115" s="116">
        <f>IF(IF($S115="","",IF(INDEX('_pockets'!$AB:$AB,$S115)="","",INDEX('_pockets'!$AB:$AB,$S115)))="","",IF($S115="","",IF(INDEX('_pockets'!$AB:$AB,$S115)="","",INDEX('_pockets'!$AB:$AB,$S115)))*IF($U$18,100,1))</f>
        <v/>
      </c>
      <c r="J115" s="114">
        <f>IF($S115="","",IF(INDEX('_pockets'!$Z:$Z,$S115)="","",INDEX('_pockets'!$Z:$Z,$S115)))</f>
        <v/>
      </c>
      <c r="K115" s="117">
        <f>IF($S115="","",IF(INDEX('_pockets'!$AO:$AO,$S115)="","",INDEX('_pockets'!$AO:$AO,$S115)))</f>
        <v/>
      </c>
      <c r="L115" s="118">
        <f>IF($S115="","",IF(INDEX('_pockets'!$AC:$AC,$S115)="","",INDEX('_pockets'!$AC:$AC,$S115)))</f>
        <v/>
      </c>
      <c r="M115" s="117">
        <f>IF($R115="","",IF(INDEX('_list'!$L$2:$L$676,$R115)="","",INDEX('_list'!$L$2:$L$676,$R115)))</f>
        <v/>
      </c>
      <c r="N115" s="116">
        <f>IF($R115="","",IF(INDEX('_list'!$H$2:$H$676,$R115)="","",INDEX('_list'!$H$2:$H$676,$R115)))</f>
        <v/>
      </c>
      <c r="O115" s="113">
        <f>IF($R115="","",IF(INDEX('_list'!$I$2:$I$676,$R115)="","",INDEX('_list'!$I$2:$I$676,$R115)))</f>
        <v/>
      </c>
      <c r="R115">
        <f>IFERROR(MATCH(96,'_list'!$N$2:$N$676,0),"")</f>
        <v/>
      </c>
      <c r="S115">
        <f>IF($R115="","",INDEX('_list'!$C$2:$C$676,$R115))</f>
        <v/>
      </c>
    </row>
    <row r="116" ht="16" customHeight="1">
      <c r="B116" s="112">
        <f>IF($R116="","",97)</f>
        <v/>
      </c>
      <c r="C116" s="113">
        <f>IF($R116="","",IF(INDEX('_list'!$D$2:$D$676,$R116)="","",INDEX('_list'!$D$2:$D$676,$R116)))</f>
        <v/>
      </c>
      <c r="D116" s="113">
        <f>IF($R116="","",IF(INDEX('_list'!$E$2:$E$676,$R116)="","",INDEX('_list'!$E$2:$E$676,$R116)))</f>
        <v/>
      </c>
      <c r="E116" s="113">
        <f>IF($R116="","",IF(INDEX('_list'!$F$2:$F$676,$R116)="","",INDEX('_list'!$F$2:$F$676,$R116)))</f>
        <v/>
      </c>
      <c r="F116" s="114">
        <f>IF($R116="","",IF(INDEX('_list'!$G$2:$G$676,$R116)="","",INDEX('_list'!$G$2:$G$676,$R116)))</f>
        <v/>
      </c>
      <c r="G116" s="115">
        <f>IF($S116="","",IF(INDEX('_pockets'!$AH:$AH,$S116)="","",INDEX('_pockets'!$AH:$AH,$S116)))</f>
        <v/>
      </c>
      <c r="H116" s="115">
        <f>IF($S116="","",IF(INDEX('_pockets'!$AF:$AF,$S116)="","",INDEX('_pockets'!$AF:$AF,$S116)))</f>
        <v/>
      </c>
      <c r="I116" s="116">
        <f>IF(IF($S116="","",IF(INDEX('_pockets'!$AB:$AB,$S116)="","",INDEX('_pockets'!$AB:$AB,$S116)))="","",IF($S116="","",IF(INDEX('_pockets'!$AB:$AB,$S116)="","",INDEX('_pockets'!$AB:$AB,$S116)))*IF($U$18,100,1))</f>
        <v/>
      </c>
      <c r="J116" s="114">
        <f>IF($S116="","",IF(INDEX('_pockets'!$Z:$Z,$S116)="","",INDEX('_pockets'!$Z:$Z,$S116)))</f>
        <v/>
      </c>
      <c r="K116" s="117">
        <f>IF($S116="","",IF(INDEX('_pockets'!$AO:$AO,$S116)="","",INDEX('_pockets'!$AO:$AO,$S116)))</f>
        <v/>
      </c>
      <c r="L116" s="118">
        <f>IF($S116="","",IF(INDEX('_pockets'!$AC:$AC,$S116)="","",INDEX('_pockets'!$AC:$AC,$S116)))</f>
        <v/>
      </c>
      <c r="M116" s="117">
        <f>IF($R116="","",IF(INDEX('_list'!$L$2:$L$676,$R116)="","",INDEX('_list'!$L$2:$L$676,$R116)))</f>
        <v/>
      </c>
      <c r="N116" s="116">
        <f>IF($R116="","",IF(INDEX('_list'!$H$2:$H$676,$R116)="","",INDEX('_list'!$H$2:$H$676,$R116)))</f>
        <v/>
      </c>
      <c r="O116" s="113">
        <f>IF($R116="","",IF(INDEX('_list'!$I$2:$I$676,$R116)="","",INDEX('_list'!$I$2:$I$676,$R116)))</f>
        <v/>
      </c>
      <c r="R116">
        <f>IFERROR(MATCH(97,'_list'!$N$2:$N$676,0),"")</f>
        <v/>
      </c>
      <c r="S116">
        <f>IF($R116="","",INDEX('_list'!$C$2:$C$676,$R116))</f>
        <v/>
      </c>
    </row>
    <row r="117" ht="16" customHeight="1">
      <c r="B117" s="112">
        <f>IF($R117="","",98)</f>
        <v/>
      </c>
      <c r="C117" s="113">
        <f>IF($R117="","",IF(INDEX('_list'!$D$2:$D$676,$R117)="","",INDEX('_list'!$D$2:$D$676,$R117)))</f>
        <v/>
      </c>
      <c r="D117" s="113">
        <f>IF($R117="","",IF(INDEX('_list'!$E$2:$E$676,$R117)="","",INDEX('_list'!$E$2:$E$676,$R117)))</f>
        <v/>
      </c>
      <c r="E117" s="113">
        <f>IF($R117="","",IF(INDEX('_list'!$F$2:$F$676,$R117)="","",INDEX('_list'!$F$2:$F$676,$R117)))</f>
        <v/>
      </c>
      <c r="F117" s="114">
        <f>IF($R117="","",IF(INDEX('_list'!$G$2:$G$676,$R117)="","",INDEX('_list'!$G$2:$G$676,$R117)))</f>
        <v/>
      </c>
      <c r="G117" s="115">
        <f>IF($S117="","",IF(INDEX('_pockets'!$AH:$AH,$S117)="","",INDEX('_pockets'!$AH:$AH,$S117)))</f>
        <v/>
      </c>
      <c r="H117" s="115">
        <f>IF($S117="","",IF(INDEX('_pockets'!$AF:$AF,$S117)="","",INDEX('_pockets'!$AF:$AF,$S117)))</f>
        <v/>
      </c>
      <c r="I117" s="116">
        <f>IF(IF($S117="","",IF(INDEX('_pockets'!$AB:$AB,$S117)="","",INDEX('_pockets'!$AB:$AB,$S117)))="","",IF($S117="","",IF(INDEX('_pockets'!$AB:$AB,$S117)="","",INDEX('_pockets'!$AB:$AB,$S117)))*IF($U$18,100,1))</f>
        <v/>
      </c>
      <c r="J117" s="114">
        <f>IF($S117="","",IF(INDEX('_pockets'!$Z:$Z,$S117)="","",INDEX('_pockets'!$Z:$Z,$S117)))</f>
        <v/>
      </c>
      <c r="K117" s="117">
        <f>IF($S117="","",IF(INDEX('_pockets'!$AO:$AO,$S117)="","",INDEX('_pockets'!$AO:$AO,$S117)))</f>
        <v/>
      </c>
      <c r="L117" s="118">
        <f>IF($S117="","",IF(INDEX('_pockets'!$AC:$AC,$S117)="","",INDEX('_pockets'!$AC:$AC,$S117)))</f>
        <v/>
      </c>
      <c r="M117" s="117">
        <f>IF($R117="","",IF(INDEX('_list'!$L$2:$L$676,$R117)="","",INDEX('_list'!$L$2:$L$676,$R117)))</f>
        <v/>
      </c>
      <c r="N117" s="116">
        <f>IF($R117="","",IF(INDEX('_list'!$H$2:$H$676,$R117)="","",INDEX('_list'!$H$2:$H$676,$R117)))</f>
        <v/>
      </c>
      <c r="O117" s="113">
        <f>IF($R117="","",IF(INDEX('_list'!$I$2:$I$676,$R117)="","",INDEX('_list'!$I$2:$I$676,$R117)))</f>
        <v/>
      </c>
      <c r="R117">
        <f>IFERROR(MATCH(98,'_list'!$N$2:$N$676,0),"")</f>
        <v/>
      </c>
      <c r="S117">
        <f>IF($R117="","",INDEX('_list'!$C$2:$C$676,$R117))</f>
        <v/>
      </c>
    </row>
    <row r="118" ht="16" customHeight="1">
      <c r="B118" s="112">
        <f>IF($R118="","",99)</f>
        <v/>
      </c>
      <c r="C118" s="113">
        <f>IF($R118="","",IF(INDEX('_list'!$D$2:$D$676,$R118)="","",INDEX('_list'!$D$2:$D$676,$R118)))</f>
        <v/>
      </c>
      <c r="D118" s="113">
        <f>IF($R118="","",IF(INDEX('_list'!$E$2:$E$676,$R118)="","",INDEX('_list'!$E$2:$E$676,$R118)))</f>
        <v/>
      </c>
      <c r="E118" s="113">
        <f>IF($R118="","",IF(INDEX('_list'!$F$2:$F$676,$R118)="","",INDEX('_list'!$F$2:$F$676,$R118)))</f>
        <v/>
      </c>
      <c r="F118" s="114">
        <f>IF($R118="","",IF(INDEX('_list'!$G$2:$G$676,$R118)="","",INDEX('_list'!$G$2:$G$676,$R118)))</f>
        <v/>
      </c>
      <c r="G118" s="115">
        <f>IF($S118="","",IF(INDEX('_pockets'!$AH:$AH,$S118)="","",INDEX('_pockets'!$AH:$AH,$S118)))</f>
        <v/>
      </c>
      <c r="H118" s="115">
        <f>IF($S118="","",IF(INDEX('_pockets'!$AF:$AF,$S118)="","",INDEX('_pockets'!$AF:$AF,$S118)))</f>
        <v/>
      </c>
      <c r="I118" s="116">
        <f>IF(IF($S118="","",IF(INDEX('_pockets'!$AB:$AB,$S118)="","",INDEX('_pockets'!$AB:$AB,$S118)))="","",IF($S118="","",IF(INDEX('_pockets'!$AB:$AB,$S118)="","",INDEX('_pockets'!$AB:$AB,$S118)))*IF($U$18,100,1))</f>
        <v/>
      </c>
      <c r="J118" s="114">
        <f>IF($S118="","",IF(INDEX('_pockets'!$Z:$Z,$S118)="","",INDEX('_pockets'!$Z:$Z,$S118)))</f>
        <v/>
      </c>
      <c r="K118" s="117">
        <f>IF($S118="","",IF(INDEX('_pockets'!$AO:$AO,$S118)="","",INDEX('_pockets'!$AO:$AO,$S118)))</f>
        <v/>
      </c>
      <c r="L118" s="118">
        <f>IF($S118="","",IF(INDEX('_pockets'!$AC:$AC,$S118)="","",INDEX('_pockets'!$AC:$AC,$S118)))</f>
        <v/>
      </c>
      <c r="M118" s="117">
        <f>IF($R118="","",IF(INDEX('_list'!$L$2:$L$676,$R118)="","",INDEX('_list'!$L$2:$L$676,$R118)))</f>
        <v/>
      </c>
      <c r="N118" s="116">
        <f>IF($R118="","",IF(INDEX('_list'!$H$2:$H$676,$R118)="","",INDEX('_list'!$H$2:$H$676,$R118)))</f>
        <v/>
      </c>
      <c r="O118" s="113">
        <f>IF($R118="","",IF(INDEX('_list'!$I$2:$I$676,$R118)="","",INDEX('_list'!$I$2:$I$676,$R118)))</f>
        <v/>
      </c>
      <c r="R118">
        <f>IFERROR(MATCH(99,'_list'!$N$2:$N$676,0),"")</f>
        <v/>
      </c>
      <c r="S118">
        <f>IF($R118="","",INDEX('_list'!$C$2:$C$676,$R118))</f>
        <v/>
      </c>
    </row>
    <row r="119" ht="16" customHeight="1">
      <c r="B119" s="112">
        <f>IF($R119="","",100)</f>
        <v/>
      </c>
      <c r="C119" s="113">
        <f>IF($R119="","",IF(INDEX('_list'!$D$2:$D$676,$R119)="","",INDEX('_list'!$D$2:$D$676,$R119)))</f>
        <v/>
      </c>
      <c r="D119" s="113">
        <f>IF($R119="","",IF(INDEX('_list'!$E$2:$E$676,$R119)="","",INDEX('_list'!$E$2:$E$676,$R119)))</f>
        <v/>
      </c>
      <c r="E119" s="113">
        <f>IF($R119="","",IF(INDEX('_list'!$F$2:$F$676,$R119)="","",INDEX('_list'!$F$2:$F$676,$R119)))</f>
        <v/>
      </c>
      <c r="F119" s="114">
        <f>IF($R119="","",IF(INDEX('_list'!$G$2:$G$676,$R119)="","",INDEX('_list'!$G$2:$G$676,$R119)))</f>
        <v/>
      </c>
      <c r="G119" s="115">
        <f>IF($S119="","",IF(INDEX('_pockets'!$AH:$AH,$S119)="","",INDEX('_pockets'!$AH:$AH,$S119)))</f>
        <v/>
      </c>
      <c r="H119" s="115">
        <f>IF($S119="","",IF(INDEX('_pockets'!$AF:$AF,$S119)="","",INDEX('_pockets'!$AF:$AF,$S119)))</f>
        <v/>
      </c>
      <c r="I119" s="116">
        <f>IF(IF($S119="","",IF(INDEX('_pockets'!$AB:$AB,$S119)="","",INDEX('_pockets'!$AB:$AB,$S119)))="","",IF($S119="","",IF(INDEX('_pockets'!$AB:$AB,$S119)="","",INDEX('_pockets'!$AB:$AB,$S119)))*IF($U$18,100,1))</f>
        <v/>
      </c>
      <c r="J119" s="114">
        <f>IF($S119="","",IF(INDEX('_pockets'!$Z:$Z,$S119)="","",INDEX('_pockets'!$Z:$Z,$S119)))</f>
        <v/>
      </c>
      <c r="K119" s="117">
        <f>IF($S119="","",IF(INDEX('_pockets'!$AO:$AO,$S119)="","",INDEX('_pockets'!$AO:$AO,$S119)))</f>
        <v/>
      </c>
      <c r="L119" s="118">
        <f>IF($S119="","",IF(INDEX('_pockets'!$AC:$AC,$S119)="","",INDEX('_pockets'!$AC:$AC,$S119)))</f>
        <v/>
      </c>
      <c r="M119" s="117">
        <f>IF($R119="","",IF(INDEX('_list'!$L$2:$L$676,$R119)="","",INDEX('_list'!$L$2:$L$676,$R119)))</f>
        <v/>
      </c>
      <c r="N119" s="116">
        <f>IF($R119="","",IF(INDEX('_list'!$H$2:$H$676,$R119)="","",INDEX('_list'!$H$2:$H$676,$R119)))</f>
        <v/>
      </c>
      <c r="O119" s="113">
        <f>IF($R119="","",IF(INDEX('_list'!$I$2:$I$676,$R119)="","",INDEX('_list'!$I$2:$I$676,$R119)))</f>
        <v/>
      </c>
      <c r="R119">
        <f>IFERROR(MATCH(100,'_list'!$N$2:$N$676,0),"")</f>
        <v/>
      </c>
      <c r="S119">
        <f>IF($R119="","",INDEX('_list'!$C$2:$C$676,$R119))</f>
        <v/>
      </c>
    </row>
    <row r="120" ht="16" customHeight="1">
      <c r="B120" s="112">
        <f>IF($R120="","",101)</f>
        <v/>
      </c>
      <c r="C120" s="113">
        <f>IF($R120="","",IF(INDEX('_list'!$D$2:$D$676,$R120)="","",INDEX('_list'!$D$2:$D$676,$R120)))</f>
        <v/>
      </c>
      <c r="D120" s="113">
        <f>IF($R120="","",IF(INDEX('_list'!$E$2:$E$676,$R120)="","",INDEX('_list'!$E$2:$E$676,$R120)))</f>
        <v/>
      </c>
      <c r="E120" s="113">
        <f>IF($R120="","",IF(INDEX('_list'!$F$2:$F$676,$R120)="","",INDEX('_list'!$F$2:$F$676,$R120)))</f>
        <v/>
      </c>
      <c r="F120" s="114">
        <f>IF($R120="","",IF(INDEX('_list'!$G$2:$G$676,$R120)="","",INDEX('_list'!$G$2:$G$676,$R120)))</f>
        <v/>
      </c>
      <c r="G120" s="115">
        <f>IF($S120="","",IF(INDEX('_pockets'!$AH:$AH,$S120)="","",INDEX('_pockets'!$AH:$AH,$S120)))</f>
        <v/>
      </c>
      <c r="H120" s="115">
        <f>IF($S120="","",IF(INDEX('_pockets'!$AF:$AF,$S120)="","",INDEX('_pockets'!$AF:$AF,$S120)))</f>
        <v/>
      </c>
      <c r="I120" s="116">
        <f>IF(IF($S120="","",IF(INDEX('_pockets'!$AB:$AB,$S120)="","",INDEX('_pockets'!$AB:$AB,$S120)))="","",IF($S120="","",IF(INDEX('_pockets'!$AB:$AB,$S120)="","",INDEX('_pockets'!$AB:$AB,$S120)))*IF($U$18,100,1))</f>
        <v/>
      </c>
      <c r="J120" s="114">
        <f>IF($S120="","",IF(INDEX('_pockets'!$Z:$Z,$S120)="","",INDEX('_pockets'!$Z:$Z,$S120)))</f>
        <v/>
      </c>
      <c r="K120" s="117">
        <f>IF($S120="","",IF(INDEX('_pockets'!$AO:$AO,$S120)="","",INDEX('_pockets'!$AO:$AO,$S120)))</f>
        <v/>
      </c>
      <c r="L120" s="118">
        <f>IF($S120="","",IF(INDEX('_pockets'!$AC:$AC,$S120)="","",INDEX('_pockets'!$AC:$AC,$S120)))</f>
        <v/>
      </c>
      <c r="M120" s="117">
        <f>IF($R120="","",IF(INDEX('_list'!$L$2:$L$676,$R120)="","",INDEX('_list'!$L$2:$L$676,$R120)))</f>
        <v/>
      </c>
      <c r="N120" s="116">
        <f>IF($R120="","",IF(INDEX('_list'!$H$2:$H$676,$R120)="","",INDEX('_list'!$H$2:$H$676,$R120)))</f>
        <v/>
      </c>
      <c r="O120" s="113">
        <f>IF($R120="","",IF(INDEX('_list'!$I$2:$I$676,$R120)="","",INDEX('_list'!$I$2:$I$676,$R120)))</f>
        <v/>
      </c>
      <c r="R120">
        <f>IFERROR(MATCH(101,'_list'!$N$2:$N$676,0),"")</f>
        <v/>
      </c>
      <c r="S120">
        <f>IF($R120="","",INDEX('_list'!$C$2:$C$676,$R120))</f>
        <v/>
      </c>
    </row>
    <row r="121" ht="16" customHeight="1">
      <c r="B121" s="112">
        <f>IF($R121="","",102)</f>
        <v/>
      </c>
      <c r="C121" s="113">
        <f>IF($R121="","",IF(INDEX('_list'!$D$2:$D$676,$R121)="","",INDEX('_list'!$D$2:$D$676,$R121)))</f>
        <v/>
      </c>
      <c r="D121" s="113">
        <f>IF($R121="","",IF(INDEX('_list'!$E$2:$E$676,$R121)="","",INDEX('_list'!$E$2:$E$676,$R121)))</f>
        <v/>
      </c>
      <c r="E121" s="113">
        <f>IF($R121="","",IF(INDEX('_list'!$F$2:$F$676,$R121)="","",INDEX('_list'!$F$2:$F$676,$R121)))</f>
        <v/>
      </c>
      <c r="F121" s="114">
        <f>IF($R121="","",IF(INDEX('_list'!$G$2:$G$676,$R121)="","",INDEX('_list'!$G$2:$G$676,$R121)))</f>
        <v/>
      </c>
      <c r="G121" s="115">
        <f>IF($S121="","",IF(INDEX('_pockets'!$AH:$AH,$S121)="","",INDEX('_pockets'!$AH:$AH,$S121)))</f>
        <v/>
      </c>
      <c r="H121" s="115">
        <f>IF($S121="","",IF(INDEX('_pockets'!$AF:$AF,$S121)="","",INDEX('_pockets'!$AF:$AF,$S121)))</f>
        <v/>
      </c>
      <c r="I121" s="116">
        <f>IF(IF($S121="","",IF(INDEX('_pockets'!$AB:$AB,$S121)="","",INDEX('_pockets'!$AB:$AB,$S121)))="","",IF($S121="","",IF(INDEX('_pockets'!$AB:$AB,$S121)="","",INDEX('_pockets'!$AB:$AB,$S121)))*IF($U$18,100,1))</f>
        <v/>
      </c>
      <c r="J121" s="114">
        <f>IF($S121="","",IF(INDEX('_pockets'!$Z:$Z,$S121)="","",INDEX('_pockets'!$Z:$Z,$S121)))</f>
        <v/>
      </c>
      <c r="K121" s="117">
        <f>IF($S121="","",IF(INDEX('_pockets'!$AO:$AO,$S121)="","",INDEX('_pockets'!$AO:$AO,$S121)))</f>
        <v/>
      </c>
      <c r="L121" s="118">
        <f>IF($S121="","",IF(INDEX('_pockets'!$AC:$AC,$S121)="","",INDEX('_pockets'!$AC:$AC,$S121)))</f>
        <v/>
      </c>
      <c r="M121" s="117">
        <f>IF($R121="","",IF(INDEX('_list'!$L$2:$L$676,$R121)="","",INDEX('_list'!$L$2:$L$676,$R121)))</f>
        <v/>
      </c>
      <c r="N121" s="116">
        <f>IF($R121="","",IF(INDEX('_list'!$H$2:$H$676,$R121)="","",INDEX('_list'!$H$2:$H$676,$R121)))</f>
        <v/>
      </c>
      <c r="O121" s="113">
        <f>IF($R121="","",IF(INDEX('_list'!$I$2:$I$676,$R121)="","",INDEX('_list'!$I$2:$I$676,$R121)))</f>
        <v/>
      </c>
      <c r="R121">
        <f>IFERROR(MATCH(102,'_list'!$N$2:$N$676,0),"")</f>
        <v/>
      </c>
      <c r="S121">
        <f>IF($R121="","",INDEX('_list'!$C$2:$C$676,$R121))</f>
        <v/>
      </c>
    </row>
  </sheetData>
  <mergeCells count="15">
    <mergeCell ref="D10:O10"/>
    <mergeCell ref="F17:M17"/>
    <mergeCell ref="D11:O11"/>
    <mergeCell ref="K14:O14"/>
    <mergeCell ref="D5:O5"/>
    <mergeCell ref="D4:O4"/>
    <mergeCell ref="F14:G14"/>
    <mergeCell ref="K13:O13"/>
    <mergeCell ref="F13:G13"/>
    <mergeCell ref="D9:O9"/>
    <mergeCell ref="H13:I13"/>
    <mergeCell ref="H14:I14"/>
    <mergeCell ref="D7:O7"/>
    <mergeCell ref="D8:O8"/>
    <mergeCell ref="D6:O6"/>
  </mergeCells>
  <conditionalFormatting sqref="B20:B121 C20:C121 D20:D121 E20:E121 F20:F121 G20:G121 H20:H121 L20:L121">
    <cfRule type="expression" priority="1" dxfId="5">
      <formula>AND($B20&lt;&gt;"",LEFT($O20,3)="No:")</formula>
    </cfRule>
    <cfRule type="expression" priority="2" dxfId="6">
      <formula>$B20&lt;&gt;""</formula>
    </cfRule>
  </conditionalFormatting>
  <conditionalFormatting sqref="I20:I121">
    <cfRule type="expression" priority="3" dxfId="7">
      <formula>AND($B20&lt;&gt;"",AND(LEFT($O20,3)="No:",$U$18))</formula>
    </cfRule>
    <cfRule type="expression" priority="4" dxfId="5">
      <formula>AND($B20&lt;&gt;"",LEFT($O20,3)="No:")</formula>
    </cfRule>
    <cfRule type="expression" priority="5" dxfId="8">
      <formula>AND($B20&lt;&gt;"",$U$18)</formula>
    </cfRule>
    <cfRule type="expression" priority="6" dxfId="6">
      <formula>$B20&lt;&gt;""</formula>
    </cfRule>
  </conditionalFormatting>
  <conditionalFormatting sqref="N20:N121">
    <cfRule type="expression" priority="7" dxfId="7">
      <formula>AND($B20&lt;&gt;"",AND(LEFT($O20,3)="No:",$U$18))</formula>
    </cfRule>
    <cfRule type="expression" priority="8" dxfId="5">
      <formula>AND($B20&lt;&gt;"",LEFT($O20,3)="No:")</formula>
    </cfRule>
    <cfRule type="expression" priority="9" dxfId="8">
      <formula>AND($B20&lt;&gt;"",$U$18)</formula>
    </cfRule>
    <cfRule type="expression" priority="10" dxfId="6">
      <formula>$B20&lt;&gt;""</formula>
    </cfRule>
  </conditionalFormatting>
  <conditionalFormatting sqref="J20:J121">
    <cfRule type="expression" priority="11" dxfId="9">
      <formula>AND($B20&lt;&gt;"",AND(LEFT($O20,3)="No:",$U$19))</formula>
    </cfRule>
    <cfRule type="expression" priority="12" dxfId="5">
      <formula>AND($B20&lt;&gt;"",LEFT($O20,3)="No:")</formula>
    </cfRule>
    <cfRule type="expression" priority="13" dxfId="10">
      <formula>AND($B20&lt;&gt;"",$U$19)</formula>
    </cfRule>
    <cfRule type="expression" priority="14" dxfId="6">
      <formula>$B20&lt;&gt;""</formula>
    </cfRule>
  </conditionalFormatting>
  <conditionalFormatting sqref="K20:K121">
    <cfRule type="expression" priority="15" dxfId="5">
      <formula>AND($B20&lt;&gt;"",LEFT($O20,3)="No:")</formula>
    </cfRule>
    <cfRule type="expression" priority="16" dxfId="11">
      <formula>AND($B20&lt;&gt;"",IFERROR(LEFT($K20,FIND(" · ",$K20)-1),$K20)="Yes")</formula>
    </cfRule>
    <cfRule type="expression" priority="17" dxfId="12">
      <formula>AND($B20&lt;&gt;"",IFERROR(LEFT($K20,FIND(" · ",$K20)-1),$K20)="Not sure")</formula>
    </cfRule>
    <cfRule type="expression" priority="18" dxfId="5">
      <formula>AND($B20&lt;&gt;"",OR(IFERROR(LEFT($K20,FIND(" · ",$K20)-1),$K20)="No",IFERROR(LEFT($K20,FIND(" · ",$K20)-1),$K20)="Too few losses"))</formula>
    </cfRule>
    <cfRule type="expression" priority="19" dxfId="6">
      <formula>$B20&lt;&gt;""</formula>
    </cfRule>
  </conditionalFormatting>
  <conditionalFormatting sqref="M20:M121">
    <cfRule type="expression" priority="20" dxfId="5">
      <formula>AND($B20&lt;&gt;"",LEFT($O20,3)="No:")</formula>
    </cfRule>
    <cfRule type="expression" priority="21" dxfId="13">
      <formula>AND($B20&lt;&gt;"",$M20="Yes")</formula>
    </cfRule>
    <cfRule type="expression" priority="22" dxfId="6">
      <formula>$B20&lt;&gt;""</formula>
    </cfRule>
  </conditionalFormatting>
  <conditionalFormatting sqref="O20:O121">
    <cfRule type="expression" priority="23" dxfId="14">
      <formula>AND($B20&lt;&gt;"",LEFT($O20,3)="No:")</formula>
    </cfRule>
    <cfRule type="expression" priority="24" dxfId="6">
      <formula>$B20&lt;&gt;""</formula>
    </cfRule>
  </conditionalFormatting>
  <dataValidations count="3">
    <dataValidation sqref="C17" showDropDown="0" showInputMessage="0" showErrorMessage="1" allowBlank="0" errorTitle="Measure" error="Pick one from the list." type="list">
      <formula1>='_choices'!$A$2:$A$6</formula1>
    </dataValidation>
    <dataValidation sqref="D17" showDropDown="0" showInputMessage="0" showErrorMessage="1" allowBlank="0" errorTitle="Pockets" error="Pick one from the list." type="list">
      <formula1>='_choices'!$E$2:$E$3</formula1>
    </dataValidation>
    <dataValidation sqref="E17"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04:03.</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IF(OR($AV41="",AND($AW41="",$AX41="")),$AV41,$AV41&amp;" · borderline (p "&amp;IF(AND($AW41&lt;&gt;"",$AX41&lt;&gt;""),$AW41&amp;" and "&amp;$AX41,$AW41&amp;$AX41)&amp;")")</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IF(OR($AV42="",AND($AW42="",$AX42="")),$AV42,$AV42&amp;" · borderline (p "&amp;IF(AND($AW42&lt;&gt;"",$AX42&lt;&gt;""),$AW42&amp;" and "&amp;$AX42,$AW42&amp;$AX42)&amp;")")</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IF(OR($AV43="",AND($AW43="",$AX43="")),$AV43,$AV43&amp;" · borderline (p "&amp;IF(AND($AW43&lt;&gt;"",$AX43&lt;&gt;""),$AW43&amp;" and "&amp;$AX43,$AW43&amp;$AX43)&amp;")")</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IF(OR($AV44="",AND($AW44="",$AX44="")),$AV44,$AV44&amp;" · borderline (p "&amp;IF(AND($AW44&lt;&gt;"",$AX44&lt;&gt;""),$AW44&amp;" and "&amp;$AX44,$AW44&amp;$AX44)&amp;")")</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H80"/>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 customWidth="1" min="12" max="12"/>
    <col width="20"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31"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value of SYS_FLAG to see the grid on only its loans. vs the book is still against the whole book; vs rest of band, the rest of the band among those loans.</t>
        </is>
      </c>
    </row>
    <row r="10" outlineLevel="1" ht="17"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 SYS_FLAG IS</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X13">
        <f>IFERROR(INDEX('_choices'!$J$2:$J$7,MATCH($F$13,'_choices'!$I$2:$I$7,0)),"")</f>
        <v/>
      </c>
      <c r="Y13">
        <f>IF($X$14="","",IF(INDEX('_views'!$B:$ZZ,$X$14,1)="","",INDEX('_views'!$B:$ZZ,$X$14,1)))</f>
        <v/>
      </c>
      <c r="AE13">
        <f>IF(IF($X$16="","",IF(INDEX('_views'!$B:$ZZ,$X$16,1)="","",INDEX('_views'!$B:$ZZ,$X$16,1)))="All","",IF($X$16="","",IF(INDEX('_views'!$B:$ZZ,$X$16,1)="","",INDEX('_views'!$B:$ZZ,$X$16,1))))</f>
        <v/>
      </c>
      <c r="AF13">
        <f>IF(IF($X$15="","",IF(INDEX('_views'!$B:$ZZ,$X$15,1)="","",INDEX('_views'!$B:$ZZ,$X$15,1)))="All","",IF($X$15="","",IF(INDEX('_views'!$B:$ZZ,$X$15,1)="","",INDEX('_views'!$B:$ZZ,$X$15,1))))</f>
        <v/>
      </c>
      <c r="AG13">
        <f>SUMPRODUCT(--(LEN($AE$13:$AE$19)&gt;0))</f>
        <v/>
      </c>
      <c r="AH13">
        <f>IF($N$13="","",IFERROR(MATCH($N$13,$AE$13:$AE$19,0),""))</f>
        <v/>
      </c>
    </row>
    <row r="14">
      <c r="X14">
        <f>IFERROR(MATCH("G|"&amp;$Y$15&amp;"|"&amp;$X$13&amp;"|meta",'_views'!$A:$A,0),"")</f>
        <v/>
      </c>
      <c r="Y14">
        <f>IF($X$14="","",IF(INDEX('_views'!$B:$ZZ,$X$14,2)="","",INDEX('_views'!$B:$ZZ,$X$14,2)))</f>
        <v/>
      </c>
      <c r="AE14">
        <f>IF(IF($X$16="","",IF(INDEX('_views'!$B:$ZZ,$X$16,2)="","",INDEX('_views'!$B:$ZZ,$X$16,2)))="All","",IF($X$16="","",IF(INDEX('_views'!$B:$ZZ,$X$16,2)="","",INDEX('_views'!$B:$ZZ,$X$16,2))))</f>
        <v/>
      </c>
      <c r="AF14">
        <f>IF(IF($X$15="","",IF(INDEX('_views'!$B:$ZZ,$X$15,2)="","",INDEX('_views'!$B:$ZZ,$X$15,2)))="All","",IF($X$15="","",IF(INDEX('_views'!$B:$ZZ,$X$15,2)="","",INDEX('_views'!$B:$ZZ,$X$15,2))))</f>
        <v/>
      </c>
      <c r="AG14">
        <f>SUMPRODUCT(--(LEN($AF$13:$AF$20)&gt;0))</f>
        <v/>
      </c>
      <c r="AH14">
        <f>IF($R$13="","",IFERROR(MATCH($R$13,$AF$13:$AF$20,0),""))</f>
        <v/>
      </c>
    </row>
    <row r="15" ht="20" customHeight="1">
      <c r="B15" s="127">
        <f>"Rate · "&amp;$F$13</f>
        <v/>
      </c>
      <c r="C15" s="26" t="n"/>
      <c r="D15" s="26" t="n"/>
      <c r="E15" s="26" t="n"/>
      <c r="F15" s="26" t="n"/>
      <c r="G15" s="26" t="n"/>
      <c r="H15" s="26" t="n"/>
      <c r="I15" s="26" t="n"/>
      <c r="J15" s="26" t="n"/>
      <c r="K15" s="26" t="n"/>
      <c r="M15" s="127">
        <f>IF(ISNUMBER($Y$16),"vs the book (book: "&amp;IF($Y$13="size",TEXT($Y$16,"$#,##0"),TEXT($Y$16,"0.00%"))&amp;")","vs the book")</f>
        <v/>
      </c>
      <c r="N15" s="26" t="n"/>
      <c r="O15" s="26" t="n"/>
      <c r="P15" s="26" t="n"/>
      <c r="Q15" s="26" t="n"/>
      <c r="R15" s="26" t="n"/>
      <c r="S15" s="26" t="n"/>
      <c r="T15" s="26" t="n"/>
      <c r="U15" s="26" t="n"/>
      <c r="V15" s="26" t="n"/>
      <c r="X15">
        <f>IFERROR(MATCH("G|"&amp;$Y$15&amp;"|cols",'_views'!$A:$A,0),"")</f>
        <v/>
      </c>
      <c r="Y15">
        <f>$B$13&amp;IF(OR($J$13="",$J$13="All loans"),"","|where "&amp;$J$13)</f>
        <v/>
      </c>
      <c r="AE15">
        <f>IF(IF($X$16="","",IF(INDEX('_views'!$B:$ZZ,$X$16,3)="","",INDEX('_views'!$B:$ZZ,$X$16,3)))="All","",IF($X$16="","",IF(INDEX('_views'!$B:$ZZ,$X$16,3)="","",INDEX('_views'!$B:$ZZ,$X$16,3))))</f>
        <v/>
      </c>
      <c r="AF15">
        <f>IF(IF($X$15="","",IF(INDEX('_views'!$B:$ZZ,$X$15,3)="","",INDEX('_views'!$B:$ZZ,$X$15,3)))="All","",IF($X$15="","",IF(INDEX('_views'!$B:$ZZ,$X$15,3)="","",INDEX('_views'!$B:$ZZ,$X$15,3))))</f>
        <v/>
      </c>
      <c r="AH15">
        <f>IF(OR($AH$13="",$AH$14=""),"",INDEX($C$18:$K$25,$AH$13,$AH$14))</f>
        <v/>
      </c>
    </row>
    <row r="16" ht="16" customHeight="1">
      <c r="B16" s="5" t="n"/>
      <c r="C16" s="128">
        <f>IF($X$20="","",IF(INDEX('_views'!$B:$ZZ,$X$20,1)="","",INDEX('_views'!$B:$ZZ,$X$20,1)))</f>
        <v/>
      </c>
      <c r="E16" s="128">
        <f>IF($X$20="","",IF(INDEX('_views'!$B:$ZZ,$X$20,2)="","",INDEX('_views'!$B:$ZZ,$X$20,2)))</f>
        <v/>
      </c>
      <c r="G16" s="128">
        <f>IF($X$20="","",IF(INDEX('_views'!$B:$ZZ,$X$20,3)="","",INDEX('_views'!$B:$ZZ,$X$20,3)))</f>
        <v/>
      </c>
      <c r="I16" s="128">
        <f>IF($X$20="","",IF(INDEX('_views'!$B:$ZZ,$X$20,4)="","",INDEX('_views'!$B:$ZZ,$X$20,4)))</f>
        <v/>
      </c>
      <c r="K16" s="5" t="n"/>
      <c r="M16" s="5" t="n"/>
      <c r="N16" s="128">
        <f>IF($X$20="","",IF(INDEX('_views'!$B:$ZZ,$X$20,1)="","",INDEX('_views'!$B:$ZZ,$X$20,1)))</f>
        <v/>
      </c>
      <c r="P16" s="128">
        <f>IF($X$20="","",IF(INDEX('_views'!$B:$ZZ,$X$20,2)="","",INDEX('_views'!$B:$ZZ,$X$20,2)))</f>
        <v/>
      </c>
      <c r="R16" s="128">
        <f>IF($X$20="","",IF(INDEX('_views'!$B:$ZZ,$X$20,3)="","",INDEX('_views'!$B:$ZZ,$X$20,3)))</f>
        <v/>
      </c>
      <c r="T16" s="128">
        <f>IF($X$20="","",IF(INDEX('_views'!$B:$ZZ,$X$20,4)="","",INDEX('_views'!$B:$ZZ,$X$20,4)))</f>
        <v/>
      </c>
      <c r="V16" s="5" t="n"/>
      <c r="X16">
        <f>IFERROR(MATCH("G|"&amp;$Y$15&amp;"|rows",'_views'!$A:$A,0),"")</f>
        <v/>
      </c>
      <c r="Y16">
        <f>IF($X$14="","",IF(INDEX('_views'!$B:$ZZ,$X$14,4)="","",INDEX('_views'!$B:$ZZ,$X$14,4)))</f>
        <v/>
      </c>
      <c r="AE16">
        <f>IF(IF($X$16="","",IF(INDEX('_views'!$B:$ZZ,$X$16,4)="","",INDEX('_views'!$B:$ZZ,$X$16,4)))="All","",IF($X$16="","",IF(INDEX('_views'!$B:$ZZ,$X$16,4)="","",INDEX('_views'!$B:$ZZ,$X$16,4))))</f>
        <v/>
      </c>
      <c r="AF16">
        <f>IF(IF($X$15="","",IF(INDEX('_views'!$B:$ZZ,$X$15,4)="","",INDEX('_views'!$B:$ZZ,$X$15,4)))="All","",IF($X$15="","",IF(INDEX('_views'!$B:$ZZ,$X$15,4)="","",INDEX('_views'!$B:$ZZ,$X$15,4))))</f>
        <v/>
      </c>
      <c r="AH16">
        <f>IF(OR($AH$13="",$AH$14=""),"",INDEX($N$18:$V$25,$AH$13,$AH$14))</f>
        <v/>
      </c>
    </row>
    <row r="17" ht="16" customHeight="1">
      <c r="B17" s="129">
        <f>IF($X$17="","",IF(INDEX('_views'!$B:$ZZ,$X$17,1)="","",INDEX('_views'!$B:$ZZ,$X$17,1)))</f>
        <v/>
      </c>
      <c r="C17" s="128">
        <f>IF($X$19="","",IF(INDEX('_views'!$B:$ZZ,$X$19,1)="","",INDEX('_views'!$B:$ZZ,$X$19,1)))</f>
        <v/>
      </c>
      <c r="D17" s="128">
        <f>IF($X$19="","",IF(INDEX('_views'!$B:$ZZ,$X$19,2)="","",INDEX('_views'!$B:$ZZ,$X$19,2)))</f>
        <v/>
      </c>
      <c r="E17" s="128">
        <f>IF($X$19="","",IF(INDEX('_views'!$B:$ZZ,$X$19,3)="","",INDEX('_views'!$B:$ZZ,$X$19,3)))</f>
        <v/>
      </c>
      <c r="F17" s="128">
        <f>IF($X$19="","",IF(INDEX('_views'!$B:$ZZ,$X$19,4)="","",INDEX('_views'!$B:$ZZ,$X$19,4)))</f>
        <v/>
      </c>
      <c r="G17" s="128">
        <f>IF($X$19="","",IF(INDEX('_views'!$B:$ZZ,$X$19,5)="","",INDEX('_views'!$B:$ZZ,$X$19,5)))</f>
        <v/>
      </c>
      <c r="H17" s="128">
        <f>IF($X$19="","",IF(INDEX('_views'!$B:$ZZ,$X$19,6)="","",INDEX('_views'!$B:$ZZ,$X$19,6)))</f>
        <v/>
      </c>
      <c r="I17" s="128">
        <f>IF($X$19="","",IF(INDEX('_views'!$B:$ZZ,$X$19,7)="","",INDEX('_views'!$B:$ZZ,$X$19,7)))</f>
        <v/>
      </c>
      <c r="J17" s="128">
        <f>IF($X$19="","",IF(INDEX('_views'!$B:$ZZ,$X$19,8)="","",INDEX('_views'!$B:$ZZ,$X$19,8)))</f>
        <v/>
      </c>
      <c r="K17" s="128">
        <f>IF($X$19="","",IF(INDEX('_views'!$B:$ZZ,$X$19,9)="","",INDEX('_views'!$B:$ZZ,$X$19,9)))</f>
        <v/>
      </c>
      <c r="M17" s="129">
        <f>IF($X$17="","",IF(INDEX('_views'!$B:$ZZ,$X$17,1)="","",INDEX('_views'!$B:$ZZ,$X$17,1)))</f>
        <v/>
      </c>
      <c r="N17" s="128">
        <f>IF($X$19="","",IF(INDEX('_views'!$B:$ZZ,$X$19,1)="","",INDEX('_views'!$B:$ZZ,$X$19,1)))</f>
        <v/>
      </c>
      <c r="O17" s="128">
        <f>IF($X$19="","",IF(INDEX('_views'!$B:$ZZ,$X$19,2)="","",INDEX('_views'!$B:$ZZ,$X$19,2)))</f>
        <v/>
      </c>
      <c r="P17" s="128">
        <f>IF($X$19="","",IF(INDEX('_views'!$B:$ZZ,$X$19,3)="","",INDEX('_views'!$B:$ZZ,$X$19,3)))</f>
        <v/>
      </c>
      <c r="Q17" s="128">
        <f>IF($X$19="","",IF(INDEX('_views'!$B:$ZZ,$X$19,4)="","",INDEX('_views'!$B:$ZZ,$X$19,4)))</f>
        <v/>
      </c>
      <c r="R17" s="128">
        <f>IF($X$19="","",IF(INDEX('_views'!$B:$ZZ,$X$19,5)="","",INDEX('_views'!$B:$ZZ,$X$19,5)))</f>
        <v/>
      </c>
      <c r="S17" s="128">
        <f>IF($X$19="","",IF(INDEX('_views'!$B:$ZZ,$X$19,6)="","",INDEX('_views'!$B:$ZZ,$X$19,6)))</f>
        <v/>
      </c>
      <c r="T17" s="128">
        <f>IF($X$19="","",IF(INDEX('_views'!$B:$ZZ,$X$19,7)="","",INDEX('_views'!$B:$ZZ,$X$19,7)))</f>
        <v/>
      </c>
      <c r="U17" s="128">
        <f>IF($X$19="","",IF(INDEX('_views'!$B:$ZZ,$X$19,8)="","",INDEX('_views'!$B:$ZZ,$X$19,8)))</f>
        <v/>
      </c>
      <c r="V17" s="128">
        <f>IF($X$19="","",IF(INDEX('_views'!$B:$ZZ,$X$19,9)="","",INDEX('_views'!$B:$ZZ,$X$19,9)))</f>
        <v/>
      </c>
      <c r="X17">
        <f>IFERROR(MATCH("G|"&amp;$Y$15&amp;"|names",'_views'!$A:$A,0),"")</f>
        <v/>
      </c>
      <c r="Y17">
        <f>IF($X$14="","",IF(INDEX('_views'!$B:$ZZ,$X$14,5)="","",INDEX('_views'!$B:$ZZ,$X$14,5)))</f>
        <v/>
      </c>
      <c r="AE17">
        <f>IF(IF($X$16="","",IF(INDEX('_views'!$B:$ZZ,$X$16,5)="","",INDEX('_views'!$B:$ZZ,$X$16,5)))="All","",IF($X$16="","",IF(INDEX('_views'!$B:$ZZ,$X$16,5)="","",INDEX('_views'!$B:$ZZ,$X$16,5))))</f>
        <v/>
      </c>
      <c r="AF17">
        <f>IF(IF($X$15="","",IF(INDEX('_views'!$B:$ZZ,$X$15,5)="","",INDEX('_views'!$B:$ZZ,$X$15,5)))="All","",IF($X$15="","",IF(INDEX('_views'!$B:$ZZ,$X$15,5)="","",INDEX('_views'!$B:$ZZ,$X$15,5))))</f>
        <v/>
      </c>
      <c r="AH17">
        <f>IF(OR($AH$13="",$AH$14=""),"",INDEX($C$30:$K$37,$AH$13,$AH$14))</f>
        <v/>
      </c>
    </row>
    <row r="18" ht="16" customHeight="1">
      <c r="B18" s="113">
        <f>IF($X$16="","",IF(INDEX('_views'!$B:$ZZ,$X$16,1)="","",INDEX('_views'!$B:$ZZ,$X$16,1)))</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IF($X$16="","",IF(INDEX('_views'!$B:$ZZ,$X$16,1)="","",INDEX('_views'!$B:$ZZ,$X$16,1)))</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IFERROR(MATCH("G|"&amp;$Y$15&amp;"|total",'_views'!$A:$A,0),"")</f>
        <v/>
      </c>
      <c r="Z18">
        <f>IFERROR(MATCH("G|"&amp;$Y$15&amp;"|"&amp;$X$13&amp;"|rate|1",'_views'!$A:$A,0),"")</f>
        <v/>
      </c>
      <c r="AA18">
        <f>IFERROR(MATCH("G|"&amp;$Y$15&amp;"|"&amp;$X$13&amp;"|book|1",'_views'!$A:$A,0),"")</f>
        <v/>
      </c>
      <c r="AE18">
        <f>IF(IF($X$16="","",IF(INDEX('_views'!$B:$ZZ,$X$16,6)="","",INDEX('_views'!$B:$ZZ,$X$16,6)))="All","",IF($X$16="","",IF(INDEX('_views'!$B:$ZZ,$X$16,6)="","",INDEX('_views'!$B:$ZZ,$X$16,6))))</f>
        <v/>
      </c>
      <c r="AF18">
        <f>IF(IF($X$15="","",IF(INDEX('_views'!$B:$ZZ,$X$15,6)="","",INDEX('_views'!$B:$ZZ,$X$15,6)))="All","",IF($X$15="","",IF(INDEX('_views'!$B:$ZZ,$X$15,6)="","",INDEX('_views'!$B:$ZZ,$X$15,6))))</f>
        <v/>
      </c>
      <c r="AH18">
        <f>IF(OR($AH$13="",$AH$14=""),"",INDEX($N$30:$V$37,$AH$13,$AH$14))</f>
        <v/>
      </c>
    </row>
    <row r="19" ht="16" customHeight="1">
      <c r="B19" s="113">
        <f>IF($X$16="","",IF(INDEX('_views'!$B:$ZZ,$X$16,2)="","",INDEX('_views'!$B:$ZZ,$X$16,2)))</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IF($X$16="","",IF(INDEX('_views'!$B:$ZZ,$X$16,2)="","",INDEX('_views'!$B:$ZZ,$X$16,2)))</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X19">
        <f>IFERROR(MATCH("G|"&amp;$Y$15&amp;"|heads",'_views'!$A:$A,0),"")</f>
        <v/>
      </c>
      <c r="Z19">
        <f>IFERROR(MATCH("G|"&amp;$Y$15&amp;"|"&amp;$X$13&amp;"|rate|2",'_views'!$A:$A,0),"")</f>
        <v/>
      </c>
      <c r="AA19">
        <f>IFERROR(MATCH("G|"&amp;$Y$15&amp;"|"&amp;$X$13&amp;"|book|2",'_views'!$A:$A,0),"")</f>
        <v/>
      </c>
      <c r="AE19">
        <f>IF(IF($X$16="","",IF(INDEX('_views'!$B:$ZZ,$X$16,7)="","",INDEX('_views'!$B:$ZZ,$X$16,7)))="All","",IF($X$16="","",IF(INDEX('_views'!$B:$ZZ,$X$16,7)="","",INDEX('_views'!$B:$ZZ,$X$16,7))))</f>
        <v/>
      </c>
      <c r="AF19">
        <f>IF(IF($X$15="","",IF(INDEX('_views'!$B:$ZZ,$X$15,7)="","",INDEX('_views'!$B:$ZZ,$X$15,7)))="All","",IF($X$15="","",IF(INDEX('_views'!$B:$ZZ,$X$15,7)="","",INDEX('_views'!$B:$ZZ,$X$15,7))))</f>
        <v/>
      </c>
      <c r="AH19">
        <f>IF($AH$13="","",INDEX($N$30:$V$37,$AH$13,$AG$14+1))</f>
        <v/>
      </c>
    </row>
    <row r="20" ht="16" customHeight="1">
      <c r="B20" s="113">
        <f>IF($X$16="","",IF(INDEX('_views'!$B:$ZZ,$X$16,3)="","",INDEX('_views'!$B:$ZZ,$X$16,3)))</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IF($X$16="","",IF(INDEX('_views'!$B:$ZZ,$X$16,3)="","",INDEX('_views'!$B:$ZZ,$X$16,3)))</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X20">
        <f>IFERROR(MATCH("G|"&amp;$Y$15&amp;"|segs",'_views'!$A:$A,0),"")</f>
        <v/>
      </c>
      <c r="Z20">
        <f>IFERROR(MATCH("G|"&amp;$Y$15&amp;"|"&amp;$X$13&amp;"|rate|3",'_views'!$A:$A,0),"")</f>
        <v/>
      </c>
      <c r="AA20">
        <f>IFERROR(MATCH("G|"&amp;$Y$15&amp;"|"&amp;$X$13&amp;"|book|3",'_views'!$A:$A,0),"")</f>
        <v/>
      </c>
      <c r="AF20">
        <f>IF(IF($X$15="","",IF(INDEX('_views'!$B:$ZZ,$X$15,8)="","",INDEX('_views'!$B:$ZZ,$X$15,8)))="All","",IF($X$15="","",IF(INDEX('_views'!$B:$ZZ,$X$15,8)="","",INDEX('_views'!$B:$ZZ,$X$15,8))))</f>
        <v/>
      </c>
      <c r="AH20">
        <f>IF(OR($AH$13="",$AH$14=""),"",COUNT(OFFSET($N$30,$AH$13-1,0,1,$AG$14))-IF(ISNUMBER($AH$18),1,0))</f>
        <v/>
      </c>
    </row>
    <row r="21" ht="16" customHeight="1">
      <c r="B21" s="113">
        <f>IF($X$16="","",IF(INDEX('_views'!$B:$ZZ,$X$16,4)="","",INDEX('_views'!$B:$ZZ,$X$16,4)))</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IF($X$16="","",IF(INDEX('_views'!$B:$ZZ,$X$16,4)="","",INDEX('_views'!$B:$ZZ,$X$16,4)))</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IFERROR(MATCH("G|"&amp;$Y$15&amp;"|"&amp;$X$13&amp;"|rate|4",'_views'!$A:$A,0),"")</f>
        <v/>
      </c>
      <c r="AA21">
        <f>IFERROR(MATCH("G|"&amp;$Y$15&amp;"|"&amp;$X$13&amp;"|book|4",'_views'!$A:$A,0),"")</f>
        <v/>
      </c>
      <c r="AH21">
        <f>IFERROR(MID(IF(AND(1&lt;&gt;$AH$14,1&lt;=$AG$14,ISNUMBER(INDEX($N$30:$V$37,$AH$13,1))),", "&amp;IF($X$15="","",IF(INDEX('_views'!$B:$ZZ,$X$15,1)="","",INDEX('_views'!$B:$ZZ,$X$15,1))),"")&amp;IF(AND(2&lt;&gt;$AH$14,2&lt;=$AG$14,ISNUMBER(INDEX($N$30:$V$37,$AH$13,2))),", "&amp;IF($X$15="","",IF(INDEX('_views'!$B:$ZZ,$X$15,2)="","",INDEX('_views'!$B:$ZZ,$X$15,2))),"")&amp;IF(AND(3&lt;&gt;$AH$14,3&lt;=$AG$14,ISNUMBER(INDEX($N$30:$V$37,$AH$13,3))),", "&amp;IF($X$15="","",IF(INDEX('_views'!$B:$ZZ,$X$15,3)="","",INDEX('_views'!$B:$ZZ,$X$15,3))),"")&amp;IF(AND(4&lt;&gt;$AH$14,4&lt;=$AG$14,ISNUMBER(INDEX($N$30:$V$37,$AH$13,4))),", "&amp;IF($X$15="","",IF(INDEX('_views'!$B:$ZZ,$X$15,4)="","",INDEX('_views'!$B:$ZZ,$X$15,4))),"")&amp;IF(AND(5&lt;&gt;$AH$14,5&lt;=$AG$14,ISNUMBER(INDEX($N$30:$V$37,$AH$13,5))),", "&amp;IF($X$15="","",IF(INDEX('_views'!$B:$ZZ,$X$15,5)="","",INDEX('_views'!$B:$ZZ,$X$15,5))),"")&amp;IF(AND(6&lt;&gt;$AH$14,6&lt;=$AG$14,ISNUMBER(INDEX($N$30:$V$37,$AH$13,6))),", "&amp;IF($X$15="","",IF(INDEX('_views'!$B:$ZZ,$X$15,6)="","",INDEX('_views'!$B:$ZZ,$X$15,6))),"")&amp;IF(AND(7&lt;&gt;$AH$14,7&lt;=$AG$14,ISNUMBER(INDEX($N$30:$V$37,$AH$13,7))),", "&amp;IF($X$15="","",IF(INDEX('_views'!$B:$ZZ,$X$15,7)="","",INDEX('_views'!$B:$ZZ,$X$15,7))),"")&amp;IF(AND(8&lt;&gt;$AH$14,8&lt;=$AG$14,ISNUMBER(INDEX($N$30:$V$37,$AH$13,8))),", "&amp;IF($X$15="","",IF(INDEX('_views'!$B:$ZZ,$X$15,8)="","",INDEX('_views'!$B:$ZZ,$X$15,8))),"")&amp;IF(AND(9&lt;&gt;$AH$14,9&lt;=$AG$14,ISNUMBER(INDEX($N$30:$V$37,$AH$13,9))),", "&amp;IF($X$15="","",IF(INDEX('_views'!$B:$ZZ,$X$15,9)="","",INDEX('_views'!$B:$ZZ,$X$15,9))),""),3,999),"")</f>
        <v/>
      </c>
    </row>
    <row r="22" ht="16" customHeight="1">
      <c r="B22" s="113">
        <f>IF($X$16="","",IF(INDEX('_views'!$B:$ZZ,$X$16,5)="","",INDEX('_views'!$B:$ZZ,$X$16,5)))</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IF($X$16="","",IF(INDEX('_views'!$B:$ZZ,$X$16,5)="","",INDEX('_views'!$B:$ZZ,$X$16,5)))</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IFERROR(MATCH("G|"&amp;$Y$15&amp;"|"&amp;$X$13&amp;"|rate|5",'_views'!$A:$A,0),"")</f>
        <v/>
      </c>
      <c r="AA22">
        <f>IFERROR(MATCH("G|"&amp;$Y$15&amp;"|"&amp;$X$13&amp;"|book|5",'_views'!$A:$A,0),"")</f>
        <v/>
      </c>
      <c r="AH22">
        <f>IFERROR(INDEX('_choices'!$K$2:$K$7,MATCH($F$13,'_choices'!$I$2:$I$7,0)),"")</f>
        <v/>
      </c>
    </row>
    <row r="23" ht="16" customHeight="1">
      <c r="B23" s="113">
        <f>IF($X$16="","",IF(INDEX('_views'!$B:$ZZ,$X$16,6)="","",INDEX('_views'!$B:$ZZ,$X$16,6)))</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IF($X$16="","",IF(INDEX('_views'!$B:$ZZ,$X$16,6)="","",INDEX('_views'!$B:$ZZ,$X$16,6)))</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IFERROR(MATCH("G|"&amp;$Y$15&amp;"|"&amp;$X$13&amp;"|rate|6",'_views'!$A:$A,0),"")</f>
        <v/>
      </c>
      <c r="AA23">
        <f>IFERROR(MATCH("G|"&amp;$Y$15&amp;"|"&amp;$X$13&amp;"|book|6",'_views'!$A:$A,0),"")</f>
        <v/>
      </c>
      <c r="AH23">
        <f>IFERROR(INDEX('_choices'!$L$2:$L$7,MATCH($F$13,'_choices'!$I$2:$I$7,0)),"")</f>
        <v/>
      </c>
    </row>
    <row r="24" ht="16" customHeight="1">
      <c r="B24" s="113">
        <f>IF($X$16="","",IF(INDEX('_views'!$B:$ZZ,$X$16,7)="","",INDEX('_views'!$B:$ZZ,$X$16,7)))</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IF($X$16="","",IF(INDEX('_views'!$B:$ZZ,$X$16,7)="","",INDEX('_views'!$B:$ZZ,$X$16,7)))</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IFERROR(MATCH("G|"&amp;$Y$15&amp;"|"&amp;$X$13&amp;"|rate|7",'_views'!$A:$A,0),"")</f>
        <v/>
      </c>
      <c r="AA24">
        <f>IFERROR(MATCH("G|"&amp;$Y$15&amp;"|"&amp;$X$13&amp;"|book|7",'_views'!$A:$A,0),"")</f>
        <v/>
      </c>
      <c r="AH24">
        <f>IF($X$14="","",IF(INDEX('_views'!$B:$ZZ,$X$14,3)="","",INDEX('_views'!$B:$ZZ,$X$14,3)))</f>
        <v/>
      </c>
    </row>
    <row r="25" ht="16" customHeight="1">
      <c r="B25" s="113">
        <f>IF($X$16="","",IF(INDEX('_views'!$B:$ZZ,$X$16,8)="","",INDEX('_views'!$B:$ZZ,$X$16,8)))</f>
        <v/>
      </c>
      <c r="C25" s="115">
        <f>IF($Z25="","",IF(INDEX('_views'!$B:$ZZ,$Z25,1)="","",INDEX('_views'!$B:$ZZ,$Z25,1)))</f>
        <v/>
      </c>
      <c r="D25" s="115">
        <f>IF($Z25="","",IF(INDEX('_views'!$B:$ZZ,$Z25,2)="","",INDEX('_views'!$B:$ZZ,$Z25,2)))</f>
        <v/>
      </c>
      <c r="E25" s="115">
        <f>IF($Z25="","",IF(INDEX('_views'!$B:$ZZ,$Z25,3)="","",INDEX('_views'!$B:$ZZ,$Z25,3)))</f>
        <v/>
      </c>
      <c r="F25" s="115">
        <f>IF($Z25="","",IF(INDEX('_views'!$B:$ZZ,$Z25,4)="","",INDEX('_views'!$B:$ZZ,$Z25,4)))</f>
        <v/>
      </c>
      <c r="G25" s="115">
        <f>IF($Z25="","",IF(INDEX('_views'!$B:$ZZ,$Z25,5)="","",INDEX('_views'!$B:$ZZ,$Z25,5)))</f>
        <v/>
      </c>
      <c r="H25" s="115">
        <f>IF($Z25="","",IF(INDEX('_views'!$B:$ZZ,$Z25,6)="","",INDEX('_views'!$B:$ZZ,$Z25,6)))</f>
        <v/>
      </c>
      <c r="I25" s="115">
        <f>IF($Z25="","",IF(INDEX('_views'!$B:$ZZ,$Z25,7)="","",INDEX('_views'!$B:$ZZ,$Z25,7)))</f>
        <v/>
      </c>
      <c r="J25" s="115">
        <f>IF($Z25="","",IF(INDEX('_views'!$B:$ZZ,$Z25,8)="","",INDEX('_views'!$B:$ZZ,$Z25,8)))</f>
        <v/>
      </c>
      <c r="K25" s="115">
        <f>IF($Z25="","",IF(INDEX('_views'!$B:$ZZ,$Z25,9)="","",INDEX('_views'!$B:$ZZ,$Z25,9)))</f>
        <v/>
      </c>
      <c r="M25" s="113">
        <f>IF($X$16="","",IF(INDEX('_views'!$B:$ZZ,$X$16,8)="","",INDEX('_views'!$B:$ZZ,$X$16,8)))</f>
        <v/>
      </c>
      <c r="N25" s="116">
        <f>IF($AA25="","",IF(INDEX('_views'!$B:$ZZ,$AA25,1)="","",INDEX('_views'!$B:$ZZ,$AA25,1)))</f>
        <v/>
      </c>
      <c r="O25" s="116">
        <f>IF($AA25="","",IF(INDEX('_views'!$B:$ZZ,$AA25,2)="","",INDEX('_views'!$B:$ZZ,$AA25,2)))</f>
        <v/>
      </c>
      <c r="P25" s="116">
        <f>IF($AA25="","",IF(INDEX('_views'!$B:$ZZ,$AA25,3)="","",INDEX('_views'!$B:$ZZ,$AA25,3)))</f>
        <v/>
      </c>
      <c r="Q25" s="116">
        <f>IF($AA25="","",IF(INDEX('_views'!$B:$ZZ,$AA25,4)="","",INDEX('_views'!$B:$ZZ,$AA25,4)))</f>
        <v/>
      </c>
      <c r="R25" s="116">
        <f>IF($AA25="","",IF(INDEX('_views'!$B:$ZZ,$AA25,5)="","",INDEX('_views'!$B:$ZZ,$AA25,5)))</f>
        <v/>
      </c>
      <c r="S25" s="116">
        <f>IF($AA25="","",IF(INDEX('_views'!$B:$ZZ,$AA25,6)="","",INDEX('_views'!$B:$ZZ,$AA25,6)))</f>
        <v/>
      </c>
      <c r="T25" s="116">
        <f>IF($AA25="","",IF(INDEX('_views'!$B:$ZZ,$AA25,7)="","",INDEX('_views'!$B:$ZZ,$AA25,7)))</f>
        <v/>
      </c>
      <c r="U25" s="116">
        <f>IF($AA25="","",IF(INDEX('_views'!$B:$ZZ,$AA25,8)="","",INDEX('_views'!$B:$ZZ,$AA25,8)))</f>
        <v/>
      </c>
      <c r="V25" s="116">
        <f>IF($AA25="","",IF(INDEX('_views'!$B:$ZZ,$AA25,9)="","",INDEX('_views'!$B:$ZZ,$AA25,9)))</f>
        <v/>
      </c>
      <c r="Z25">
        <f>IFERROR(MATCH("G|"&amp;$Y$15&amp;"|"&amp;$X$13&amp;"|rate|8",'_views'!$A:$A,0),"")</f>
        <v/>
      </c>
      <c r="AA25">
        <f>IFERROR(MATCH("G|"&amp;$Y$15&amp;"|"&amp;$X$13&amp;"|book|8",'_views'!$A:$A,0),"")</f>
        <v/>
      </c>
      <c r="AH25">
        <f>IF(OR(OR($AH$13="",$AH$14=""),$Y$13&lt;&gt;"size"),"",IF((IFERROR(MATCH("G|"&amp;$Y$15&amp;"|"&amp;$X$13&amp;"|median|"&amp;$AH$13,'_views'!$A:$A,0),""))="","",IF(INDEX('_views'!$B:$ZZ,(IFERROR(MATCH("G|"&amp;$Y$15&amp;"|"&amp;$X$13&amp;"|median|"&amp;$AH$13,'_views'!$A:$A,0),"")),$AH$14)="","",INDEX('_views'!$B:$ZZ,(IFERROR(MATCH("G|"&amp;$Y$15&amp;"|"&amp;$X$13&amp;"|median|"&amp;$AH$13,'_views'!$A:$A,0),"")),$AH$14))))</f>
        <v/>
      </c>
    </row>
    <row r="26">
      <c r="AH26">
        <f>AND(ISNUMBER($AH$18),ISNUMBER($Y$17),$AH$18&lt;$Y$17)</f>
        <v/>
      </c>
    </row>
    <row r="27" ht="20" customHeight="1">
      <c r="B27" s="127" t="inlineStr">
        <is>
          <t>vs rest of band</t>
        </is>
      </c>
      <c r="C27" s="26" t="n"/>
      <c r="D27" s="26" t="n"/>
      <c r="E27" s="26" t="n"/>
      <c r="F27" s="26" t="n"/>
      <c r="G27" s="26" t="n"/>
      <c r="H27" s="26" t="n"/>
      <c r="I27" s="26" t="n"/>
      <c r="J27" s="26" t="n"/>
      <c r="K27" s="26" t="n"/>
      <c r="M27" s="127" t="inlineStr">
        <is>
          <t>Loans</t>
        </is>
      </c>
      <c r="N27" s="26" t="n"/>
      <c r="O27" s="26" t="n"/>
      <c r="P27" s="26" t="n"/>
      <c r="Q27" s="26" t="n"/>
      <c r="R27" s="26" t="n"/>
      <c r="S27" s="26" t="n"/>
      <c r="T27" s="26" t="n"/>
      <c r="U27" s="26" t="n"/>
      <c r="V27" s="26" t="n"/>
    </row>
    <row r="28" ht="16" customHeight="1">
      <c r="B28" s="5" t="n"/>
      <c r="C28" s="128">
        <f>IF($X$20="","",IF(INDEX('_views'!$B:$ZZ,$X$20,1)="","",INDEX('_views'!$B:$ZZ,$X$20,1)))</f>
        <v/>
      </c>
      <c r="E28" s="128">
        <f>IF($X$20="","",IF(INDEX('_views'!$B:$ZZ,$X$20,2)="","",INDEX('_views'!$B:$ZZ,$X$20,2)))</f>
        <v/>
      </c>
      <c r="G28" s="128">
        <f>IF($X$20="","",IF(INDEX('_views'!$B:$ZZ,$X$20,3)="","",INDEX('_views'!$B:$ZZ,$X$20,3)))</f>
        <v/>
      </c>
      <c r="I28" s="128">
        <f>IF($X$20="","",IF(INDEX('_views'!$B:$ZZ,$X$20,4)="","",INDEX('_views'!$B:$ZZ,$X$20,4)))</f>
        <v/>
      </c>
      <c r="K28" s="5" t="n"/>
      <c r="M28" s="5" t="n"/>
      <c r="N28" s="128">
        <f>IF($X$20="","",IF(INDEX('_views'!$B:$ZZ,$X$20,1)="","",INDEX('_views'!$B:$ZZ,$X$20,1)))</f>
        <v/>
      </c>
      <c r="P28" s="128">
        <f>IF($X$20="","",IF(INDEX('_views'!$B:$ZZ,$X$20,2)="","",INDEX('_views'!$B:$ZZ,$X$20,2)))</f>
        <v/>
      </c>
      <c r="R28" s="128">
        <f>IF($X$20="","",IF(INDEX('_views'!$B:$ZZ,$X$20,3)="","",INDEX('_views'!$B:$ZZ,$X$20,3)))</f>
        <v/>
      </c>
      <c r="T28" s="128">
        <f>IF($X$20="","",IF(INDEX('_views'!$B:$ZZ,$X$20,4)="","",INDEX('_views'!$B:$ZZ,$X$20,4)))</f>
        <v/>
      </c>
      <c r="V28" s="5" t="n"/>
    </row>
    <row r="29" ht="16" customHeight="1">
      <c r="B29" s="129">
        <f>IF($X$17="","",IF(INDEX('_views'!$B:$ZZ,$X$17,1)="","",INDEX('_views'!$B:$ZZ,$X$17,1)))</f>
        <v/>
      </c>
      <c r="C29" s="128">
        <f>IF($X$19="","",IF(INDEX('_views'!$B:$ZZ,$X$19,1)="","",INDEX('_views'!$B:$ZZ,$X$19,1)))</f>
        <v/>
      </c>
      <c r="D29" s="128">
        <f>IF($X$19="","",IF(INDEX('_views'!$B:$ZZ,$X$19,2)="","",INDEX('_views'!$B:$ZZ,$X$19,2)))</f>
        <v/>
      </c>
      <c r="E29" s="128">
        <f>IF($X$19="","",IF(INDEX('_views'!$B:$ZZ,$X$19,3)="","",INDEX('_views'!$B:$ZZ,$X$19,3)))</f>
        <v/>
      </c>
      <c r="F29" s="128">
        <f>IF($X$19="","",IF(INDEX('_views'!$B:$ZZ,$X$19,4)="","",INDEX('_views'!$B:$ZZ,$X$19,4)))</f>
        <v/>
      </c>
      <c r="G29" s="128">
        <f>IF($X$19="","",IF(INDEX('_views'!$B:$ZZ,$X$19,5)="","",INDEX('_views'!$B:$ZZ,$X$19,5)))</f>
        <v/>
      </c>
      <c r="H29" s="128">
        <f>IF($X$19="","",IF(INDEX('_views'!$B:$ZZ,$X$19,6)="","",INDEX('_views'!$B:$ZZ,$X$19,6)))</f>
        <v/>
      </c>
      <c r="I29" s="128">
        <f>IF($X$19="","",IF(INDEX('_views'!$B:$ZZ,$X$19,7)="","",INDEX('_views'!$B:$ZZ,$X$19,7)))</f>
        <v/>
      </c>
      <c r="J29" s="128">
        <f>IF($X$19="","",IF(INDEX('_views'!$B:$ZZ,$X$19,8)="","",INDEX('_views'!$B:$ZZ,$X$19,8)))</f>
        <v/>
      </c>
      <c r="K29" s="128">
        <f>IF($X$19="","",IF(INDEX('_views'!$B:$ZZ,$X$19,9)="","",INDEX('_views'!$B:$ZZ,$X$19,9)))</f>
        <v/>
      </c>
      <c r="M29" s="129">
        <f>IF($X$17="","",IF(INDEX('_views'!$B:$ZZ,$X$17,1)="","",INDEX('_views'!$B:$ZZ,$X$17,1)))</f>
        <v/>
      </c>
      <c r="N29" s="128">
        <f>IF($X$19="","",IF(INDEX('_views'!$B:$ZZ,$X$19,1)="","",INDEX('_views'!$B:$ZZ,$X$19,1)))</f>
        <v/>
      </c>
      <c r="O29" s="128">
        <f>IF($X$19="","",IF(INDEX('_views'!$B:$ZZ,$X$19,2)="","",INDEX('_views'!$B:$ZZ,$X$19,2)))</f>
        <v/>
      </c>
      <c r="P29" s="128">
        <f>IF($X$19="","",IF(INDEX('_views'!$B:$ZZ,$X$19,3)="","",INDEX('_views'!$B:$ZZ,$X$19,3)))</f>
        <v/>
      </c>
      <c r="Q29" s="128">
        <f>IF($X$19="","",IF(INDEX('_views'!$B:$ZZ,$X$19,4)="","",INDEX('_views'!$B:$ZZ,$X$19,4)))</f>
        <v/>
      </c>
      <c r="R29" s="128">
        <f>IF($X$19="","",IF(INDEX('_views'!$B:$ZZ,$X$19,5)="","",INDEX('_views'!$B:$ZZ,$X$19,5)))</f>
        <v/>
      </c>
      <c r="S29" s="128">
        <f>IF($X$19="","",IF(INDEX('_views'!$B:$ZZ,$X$19,6)="","",INDEX('_views'!$B:$ZZ,$X$19,6)))</f>
        <v/>
      </c>
      <c r="T29" s="128">
        <f>IF($X$19="","",IF(INDEX('_views'!$B:$ZZ,$X$19,7)="","",INDEX('_views'!$B:$ZZ,$X$19,7)))</f>
        <v/>
      </c>
      <c r="U29" s="128">
        <f>IF($X$19="","",IF(INDEX('_views'!$B:$ZZ,$X$19,8)="","",INDEX('_views'!$B:$ZZ,$X$19,8)))</f>
        <v/>
      </c>
      <c r="V29" s="128">
        <f>IF($X$19="","",IF(INDEX('_views'!$B:$ZZ,$X$19,9)="","",INDEX('_views'!$B:$ZZ,$X$19,9)))</f>
        <v/>
      </c>
    </row>
    <row r="30" ht="16" customHeight="1">
      <c r="B30" s="113">
        <f>IF($X$16="","",IF(INDEX('_views'!$B:$ZZ,$X$16,1)="","",INDEX('_views'!$B:$ZZ,$X$16,1)))</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IF($X$16="","",IF(INDEX('_views'!$B:$ZZ,$X$16,1)="","",INDEX('_views'!$B:$ZZ,$X$16,1)))</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IFERROR(MATCH("G|"&amp;$Y$15&amp;"|"&amp;$X$13&amp;"|band|1",'_views'!$A:$A,0),"")</f>
        <v/>
      </c>
      <c r="AA30">
        <f>IFERROR(MATCH("G|"&amp;$Y$15&amp;"|loans|1",'_views'!$A:$A,0),"")</f>
        <v/>
      </c>
    </row>
    <row r="31" ht="16" customHeight="1">
      <c r="B31" s="113">
        <f>IF($X$16="","",IF(INDEX('_views'!$B:$ZZ,$X$16,2)="","",INDEX('_views'!$B:$ZZ,$X$16,2)))</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IF($X$16="","",IF(INDEX('_views'!$B:$ZZ,$X$16,2)="","",INDEX('_views'!$B:$ZZ,$X$16,2)))</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IFERROR(MATCH("G|"&amp;$Y$15&amp;"|"&amp;$X$13&amp;"|band|2",'_views'!$A:$A,0),"")</f>
        <v/>
      </c>
      <c r="AA31">
        <f>IFERROR(MATCH("G|"&amp;$Y$15&amp;"|loans|2",'_views'!$A:$A,0),"")</f>
        <v/>
      </c>
    </row>
    <row r="32" ht="16" customHeight="1">
      <c r="B32" s="113">
        <f>IF($X$16="","",IF(INDEX('_views'!$B:$ZZ,$X$16,3)="","",INDEX('_views'!$B:$ZZ,$X$16,3)))</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IF($X$16="","",IF(INDEX('_views'!$B:$ZZ,$X$16,3)="","",INDEX('_views'!$B:$ZZ,$X$16,3)))</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IFERROR(MATCH("G|"&amp;$Y$15&amp;"|"&amp;$X$13&amp;"|band|3",'_views'!$A:$A,0),"")</f>
        <v/>
      </c>
      <c r="AA32">
        <f>IFERROR(MATCH("G|"&amp;$Y$15&amp;"|loans|3",'_views'!$A:$A,0),"")</f>
        <v/>
      </c>
    </row>
    <row r="33" ht="16" customHeight="1">
      <c r="B33" s="113">
        <f>IF($X$16="","",IF(INDEX('_views'!$B:$ZZ,$X$16,4)="","",INDEX('_views'!$B:$ZZ,$X$16,4)))</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IF($X$16="","",IF(INDEX('_views'!$B:$ZZ,$X$16,4)="","",INDEX('_views'!$B:$ZZ,$X$16,4)))</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IFERROR(MATCH("G|"&amp;$Y$15&amp;"|"&amp;$X$13&amp;"|band|4",'_views'!$A:$A,0),"")</f>
        <v/>
      </c>
      <c r="AA33">
        <f>IFERROR(MATCH("G|"&amp;$Y$15&amp;"|loans|4",'_views'!$A:$A,0),"")</f>
        <v/>
      </c>
    </row>
    <row r="34" ht="16" customHeight="1">
      <c r="B34" s="113">
        <f>IF($X$16="","",IF(INDEX('_views'!$B:$ZZ,$X$16,5)="","",INDEX('_views'!$B:$ZZ,$X$16,5)))</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IF($X$16="","",IF(INDEX('_views'!$B:$ZZ,$X$16,5)="","",INDEX('_views'!$B:$ZZ,$X$16,5)))</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IFERROR(MATCH("G|"&amp;$Y$15&amp;"|"&amp;$X$13&amp;"|band|5",'_views'!$A:$A,0),"")</f>
        <v/>
      </c>
      <c r="AA34">
        <f>IFERROR(MATCH("G|"&amp;$Y$15&amp;"|loans|5",'_views'!$A:$A,0),"")</f>
        <v/>
      </c>
    </row>
    <row r="35" ht="16" customHeight="1">
      <c r="B35" s="113">
        <f>IF($X$16="","",IF(INDEX('_views'!$B:$ZZ,$X$16,6)="","",INDEX('_views'!$B:$ZZ,$X$16,6)))</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IF($X$16="","",IF(INDEX('_views'!$B:$ZZ,$X$16,6)="","",INDEX('_views'!$B:$ZZ,$X$16,6)))</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IFERROR(MATCH("G|"&amp;$Y$15&amp;"|"&amp;$X$13&amp;"|band|6",'_views'!$A:$A,0),"")</f>
        <v/>
      </c>
      <c r="AA35">
        <f>IFERROR(MATCH("G|"&amp;$Y$15&amp;"|loans|6",'_views'!$A:$A,0),"")</f>
        <v/>
      </c>
    </row>
    <row r="36" ht="16" customHeight="1">
      <c r="B36" s="113">
        <f>IF($X$16="","",IF(INDEX('_views'!$B:$ZZ,$X$16,7)="","",INDEX('_views'!$B:$ZZ,$X$16,7)))</f>
        <v/>
      </c>
      <c r="C36" s="116">
        <f>IF($Z36="","",IF(INDEX('_views'!$B:$ZZ,$Z36,1)="","",INDEX('_views'!$B:$ZZ,$Z36,1)))</f>
        <v/>
      </c>
      <c r="D36" s="116">
        <f>IF($Z36="","",IF(INDEX('_views'!$B:$ZZ,$Z36,2)="","",INDEX('_views'!$B:$ZZ,$Z36,2)))</f>
        <v/>
      </c>
      <c r="E36" s="116">
        <f>IF($Z36="","",IF(INDEX('_views'!$B:$ZZ,$Z36,3)="","",INDEX('_views'!$B:$ZZ,$Z36,3)))</f>
        <v/>
      </c>
      <c r="F36" s="116">
        <f>IF($Z36="","",IF(INDEX('_views'!$B:$ZZ,$Z36,4)="","",INDEX('_views'!$B:$ZZ,$Z36,4)))</f>
        <v/>
      </c>
      <c r="G36" s="116">
        <f>IF($Z36="","",IF(INDEX('_views'!$B:$ZZ,$Z36,5)="","",INDEX('_views'!$B:$ZZ,$Z36,5)))</f>
        <v/>
      </c>
      <c r="H36" s="116">
        <f>IF($Z36="","",IF(INDEX('_views'!$B:$ZZ,$Z36,6)="","",INDEX('_views'!$B:$ZZ,$Z36,6)))</f>
        <v/>
      </c>
      <c r="I36" s="116">
        <f>IF($Z36="","",IF(INDEX('_views'!$B:$ZZ,$Z36,7)="","",INDEX('_views'!$B:$ZZ,$Z36,7)))</f>
        <v/>
      </c>
      <c r="J36" s="116">
        <f>IF($Z36="","",IF(INDEX('_views'!$B:$ZZ,$Z36,8)="","",INDEX('_views'!$B:$ZZ,$Z36,8)))</f>
        <v/>
      </c>
      <c r="K36" s="116">
        <f>IF($Z36="","",IF(INDEX('_views'!$B:$ZZ,$Z36,9)="","",INDEX('_views'!$B:$ZZ,$Z36,9)))</f>
        <v/>
      </c>
      <c r="M36" s="113">
        <f>IF($X$16="","",IF(INDEX('_views'!$B:$ZZ,$X$16,7)="","",INDEX('_views'!$B:$ZZ,$X$16,7)))</f>
        <v/>
      </c>
      <c r="N36" s="114">
        <f>IF($AA36="","",IF(INDEX('_views'!$B:$ZZ,$AA36,1)="","",INDEX('_views'!$B:$ZZ,$AA36,1)))</f>
        <v/>
      </c>
      <c r="O36" s="114">
        <f>IF($AA36="","",IF(INDEX('_views'!$B:$ZZ,$AA36,2)="","",INDEX('_views'!$B:$ZZ,$AA36,2)))</f>
        <v/>
      </c>
      <c r="P36" s="114">
        <f>IF($AA36="","",IF(INDEX('_views'!$B:$ZZ,$AA36,3)="","",INDEX('_views'!$B:$ZZ,$AA36,3)))</f>
        <v/>
      </c>
      <c r="Q36" s="114">
        <f>IF($AA36="","",IF(INDEX('_views'!$B:$ZZ,$AA36,4)="","",INDEX('_views'!$B:$ZZ,$AA36,4)))</f>
        <v/>
      </c>
      <c r="R36" s="114">
        <f>IF($AA36="","",IF(INDEX('_views'!$B:$ZZ,$AA36,5)="","",INDEX('_views'!$B:$ZZ,$AA36,5)))</f>
        <v/>
      </c>
      <c r="S36" s="114">
        <f>IF($AA36="","",IF(INDEX('_views'!$B:$ZZ,$AA36,6)="","",INDEX('_views'!$B:$ZZ,$AA36,6)))</f>
        <v/>
      </c>
      <c r="T36" s="114">
        <f>IF($AA36="","",IF(INDEX('_views'!$B:$ZZ,$AA36,7)="","",INDEX('_views'!$B:$ZZ,$AA36,7)))</f>
        <v/>
      </c>
      <c r="U36" s="114">
        <f>IF($AA36="","",IF(INDEX('_views'!$B:$ZZ,$AA36,8)="","",INDEX('_views'!$B:$ZZ,$AA36,8)))</f>
        <v/>
      </c>
      <c r="V36" s="114">
        <f>IF($AA36="","",IF(INDEX('_views'!$B:$ZZ,$AA36,9)="","",INDEX('_views'!$B:$ZZ,$AA36,9)))</f>
        <v/>
      </c>
      <c r="Z36">
        <f>IFERROR(MATCH("G|"&amp;$Y$15&amp;"|"&amp;$X$13&amp;"|band|7",'_views'!$A:$A,0),"")</f>
        <v/>
      </c>
      <c r="AA36">
        <f>IFERROR(MATCH("G|"&amp;$Y$15&amp;"|loans|7",'_views'!$A:$A,0),"")</f>
        <v/>
      </c>
    </row>
    <row r="37" ht="16" customHeight="1">
      <c r="B37" s="113">
        <f>IF($X$16="","",IF(INDEX('_views'!$B:$ZZ,$X$16,8)="","",INDEX('_views'!$B:$ZZ,$X$16,8)))</f>
        <v/>
      </c>
      <c r="C37" s="116">
        <f>IF($Z37="","",IF(INDEX('_views'!$B:$ZZ,$Z37,1)="","",INDEX('_views'!$B:$ZZ,$Z37,1)))</f>
        <v/>
      </c>
      <c r="D37" s="116">
        <f>IF($Z37="","",IF(INDEX('_views'!$B:$ZZ,$Z37,2)="","",INDEX('_views'!$B:$ZZ,$Z37,2)))</f>
        <v/>
      </c>
      <c r="E37" s="116">
        <f>IF($Z37="","",IF(INDEX('_views'!$B:$ZZ,$Z37,3)="","",INDEX('_views'!$B:$ZZ,$Z37,3)))</f>
        <v/>
      </c>
      <c r="F37" s="116">
        <f>IF($Z37="","",IF(INDEX('_views'!$B:$ZZ,$Z37,4)="","",INDEX('_views'!$B:$ZZ,$Z37,4)))</f>
        <v/>
      </c>
      <c r="G37" s="116">
        <f>IF($Z37="","",IF(INDEX('_views'!$B:$ZZ,$Z37,5)="","",INDEX('_views'!$B:$ZZ,$Z37,5)))</f>
        <v/>
      </c>
      <c r="H37" s="116">
        <f>IF($Z37="","",IF(INDEX('_views'!$B:$ZZ,$Z37,6)="","",INDEX('_views'!$B:$ZZ,$Z37,6)))</f>
        <v/>
      </c>
      <c r="I37" s="116">
        <f>IF($Z37="","",IF(INDEX('_views'!$B:$ZZ,$Z37,7)="","",INDEX('_views'!$B:$ZZ,$Z37,7)))</f>
        <v/>
      </c>
      <c r="J37" s="116">
        <f>IF($Z37="","",IF(INDEX('_views'!$B:$ZZ,$Z37,8)="","",INDEX('_views'!$B:$ZZ,$Z37,8)))</f>
        <v/>
      </c>
      <c r="K37" s="116">
        <f>IF($Z37="","",IF(INDEX('_views'!$B:$ZZ,$Z37,9)="","",INDEX('_views'!$B:$ZZ,$Z37,9)))</f>
        <v/>
      </c>
      <c r="M37" s="113">
        <f>IF($X$16="","",IF(INDEX('_views'!$B:$ZZ,$X$16,8)="","",INDEX('_views'!$B:$ZZ,$X$16,8)))</f>
        <v/>
      </c>
      <c r="N37" s="114">
        <f>IF($AA37="","",IF(INDEX('_views'!$B:$ZZ,$AA37,1)="","",INDEX('_views'!$B:$ZZ,$AA37,1)))</f>
        <v/>
      </c>
      <c r="O37" s="114">
        <f>IF($AA37="","",IF(INDEX('_views'!$B:$ZZ,$AA37,2)="","",INDEX('_views'!$B:$ZZ,$AA37,2)))</f>
        <v/>
      </c>
      <c r="P37" s="114">
        <f>IF($AA37="","",IF(INDEX('_views'!$B:$ZZ,$AA37,3)="","",INDEX('_views'!$B:$ZZ,$AA37,3)))</f>
        <v/>
      </c>
      <c r="Q37" s="114">
        <f>IF($AA37="","",IF(INDEX('_views'!$B:$ZZ,$AA37,4)="","",INDEX('_views'!$B:$ZZ,$AA37,4)))</f>
        <v/>
      </c>
      <c r="R37" s="114">
        <f>IF($AA37="","",IF(INDEX('_views'!$B:$ZZ,$AA37,5)="","",INDEX('_views'!$B:$ZZ,$AA37,5)))</f>
        <v/>
      </c>
      <c r="S37" s="114">
        <f>IF($AA37="","",IF(INDEX('_views'!$B:$ZZ,$AA37,6)="","",INDEX('_views'!$B:$ZZ,$AA37,6)))</f>
        <v/>
      </c>
      <c r="T37" s="114">
        <f>IF($AA37="","",IF(INDEX('_views'!$B:$ZZ,$AA37,7)="","",INDEX('_views'!$B:$ZZ,$AA37,7)))</f>
        <v/>
      </c>
      <c r="U37" s="114">
        <f>IF($AA37="","",IF(INDEX('_views'!$B:$ZZ,$AA37,8)="","",INDEX('_views'!$B:$ZZ,$AA37,8)))</f>
        <v/>
      </c>
      <c r="V37" s="114">
        <f>IF($AA37="","",IF(INDEX('_views'!$B:$ZZ,$AA37,9)="","",INDEX('_views'!$B:$ZZ,$AA37,9)))</f>
        <v/>
      </c>
      <c r="Z37">
        <f>IFERROR(MATCH("G|"&amp;$Y$15&amp;"|"&amp;$X$13&amp;"|band|8",'_views'!$A:$A,0),"")</f>
        <v/>
      </c>
      <c r="AA37">
        <f>IFERROR(MATCH("G|"&amp;$Y$15&amp;"|loans|8",'_views'!$A:$A,0),"")</f>
        <v/>
      </c>
    </row>
    <row r="39">
      <c r="B39" s="130" t="inlineStr">
        <is>
          <t>A blank: alone in its band, or fewer losses than the minimum, so not compared.</t>
        </is>
      </c>
    </row>
    <row r="41" ht="20" customHeight="1">
      <c r="B41" s="127"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row>
    <row r="42" ht="18" customHeight="1">
      <c r="B42" s="131">
        <f>IF(OR($AH$13="",$AH$14=""),"Pick a Row and a Column above: their lists follow the Grid.",$N$13&amp;" · "&amp;$R$13&amp;", "&amp;$F$13&amp;IF(OR($J$13="",$J$13="All loans"),"",", only loans where SYS_FLAG is "&amp;$J$13))</f>
        <v/>
      </c>
    </row>
    <row r="43" ht="18" customHeight="1">
      <c r="B43" s="132" t="inlineStr">
        <is>
          <t>Rate</t>
        </is>
      </c>
      <c r="C43" s="113">
        <f>IF(OR($AH$13="",$AH$14=""),"",IF(NOT(ISNUMBER($AH$18)),"No loans in this pocket.",IF($AH$15="","No rate: these loans have nothing to divide by for this measure.",SUBSTITUTE(SUBSTITUTE(SUBSTITUTE(SUBSTITUTE(SUBSTITUTE($AH$22,"{these}",IF($AH$18=1,"This one loan","These "&amp;TEXT($AH$18,"#,##0")&amp;" loans")),"{their}",IF($AH$18=1,"its","their")),"{r}",IF($Y$13="amt",TEXT($AH$15,"#,##0.00"),IF($Y$13="size",TEXT($AH$15,"$#,##0"),TEXT($AH$15,"0.00%")))),"{measure}",$F$13),"{med}",TEXT($AH$25,"$#,##0")))))</f>
        <v/>
      </c>
    </row>
    <row r="44" ht="18" customHeight="1">
      <c r="B44" s="132" t="inlineStr">
        <is>
          <t>vs the book</t>
        </is>
      </c>
      <c r="C44" s="113">
        <f>IF(OR(OR($AH$13="",$AH$14=""),NOT(ISNUMBER($AH$18))),"",IF(ISNUMBER($AH$16),SUBSTITUTE(SUBSTITUTE(SUBSTITUTE(SUBSTITUTE($AH$23,"{x}",TEXT($AH$16,"0.00")),"{pts}",TEXT(ABS($AH$16),"0.00")),"{more}",IF($AH$16&lt;0,"less","more")),"{against}","the whole book"),IF($Y$13="amt",$AH$23,IF(OR($Y$13="pts",$Y$13="size"),"Blank: not compared.","Blank: fewer losses than the minimum ("&amp;($AH$24)&amp;" losses), so not compared."))))</f>
        <v/>
      </c>
    </row>
    <row r="45" ht="18" customHeight="1">
      <c r="B45" s="132" t="inlineStr">
        <is>
          <t>vs rest of band</t>
        </is>
      </c>
      <c r="C45" s="113">
        <f>IF(OR(OR($AH$13="",$AH$14=""),NOT(ISNUMBER($AH$18))),"",IF(ISNUMBER($AH$17),SUBSTITUTE(SUBSTITUTE(SUBSTITUTE(SUBSTITUTE($AH$23,"{x}",TEXT($AH$17,"0.00")),"{pts}",TEXT(ABS($AH$17),"0.00")),"{more}",IF($AH$17&lt;0,"less","more")),"{against}","the other loans in "&amp;($N$13)&amp;IF(AND($AH$20&gt;=1,$AH$20&lt;=3)," (the "&amp;$AH$21&amp;" loans)","")),IF($Y$13="amt",$AH$23,IF($AH$20&lt;1,"Blank: alone in its band. Nothing else in "&amp;($N$13)&amp;" to compare with.",IF(OR($Y$13="pts",$Y$13="size"),"Blank: not compared.","Blank: fewer losses than the minimum ("&amp;($AH$24)&amp;" losses), so not compared.")))))</f>
        <v/>
      </c>
    </row>
    <row r="46" ht="18" customHeight="1">
      <c r="B46" s="132" t="inlineStr">
        <is>
          <t>Loans</t>
        </is>
      </c>
      <c r="C46" s="113">
        <f>IF(OR(OR($AH$13="",$AH$14=""),NOT(ISNUMBER($AH$18))),"",(TEXT($AH$18,"#,##0")&amp;IF($AH$18=1," loan"," loans"))&amp;"; "&amp;($N$13)&amp;" has "&amp;(TEXT($AH$19,"#,##0"))&amp;" in all.")</f>
        <v/>
      </c>
    </row>
    <row r="47" ht="18" customHeight="1">
      <c r="B47" s="132" t="inlineStr">
        <is>
          <t>The colour</t>
        </is>
      </c>
      <c r="C47" s="113">
        <f>IF(OR(OR($AH$13="",$AH$14=""),NOT(ISNUMBER($AH$18))),"",IF($Y$13="amt","No colour: this figure is not compared.",IF($AH$26,"Grey: only "&amp;(TEXT($AH$18,"#,##0")&amp;IF($AH$18=1," loan"," loans"))&amp;", fewer than the "&amp;(TEXT($Y$17,"#,##0"))&amp;" set on Control, so not coloured.",IF($Y$13="size","No red or green: loan size is a description, not a finding. Shaded darker the bigger the loans are against the book's.","vs the book is "&amp;(IF(ISNUMBER($AH$16),IF(IFERROR(IF($Y$13="pts",-$AH$16/$Y$14,IF($Y$13="x",LOG($AH$16,2),IF($Y$13="xr",-LOG($AH$16,2),0))),0)&gt;=1.0,"deep red",IF(IFERROR(IF($Y$13="pts",-$AH$16/$Y$14,IF($Y$13="x",LOG($AH$16,2),IF($Y$13="xr",-LOG($AH$16,2),0))),0)&gt;=0.585,"red",IF(IFERROR(IF($Y$13="pts",-$AH$16/$Y$14,IF($Y$13="x",LOG($AH$16,2),IF($Y$13="xr",-LOG($AH$16,2),0))),0)&gt;=0.263,"light red",IF(IFERROR(IF($Y$13="pts",-$AH$16/$Y$14,IF($Y$13="x",LOG($AH$16,2),IF($Y$13="xr",-LOG($AH$16,2),0))),0)&lt;=-0.585,"green",IF(IFERROR(IF($Y$13="pts",-$AH$16/$Y$14,IF($Y$13="x",LOG($AH$16,2),IF($Y$13="xr",-LOG($AH$16,2),0))),0)&lt;=-0.263,"light green","pale"))))),"blank"))&amp;", vs rest of band "&amp;(IF(ISNUMBER($AH$17),IF(IFERROR(IF($Y$13="pts",-$AH$17/$Y$14,IF($Y$13="x",LOG($AH$17,2),IF($Y$13="xr",-LOG($AH$17,2),0))),0)&gt;=1.0,"deep red",IF(IFERROR(IF($Y$13="pts",-$AH$17/$Y$14,IF($Y$13="x",LOG($AH$17,2),IF($Y$13="xr",-LOG($AH$17,2),0))),0)&gt;=0.585,"red",IF(IFERROR(IF($Y$13="pts",-$AH$17/$Y$14,IF($Y$13="x",LOG($AH$17,2),IF($Y$13="xr",-LOG($AH$17,2),0))),0)&gt;=0.263,"light red",IF(IFERROR(IF($Y$13="pts",-$AH$17/$Y$14,IF($Y$13="x",LOG($AH$17,2),IF($Y$13="xr",-LOG($AH$17,2),0))),0)&lt;=-0.585,"green",IF(IFERROR(IF($Y$13="pts",-$AH$17/$Y$14,IF($Y$13="x",LOG($AH$17,2),IF($Y$13="xr",-LOG($AH$17,2),0))),0)&lt;=-0.263,"light green","pale"))))),"blank"))&amp;". Red is worse, green better, deeper a bigger gap. It is the size of the gap, not a test."))))</f>
        <v/>
      </c>
    </row>
    <row r="49" ht="20" customHeight="1">
      <c r="B49" s="127" t="inlineStr">
        <is>
          <t>How common each group is: a count, not a test</t>
        </is>
      </c>
      <c r="C49" s="26" t="n"/>
      <c r="D49" s="26" t="n"/>
      <c r="E49" s="26" t="n"/>
      <c r="F49" s="26" t="n"/>
      <c r="G49" s="26" t="n"/>
      <c r="H49" s="26" t="n"/>
      <c r="I49" s="26" t="n"/>
    </row>
    <row r="50">
      <c r="B50" s="133" t="inlineStr">
        <is>
          <t>SYS_FLAG, by value</t>
        </is>
      </c>
    </row>
    <row r="51">
      <c r="B51" s="130">
        <f>IF($AB$51="","",IF(INDEX('_views'!$B:$ZZ,$AB$51,1)="","",INDEX('_views'!$B:$ZZ,$AB$51,1)))</f>
        <v/>
      </c>
      <c r="AB51">
        <f>IFERROR(MATCH("P|0|"&amp;$B$13&amp;"|say",'_views'!$A:$A,0),"")</f>
        <v/>
      </c>
    </row>
    <row r="52" ht="28" customHeight="1">
      <c r="B52" s="134">
        <f>IF($AB$52="","",IF(INDEX('_views'!$B:$ZZ,$AB$52,1)="","",INDEX('_views'!$B:$ZZ,$AB$52,1)))</f>
        <v/>
      </c>
      <c r="C52" s="134">
        <f>IF($AB$52="","",IF(INDEX('_views'!$B:$ZZ,$AB$52,2)="","",INDEX('_views'!$B:$ZZ,$AB$52,2)))</f>
        <v/>
      </c>
      <c r="D52" s="135">
        <f>IF($AB$52="","",IF(INDEX('_views'!$B:$ZZ,$AB$52,3)="","",INDEX('_views'!$B:$ZZ,$AB$52,3)))</f>
        <v/>
      </c>
      <c r="E52" s="135">
        <f>IF($AB$52="","",IF(INDEX('_views'!$B:$ZZ,$AB$52,4)="","",INDEX('_views'!$B:$ZZ,$AB$52,4)))</f>
        <v/>
      </c>
      <c r="F52" s="135">
        <f>IF($AB$52="","",IF(INDEX('_views'!$B:$ZZ,$AB$52,5)="","",INDEX('_views'!$B:$ZZ,$AB$52,5)))</f>
        <v/>
      </c>
      <c r="G52" s="135">
        <f>IF($AB$52="","",IF(INDEX('_views'!$B:$ZZ,$AB$52,6)="","",INDEX('_views'!$B:$ZZ,$AB$52,6)))</f>
        <v/>
      </c>
      <c r="H52" s="135">
        <f>IF($AB$52="","",IF(INDEX('_views'!$B:$ZZ,$AB$52,7)="","",INDEX('_views'!$B:$ZZ,$AB$52,7)))</f>
        <v/>
      </c>
      <c r="I52" s="135">
        <f>IF($AB$52="","",IF(INDEX('_views'!$B:$ZZ,$AB$52,8)="","",INDEX('_views'!$B:$ZZ,$AB$52,8)))</f>
        <v/>
      </c>
      <c r="AB52">
        <f>IFERROR(MATCH("P|0|"&amp;$B$13&amp;"|head",'_views'!$A:$A,0),"")</f>
        <v/>
      </c>
    </row>
    <row r="53" ht="28" customHeight="1">
      <c r="B53" s="5" t="n"/>
      <c r="C53" s="5" t="n"/>
      <c r="D53" s="5" t="n"/>
      <c r="E53" s="5" t="n"/>
      <c r="F53" s="128">
        <f>IF(IF($AB$52="","",IF(INDEX('_views'!$B:$ZZ,$AB$52,5)="","",INDEX('_views'!$B:$ZZ,$AB$52,5)))="","","Loans")</f>
        <v/>
      </c>
      <c r="G53" s="128">
        <f>IF(IF($AB$52="","",IF(INDEX('_views'!$B:$ZZ,$AB$52,5)="","",INDEX('_views'!$B:$ZZ,$AB$52,5)))="","","Booked dollars")</f>
        <v/>
      </c>
      <c r="H53" s="128">
        <f>IF(IF($AB$52="","",IF(INDEX('_views'!$B:$ZZ,$AB$52,7)="","",INDEX('_views'!$B:$ZZ,$AB$52,7)))="","","Loans")</f>
        <v/>
      </c>
      <c r="I53" s="128">
        <f>IF(IF($AB$52="","",IF(INDEX('_views'!$B:$ZZ,$AB$52,7)="","",INDEX('_views'!$B:$ZZ,$AB$52,7)))="","","Booked dollars")</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IFERROR(MATCH("P|0|"&amp;$B$13&amp;"|1",'_views'!$A:$A,0),"")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IFERROR(MATCH("P|0|"&amp;$B$13&amp;"|2",'_views'!$A:$A,0),"")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IFERROR(MATCH("P|0|"&amp;$B$13&amp;"|3",'_views'!$A:$A,0),"")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IFERROR(MATCH("P|0|"&amp;$B$13&amp;"|4",'_views'!$A:$A,0),"")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IFERROR(MATCH("P|0|"&amp;$B$13&amp;"|5",'_views'!$A:$A,0),"")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IFERROR(MATCH("P|0|"&amp;$B$13&amp;"|6",'_views'!$A:$A,0),"")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IFERROR(MATCH("P|0|"&amp;$B$13&amp;"|7",'_views'!$A:$A,0),"")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IFERROR(MATCH("P|0|"&amp;$B$13&amp;"|8",'_views'!$A:$A,0),"")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IFERROR(MATCH("P|0|"&amp;$B$13&amp;"|9",'_views'!$A:$A,0),"")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IFERROR(MATCH("P|0|"&amp;$B$13&amp;"|10",'_views'!$A:$A,0),"")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IFERROR(MATCH("P|0|"&amp;$B$13&amp;"|11",'_views'!$A:$A,0),"")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IFERROR(MATCH("P|0|"&amp;$B$13&amp;"|12",'_views'!$A:$A,0),"")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IFERROR(MATCH("P|0|"&amp;$B$13&amp;"|13",'_views'!$A:$A,0),"")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IFERROR(MATCH("P|0|"&amp;$B$13&amp;"|14",'_views'!$A:$A,0),"")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IFERROR(MATCH("P|0|"&amp;$B$13&amp;"|15",'_views'!$A:$A,0),"")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IFERROR(MATCH("P|0|"&amp;$B$13&amp;"|16",'_views'!$A:$A,0),"")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IFERROR(MATCH("P|0|"&amp;$B$13&amp;"|17",'_views'!$A:$A,0),"")</f>
        <v/>
      </c>
    </row>
    <row r="71" ht="16" customHeight="1">
      <c r="B71" s="113">
        <f>IF($AB71="","",IF(INDEX('_views'!$B:$ZZ,$AB71,1)="","",INDEX('_views'!$B:$ZZ,$AB71,1)))</f>
        <v/>
      </c>
      <c r="C71" s="113">
        <f>IF($AB71="","",IF(INDEX('_views'!$B:$ZZ,$AB71,2)="","",INDEX('_views'!$B:$ZZ,$AB71,2)))</f>
        <v/>
      </c>
      <c r="D71" s="114">
        <f>IF($AB71="","",IF(INDEX('_views'!$B:$ZZ,$AB71,3)="","",INDEX('_views'!$B:$ZZ,$AB71,3)))</f>
        <v/>
      </c>
      <c r="E71" s="114">
        <f>IF($AB71="","",IF(INDEX('_views'!$B:$ZZ,$AB71,4)="","",INDEX('_views'!$B:$ZZ,$AB71,4)))</f>
        <v/>
      </c>
      <c r="F71" s="114">
        <f>IF($AB71="","",IF(INDEX('_views'!$B:$ZZ,$AB71,5)="","",INDEX('_views'!$B:$ZZ,$AB71,5)))</f>
        <v/>
      </c>
      <c r="G71" s="114">
        <f>IF($AB71="","",IF(INDEX('_views'!$B:$ZZ,$AB71,6)="","",INDEX('_views'!$B:$ZZ,$AB71,6)))</f>
        <v/>
      </c>
      <c r="H71" s="114">
        <f>IF($AB71="","",IF(INDEX('_views'!$B:$ZZ,$AB71,7)="","",INDEX('_views'!$B:$ZZ,$AB71,7)))</f>
        <v/>
      </c>
      <c r="I71" s="114">
        <f>IF($AB71="","",IF(INDEX('_views'!$B:$ZZ,$AB71,8)="","",INDEX('_views'!$B:$ZZ,$AB71,8)))</f>
        <v/>
      </c>
      <c r="AB71">
        <f>IFERROR(MATCH("P|0|"&amp;$B$13&amp;"|18",'_views'!$A:$A,0),"")</f>
        <v/>
      </c>
    </row>
    <row r="72" ht="16" customHeight="1">
      <c r="B72" s="113">
        <f>IF($AB72="","",IF(INDEX('_views'!$B:$ZZ,$AB72,1)="","",INDEX('_views'!$B:$ZZ,$AB72,1)))</f>
        <v/>
      </c>
      <c r="C72" s="113">
        <f>IF($AB72="","",IF(INDEX('_views'!$B:$ZZ,$AB72,2)="","",INDEX('_views'!$B:$ZZ,$AB72,2)))</f>
        <v/>
      </c>
      <c r="D72" s="114">
        <f>IF($AB72="","",IF(INDEX('_views'!$B:$ZZ,$AB72,3)="","",INDEX('_views'!$B:$ZZ,$AB72,3)))</f>
        <v/>
      </c>
      <c r="E72" s="114">
        <f>IF($AB72="","",IF(INDEX('_views'!$B:$ZZ,$AB72,4)="","",INDEX('_views'!$B:$ZZ,$AB72,4)))</f>
        <v/>
      </c>
      <c r="F72" s="114">
        <f>IF($AB72="","",IF(INDEX('_views'!$B:$ZZ,$AB72,5)="","",INDEX('_views'!$B:$ZZ,$AB72,5)))</f>
        <v/>
      </c>
      <c r="G72" s="114">
        <f>IF($AB72="","",IF(INDEX('_views'!$B:$ZZ,$AB72,6)="","",INDEX('_views'!$B:$ZZ,$AB72,6)))</f>
        <v/>
      </c>
      <c r="H72" s="114">
        <f>IF($AB72="","",IF(INDEX('_views'!$B:$ZZ,$AB72,7)="","",INDEX('_views'!$B:$ZZ,$AB72,7)))</f>
        <v/>
      </c>
      <c r="I72" s="114">
        <f>IF($AB72="","",IF(INDEX('_views'!$B:$ZZ,$AB72,8)="","",INDEX('_views'!$B:$ZZ,$AB72,8)))</f>
        <v/>
      </c>
      <c r="AB72">
        <f>IFERROR(MATCH("P|0|"&amp;$B$13&amp;"|19",'_views'!$A:$A,0),"")</f>
        <v/>
      </c>
    </row>
    <row r="73" ht="16" customHeight="1">
      <c r="B73" s="113">
        <f>IF($AB73="","",IF(INDEX('_views'!$B:$ZZ,$AB73,1)="","",INDEX('_views'!$B:$ZZ,$AB73,1)))</f>
        <v/>
      </c>
      <c r="C73" s="113">
        <f>IF($AB73="","",IF(INDEX('_views'!$B:$ZZ,$AB73,2)="","",INDEX('_views'!$B:$ZZ,$AB73,2)))</f>
        <v/>
      </c>
      <c r="D73" s="114">
        <f>IF($AB73="","",IF(INDEX('_views'!$B:$ZZ,$AB73,3)="","",INDEX('_views'!$B:$ZZ,$AB73,3)))</f>
        <v/>
      </c>
      <c r="E73" s="114">
        <f>IF($AB73="","",IF(INDEX('_views'!$B:$ZZ,$AB73,4)="","",INDEX('_views'!$B:$ZZ,$AB73,4)))</f>
        <v/>
      </c>
      <c r="F73" s="114">
        <f>IF($AB73="","",IF(INDEX('_views'!$B:$ZZ,$AB73,5)="","",INDEX('_views'!$B:$ZZ,$AB73,5)))</f>
        <v/>
      </c>
      <c r="G73" s="114">
        <f>IF($AB73="","",IF(INDEX('_views'!$B:$ZZ,$AB73,6)="","",INDEX('_views'!$B:$ZZ,$AB73,6)))</f>
        <v/>
      </c>
      <c r="H73" s="114">
        <f>IF($AB73="","",IF(INDEX('_views'!$B:$ZZ,$AB73,7)="","",INDEX('_views'!$B:$ZZ,$AB73,7)))</f>
        <v/>
      </c>
      <c r="I73" s="114">
        <f>IF($AB73="","",IF(INDEX('_views'!$B:$ZZ,$AB73,8)="","",INDEX('_views'!$B:$ZZ,$AB73,8)))</f>
        <v/>
      </c>
      <c r="AB73">
        <f>IFERROR(MATCH("P|0|"&amp;$B$13&amp;"|20",'_views'!$A:$A,0),"")</f>
        <v/>
      </c>
    </row>
    <row r="74" ht="16" customHeight="1">
      <c r="B74" s="113">
        <f>IF($AB74="","",IF(INDEX('_views'!$B:$ZZ,$AB74,1)="","",INDEX('_views'!$B:$ZZ,$AB74,1)))</f>
        <v/>
      </c>
      <c r="C74" s="113">
        <f>IF($AB74="","",IF(INDEX('_views'!$B:$ZZ,$AB74,2)="","",INDEX('_views'!$B:$ZZ,$AB74,2)))</f>
        <v/>
      </c>
      <c r="D74" s="114">
        <f>IF($AB74="","",IF(INDEX('_views'!$B:$ZZ,$AB74,3)="","",INDEX('_views'!$B:$ZZ,$AB74,3)))</f>
        <v/>
      </c>
      <c r="E74" s="114">
        <f>IF($AB74="","",IF(INDEX('_views'!$B:$ZZ,$AB74,4)="","",INDEX('_views'!$B:$ZZ,$AB74,4)))</f>
        <v/>
      </c>
      <c r="F74" s="114">
        <f>IF($AB74="","",IF(INDEX('_views'!$B:$ZZ,$AB74,5)="","",INDEX('_views'!$B:$ZZ,$AB74,5)))</f>
        <v/>
      </c>
      <c r="G74" s="114">
        <f>IF($AB74="","",IF(INDEX('_views'!$B:$ZZ,$AB74,6)="","",INDEX('_views'!$B:$ZZ,$AB74,6)))</f>
        <v/>
      </c>
      <c r="H74" s="114">
        <f>IF($AB74="","",IF(INDEX('_views'!$B:$ZZ,$AB74,7)="","",INDEX('_views'!$B:$ZZ,$AB74,7)))</f>
        <v/>
      </c>
      <c r="I74" s="114">
        <f>IF($AB74="","",IF(INDEX('_views'!$B:$ZZ,$AB74,8)="","",INDEX('_views'!$B:$ZZ,$AB74,8)))</f>
        <v/>
      </c>
      <c r="AB74">
        <f>IFERROR(MATCH("P|0|"&amp;$B$13&amp;"|21",'_views'!$A:$A,0),"")</f>
        <v/>
      </c>
    </row>
    <row r="75" ht="16" customHeight="1">
      <c r="B75" s="113">
        <f>IF($AB75="","",IF(INDEX('_views'!$B:$ZZ,$AB75,1)="","",INDEX('_views'!$B:$ZZ,$AB75,1)))</f>
        <v/>
      </c>
      <c r="C75" s="113">
        <f>IF($AB75="","",IF(INDEX('_views'!$B:$ZZ,$AB75,2)="","",INDEX('_views'!$B:$ZZ,$AB75,2)))</f>
        <v/>
      </c>
      <c r="D75" s="114">
        <f>IF($AB75="","",IF(INDEX('_views'!$B:$ZZ,$AB75,3)="","",INDEX('_views'!$B:$ZZ,$AB75,3)))</f>
        <v/>
      </c>
      <c r="E75" s="114">
        <f>IF($AB75="","",IF(INDEX('_views'!$B:$ZZ,$AB75,4)="","",INDEX('_views'!$B:$ZZ,$AB75,4)))</f>
        <v/>
      </c>
      <c r="F75" s="114">
        <f>IF($AB75="","",IF(INDEX('_views'!$B:$ZZ,$AB75,5)="","",INDEX('_views'!$B:$ZZ,$AB75,5)))</f>
        <v/>
      </c>
      <c r="G75" s="114">
        <f>IF($AB75="","",IF(INDEX('_views'!$B:$ZZ,$AB75,6)="","",INDEX('_views'!$B:$ZZ,$AB75,6)))</f>
        <v/>
      </c>
      <c r="H75" s="114">
        <f>IF($AB75="","",IF(INDEX('_views'!$B:$ZZ,$AB75,7)="","",INDEX('_views'!$B:$ZZ,$AB75,7)))</f>
        <v/>
      </c>
      <c r="I75" s="114">
        <f>IF($AB75="","",IF(INDEX('_views'!$B:$ZZ,$AB75,8)="","",INDEX('_views'!$B:$ZZ,$AB75,8)))</f>
        <v/>
      </c>
      <c r="AB75">
        <f>IFERROR(MATCH("P|0|"&amp;$B$13&amp;"|22",'_views'!$A:$A,0),"")</f>
        <v/>
      </c>
    </row>
    <row r="76" ht="16" customHeight="1">
      <c r="B76" s="113">
        <f>IF($AB76="","",IF(INDEX('_views'!$B:$ZZ,$AB76,1)="","",INDEX('_views'!$B:$ZZ,$AB76,1)))</f>
        <v/>
      </c>
      <c r="C76" s="113">
        <f>IF($AB76="","",IF(INDEX('_views'!$B:$ZZ,$AB76,2)="","",INDEX('_views'!$B:$ZZ,$AB76,2)))</f>
        <v/>
      </c>
      <c r="D76" s="114">
        <f>IF($AB76="","",IF(INDEX('_views'!$B:$ZZ,$AB76,3)="","",INDEX('_views'!$B:$ZZ,$AB76,3)))</f>
        <v/>
      </c>
      <c r="E76" s="114">
        <f>IF($AB76="","",IF(INDEX('_views'!$B:$ZZ,$AB76,4)="","",INDEX('_views'!$B:$ZZ,$AB76,4)))</f>
        <v/>
      </c>
      <c r="F76" s="114">
        <f>IF($AB76="","",IF(INDEX('_views'!$B:$ZZ,$AB76,5)="","",INDEX('_views'!$B:$ZZ,$AB76,5)))</f>
        <v/>
      </c>
      <c r="G76" s="114">
        <f>IF($AB76="","",IF(INDEX('_views'!$B:$ZZ,$AB76,6)="","",INDEX('_views'!$B:$ZZ,$AB76,6)))</f>
        <v/>
      </c>
      <c r="H76" s="114">
        <f>IF($AB76="","",IF(INDEX('_views'!$B:$ZZ,$AB76,7)="","",INDEX('_views'!$B:$ZZ,$AB76,7)))</f>
        <v/>
      </c>
      <c r="I76" s="114">
        <f>IF($AB76="","",IF(INDEX('_views'!$B:$ZZ,$AB76,8)="","",INDEX('_views'!$B:$ZZ,$AB76,8)))</f>
        <v/>
      </c>
      <c r="AB76">
        <f>IFERROR(MATCH("P|0|"&amp;$B$13&amp;"|23",'_views'!$A:$A,0),"")</f>
        <v/>
      </c>
    </row>
    <row r="77" ht="16" customHeight="1">
      <c r="B77" s="113">
        <f>IF($AB77="","",IF(INDEX('_views'!$B:$ZZ,$AB77,1)="","",INDEX('_views'!$B:$ZZ,$AB77,1)))</f>
        <v/>
      </c>
      <c r="C77" s="113">
        <f>IF($AB77="","",IF(INDEX('_views'!$B:$ZZ,$AB77,2)="","",INDEX('_views'!$B:$ZZ,$AB77,2)))</f>
        <v/>
      </c>
      <c r="D77" s="114">
        <f>IF($AB77="","",IF(INDEX('_views'!$B:$ZZ,$AB77,3)="","",INDEX('_views'!$B:$ZZ,$AB77,3)))</f>
        <v/>
      </c>
      <c r="E77" s="114">
        <f>IF($AB77="","",IF(INDEX('_views'!$B:$ZZ,$AB77,4)="","",INDEX('_views'!$B:$ZZ,$AB77,4)))</f>
        <v/>
      </c>
      <c r="F77" s="114">
        <f>IF($AB77="","",IF(INDEX('_views'!$B:$ZZ,$AB77,5)="","",INDEX('_views'!$B:$ZZ,$AB77,5)))</f>
        <v/>
      </c>
      <c r="G77" s="114">
        <f>IF($AB77="","",IF(INDEX('_views'!$B:$ZZ,$AB77,6)="","",INDEX('_views'!$B:$ZZ,$AB77,6)))</f>
        <v/>
      </c>
      <c r="H77" s="114">
        <f>IF($AB77="","",IF(INDEX('_views'!$B:$ZZ,$AB77,7)="","",INDEX('_views'!$B:$ZZ,$AB77,7)))</f>
        <v/>
      </c>
      <c r="I77" s="114">
        <f>IF($AB77="","",IF(INDEX('_views'!$B:$ZZ,$AB77,8)="","",INDEX('_views'!$B:$ZZ,$AB77,8)))</f>
        <v/>
      </c>
      <c r="AB77">
        <f>IFERROR(MATCH("P|0|"&amp;$B$13&amp;"|24",'_views'!$A:$A,0),"")</f>
        <v/>
      </c>
    </row>
    <row r="78" ht="16" customHeight="1">
      <c r="B78" s="113">
        <f>IF($AB78="","",IF(INDEX('_views'!$B:$ZZ,$AB78,1)="","",INDEX('_views'!$B:$ZZ,$AB78,1)))</f>
        <v/>
      </c>
      <c r="C78" s="113">
        <f>IF($AB78="","",IF(INDEX('_views'!$B:$ZZ,$AB78,2)="","",INDEX('_views'!$B:$ZZ,$AB78,2)))</f>
        <v/>
      </c>
      <c r="D78" s="114">
        <f>IF($AB78="","",IF(INDEX('_views'!$B:$ZZ,$AB78,3)="","",INDEX('_views'!$B:$ZZ,$AB78,3)))</f>
        <v/>
      </c>
      <c r="E78" s="114">
        <f>IF($AB78="","",IF(INDEX('_views'!$B:$ZZ,$AB78,4)="","",INDEX('_views'!$B:$ZZ,$AB78,4)))</f>
        <v/>
      </c>
      <c r="F78" s="114">
        <f>IF($AB78="","",IF(INDEX('_views'!$B:$ZZ,$AB78,5)="","",INDEX('_views'!$B:$ZZ,$AB78,5)))</f>
        <v/>
      </c>
      <c r="G78" s="114">
        <f>IF($AB78="","",IF(INDEX('_views'!$B:$ZZ,$AB78,6)="","",INDEX('_views'!$B:$ZZ,$AB78,6)))</f>
        <v/>
      </c>
      <c r="H78" s="114">
        <f>IF($AB78="","",IF(INDEX('_views'!$B:$ZZ,$AB78,7)="","",INDEX('_views'!$B:$ZZ,$AB78,7)))</f>
        <v/>
      </c>
      <c r="I78" s="114">
        <f>IF($AB78="","",IF(INDEX('_views'!$B:$ZZ,$AB78,8)="","",INDEX('_views'!$B:$ZZ,$AB78,8)))</f>
        <v/>
      </c>
      <c r="AB78">
        <f>IFERROR(MATCH("P|0|"&amp;$B$13&amp;"|25",'_views'!$A:$A,0),"")</f>
        <v/>
      </c>
    </row>
    <row r="79" ht="16" customHeight="1">
      <c r="B79" s="113">
        <f>IF($AB79="","",IF(INDEX('_views'!$B:$ZZ,$AB79,1)="","",INDEX('_views'!$B:$ZZ,$AB79,1)))</f>
        <v/>
      </c>
      <c r="C79" s="113">
        <f>IF($AB79="","",IF(INDEX('_views'!$B:$ZZ,$AB79,2)="","",INDEX('_views'!$B:$ZZ,$AB79,2)))</f>
        <v/>
      </c>
      <c r="D79" s="114">
        <f>IF($AB79="","",IF(INDEX('_views'!$B:$ZZ,$AB79,3)="","",INDEX('_views'!$B:$ZZ,$AB79,3)))</f>
        <v/>
      </c>
      <c r="E79" s="114">
        <f>IF($AB79="","",IF(INDEX('_views'!$B:$ZZ,$AB79,4)="","",INDEX('_views'!$B:$ZZ,$AB79,4)))</f>
        <v/>
      </c>
      <c r="F79" s="114">
        <f>IF($AB79="","",IF(INDEX('_views'!$B:$ZZ,$AB79,5)="","",INDEX('_views'!$B:$ZZ,$AB79,5)))</f>
        <v/>
      </c>
      <c r="G79" s="114">
        <f>IF($AB79="","",IF(INDEX('_views'!$B:$ZZ,$AB79,6)="","",INDEX('_views'!$B:$ZZ,$AB79,6)))</f>
        <v/>
      </c>
      <c r="H79" s="114">
        <f>IF($AB79="","",IF(INDEX('_views'!$B:$ZZ,$AB79,7)="","",INDEX('_views'!$B:$ZZ,$AB79,7)))</f>
        <v/>
      </c>
      <c r="I79" s="114">
        <f>IF($AB79="","",IF(INDEX('_views'!$B:$ZZ,$AB79,8)="","",INDEX('_views'!$B:$ZZ,$AB79,8)))</f>
        <v/>
      </c>
      <c r="AB79">
        <f>IFERROR(MATCH("P|0|"&amp;$B$13&amp;"|26",'_views'!$A:$A,0),"")</f>
        <v/>
      </c>
    </row>
    <row r="80" ht="16" customHeight="1">
      <c r="B80" s="113">
        <f>IF($AB80="","",IF(INDEX('_views'!$B:$ZZ,$AB80,1)="","",INDEX('_views'!$B:$ZZ,$AB80,1)))</f>
        <v/>
      </c>
      <c r="C80" s="113">
        <f>IF($AB80="","",IF(INDEX('_views'!$B:$ZZ,$AB80,2)="","",INDEX('_views'!$B:$ZZ,$AB80,2)))</f>
        <v/>
      </c>
      <c r="D80" s="114">
        <f>IF($AB80="","",IF(INDEX('_views'!$B:$ZZ,$AB80,3)="","",INDEX('_views'!$B:$ZZ,$AB80,3)))</f>
        <v/>
      </c>
      <c r="E80" s="114">
        <f>IF($AB80="","",IF(INDEX('_views'!$B:$ZZ,$AB80,4)="","",INDEX('_views'!$B:$ZZ,$AB80,4)))</f>
        <v/>
      </c>
      <c r="F80" s="114">
        <f>IF($AB80="","",IF(INDEX('_views'!$B:$ZZ,$AB80,5)="","",INDEX('_views'!$B:$ZZ,$AB80,5)))</f>
        <v/>
      </c>
      <c r="G80" s="114">
        <f>IF($AB80="","",IF(INDEX('_views'!$B:$ZZ,$AB80,6)="","",INDEX('_views'!$B:$ZZ,$AB80,6)))</f>
        <v/>
      </c>
      <c r="H80" s="114">
        <f>IF($AB80="","",IF(INDEX('_views'!$B:$ZZ,$AB80,7)="","",INDEX('_views'!$B:$ZZ,$AB80,7)))</f>
        <v/>
      </c>
      <c r="I80" s="114">
        <f>IF($AB80="","",IF(INDEX('_views'!$B:$ZZ,$AB80,8)="","",INDEX('_views'!$B:$ZZ,$AB80,8)))</f>
        <v/>
      </c>
      <c r="AB80">
        <f>IFERROR(MATCH("P|0|"&amp;$B$13&amp;"|27",'_views'!$A:$A,0),"")</f>
        <v/>
      </c>
    </row>
  </sheetData>
  <mergeCells count="34">
    <mergeCell ref="N16:O16"/>
    <mergeCell ref="B13:D13"/>
    <mergeCell ref="R28:S28"/>
    <mergeCell ref="B42:V42"/>
    <mergeCell ref="C6:V6"/>
    <mergeCell ref="C5:V5"/>
    <mergeCell ref="C45:V45"/>
    <mergeCell ref="R16:S16"/>
    <mergeCell ref="C16:D16"/>
    <mergeCell ref="I16:J16"/>
    <mergeCell ref="C4:V4"/>
    <mergeCell ref="F13:H13"/>
    <mergeCell ref="N13:P13"/>
    <mergeCell ref="E28:F28"/>
    <mergeCell ref="G28:H28"/>
    <mergeCell ref="C10:V10"/>
    <mergeCell ref="I28:J28"/>
    <mergeCell ref="C47:V47"/>
    <mergeCell ref="C44:V44"/>
    <mergeCell ref="C9:V9"/>
    <mergeCell ref="C43:V43"/>
    <mergeCell ref="P16:Q16"/>
    <mergeCell ref="N28:O28"/>
    <mergeCell ref="P28:Q28"/>
    <mergeCell ref="C46:V46"/>
    <mergeCell ref="T16:U16"/>
    <mergeCell ref="E16:F16"/>
    <mergeCell ref="C8:V8"/>
    <mergeCell ref="G16:H16"/>
    <mergeCell ref="J13:L13"/>
    <mergeCell ref="R13:T13"/>
    <mergeCell ref="C7:V7"/>
    <mergeCell ref="C28:D28"/>
    <mergeCell ref="T28:U28"/>
  </mergeCells>
  <conditionalFormatting sqref="B18:B25">
    <cfRule type="expression" priority="1" dxfId="6">
      <formula>$B18&lt;&gt;""</formula>
    </cfRule>
  </conditionalFormatting>
  <conditionalFormatting sqref="C18:K25">
    <cfRule type="expression" priority="2" dxfId="18">
      <formula>AND($B18&lt;&gt;"",$Y$13="amt")</formula>
    </cfRule>
    <cfRule type="expression" priority="3" dxfId="19">
      <formula>AND($B18&lt;&gt;"",$Y$13="size")</formula>
    </cfRule>
    <cfRule type="expression" priority="4" dxfId="6">
      <formula>$B18&lt;&gt;""</formula>
    </cfRule>
  </conditionalFormatting>
  <conditionalFormatting sqref="M18:M25">
    <cfRule type="expression" priority="5" dxfId="6">
      <formula>$M18&lt;&gt;""</formula>
    </cfRule>
  </conditionalFormatting>
  <conditionalFormatting sqref="N18:V25">
    <cfRule type="expression" priority="6" dxfId="20">
      <formula>AND($M18&lt;&gt;"",AND(AND(ISNUMBER(N18),ISNUMBER(N30),ISNUMBER($Y$17),N30&lt;$Y$17),$Y$13="pts"))</formula>
    </cfRule>
    <cfRule type="expression" priority="7" dxfId="21">
      <formula>AND($M18&lt;&gt;"",AND(ISNUMBER(N18),ISNUMBER(N30),ISNUMBER($Y$17),N30&lt;$Y$17))</formula>
    </cfRule>
    <cfRule type="expression" priority="8" dxfId="22">
      <formula>AND($M18&lt;&gt;"",AND(NOT(AND(ISNUMBER(N18),ISNUMBER(N30),ISNUMBER($Y$17),N30&lt;$Y$17)),$Y$13="size",ISNUMBER(N18),N18&gt;=2.0))</formula>
    </cfRule>
    <cfRule type="expression" priority="9" dxfId="23">
      <formula>AND($M18&lt;&gt;"",AND(NOT(AND(ISNUMBER(N18),ISNUMBER(N30),ISNUMBER($Y$17),N30&lt;$Y$17)),$Y$13="size",ISNUMBER(N18),N18&gt;=1.5))</formula>
    </cfRule>
    <cfRule type="expression" priority="10" dxfId="24">
      <formula>AND($M18&lt;&gt;"",AND(NOT(AND(ISNUMBER(N18),ISNUMBER(N30),ISNUMBER($Y$17),N30&lt;$Y$17)),$Y$13="size",ISNUMBER(N18),N18&gt;=1.25))</formula>
    </cfRule>
    <cfRule type="expression" priority="11" dxfId="25">
      <formula>AND($M18&lt;&gt;"",AND(NOT(AND(ISNUMBER(N18),ISNUMBER(N30),ISNUMBER($Y$17),N30&lt;$Y$17)),$Y$13="size",ISNUMBER(N18),N18&gt;=1.1))</formula>
    </cfRule>
    <cfRule type="expression" priority="12" dxfId="26">
      <formula>AND($M18&lt;&gt;"",AND(NOT(AND(ISNUMBER(N18),ISNUMBER(N30),ISNUMBER($Y$17),N30&lt;$Y$17)),$Y$13&lt;&gt;"size",AND($Y$13="pts",AND(ISNUMBER(N18),IFERROR(IF($Y$13="pts",-N18/$Y$14,IF($Y$13="x",LOG(N18,2),IF($Y$13="xr",-LOG(N18,2),0))),0)&gt;=1.0))))</formula>
    </cfRule>
    <cfRule type="expression" priority="13" dxfId="27">
      <formula>AND($M18&lt;&gt;"",AND(NOT(AND(ISNUMBER(N18),ISNUMBER(N30),ISNUMBER($Y$17),N30&lt;$Y$17)),$Y$13&lt;&gt;"size",AND(ISNUMBER(N18),IFERROR(IF($Y$13="pts",-N18/$Y$14,IF($Y$13="x",LOG(N18,2),IF($Y$13="xr",-LOG(N18,2),0))),0)&gt;=1.0)))</formula>
    </cfRule>
    <cfRule type="expression" priority="14" dxfId="28">
      <formula>AND($M18&lt;&gt;"",AND(NOT(AND(ISNUMBER(N18),ISNUMBER(N30),ISNUMBER($Y$17),N30&lt;$Y$17)),$Y$13&lt;&gt;"size",AND($Y$13="pts",AND(ISNUMBER(N18),IFERROR(IF($Y$13="pts",-N18/$Y$14,IF($Y$13="x",LOG(N18,2),IF($Y$13="xr",-LOG(N18,2),0))),0)&gt;=0.585))))</formula>
    </cfRule>
    <cfRule type="expression" priority="15" dxfId="29">
      <formula>AND($M18&lt;&gt;"",AND(NOT(AND(ISNUMBER(N18),ISNUMBER(N30),ISNUMBER($Y$17),N30&lt;$Y$17)),$Y$13&lt;&gt;"size",AND(ISNUMBER(N18),IFERROR(IF($Y$13="pts",-N18/$Y$14,IF($Y$13="x",LOG(N18,2),IF($Y$13="xr",-LOG(N18,2),0))),0)&gt;=0.585)))</formula>
    </cfRule>
    <cfRule type="expression" priority="16" dxfId="30">
      <formula>AND($M18&lt;&gt;"",AND(NOT(AND(ISNUMBER(N18),ISNUMBER(N30),ISNUMBER($Y$17),N30&lt;$Y$17)),$Y$13&lt;&gt;"size",AND($Y$13="pts",AND(ISNUMBER(N18),IFERROR(IF($Y$13="pts",-N18/$Y$14,IF($Y$13="x",LOG(N18,2),IF($Y$13="xr",-LOG(N18,2),0))),0)&gt;=0.263))))</formula>
    </cfRule>
    <cfRule type="expression" priority="17" dxfId="31">
      <formula>AND($M18&lt;&gt;"",AND(NOT(AND(ISNUMBER(N18),ISNUMBER(N30),ISNUMBER($Y$17),N30&lt;$Y$17)),$Y$13&lt;&gt;"size",AND(ISNUMBER(N18),IFERROR(IF($Y$13="pts",-N18/$Y$14,IF($Y$13="x",LOG(N18,2),IF($Y$13="xr",-LOG(N18,2),0))),0)&gt;=0.263)))</formula>
    </cfRule>
    <cfRule type="expression" priority="18" dxfId="32">
      <formula>AND($M18&lt;&gt;"",AND(NOT(AND(ISNUMBER(N18),ISNUMBER(N30),ISNUMBER($Y$17),N30&lt;$Y$17)),$Y$13&lt;&gt;"size",AND($Y$13="pts",AND(ISNUMBER(N18),IFERROR(IF($Y$13="pts",-N18/$Y$14,IF($Y$13="x",LOG(N18,2),IF($Y$13="xr",-LOG(N18,2),0))),0)&lt;=-0.585))))</formula>
    </cfRule>
    <cfRule type="expression" priority="19" dxfId="33">
      <formula>AND($M18&lt;&gt;"",AND(NOT(AND(ISNUMBER(N18),ISNUMBER(N30),ISNUMBER($Y$17),N30&lt;$Y$17)),$Y$13&lt;&gt;"size",AND(ISNUMBER(N18),IFERROR(IF($Y$13="pts",-N18/$Y$14,IF($Y$13="x",LOG(N18,2),IF($Y$13="xr",-LOG(N18,2),0))),0)&lt;=-0.585)))</formula>
    </cfRule>
    <cfRule type="expression" priority="20" dxfId="34">
      <formula>AND($M18&lt;&gt;"",AND(NOT(AND(ISNUMBER(N18),ISNUMBER(N30),ISNUMBER($Y$17),N30&lt;$Y$17)),$Y$13&lt;&gt;"size",AND($Y$13="pts",AND(ISNUMBER(N18),IFERROR(IF($Y$13="pts",-N18/$Y$14,IF($Y$13="x",LOG(N18,2),IF($Y$13="xr",-LOG(N18,2),0))),0)&lt;=-0.263))))</formula>
    </cfRule>
    <cfRule type="expression" priority="21" dxfId="35">
      <formula>AND($M18&lt;&gt;"",AND(NOT(AND(ISNUMBER(N18),ISNUMBER(N30),ISNUMBER($Y$17),N30&lt;$Y$17)),$Y$13&lt;&gt;"size",AND(ISNUMBER(N18),IFERROR(IF($Y$13="pts",-N18/$Y$14,IF($Y$13="x",LOG(N18,2),IF($Y$13="xr",-LOG(N18,2),0))),0)&lt;=-0.263)))</formula>
    </cfRule>
    <cfRule type="expression" priority="22" dxfId="36">
      <formula>AND($M18&lt;&gt;"",AND(NOT(AND(ISNUMBER(N18),ISNUMBER(N30),ISNUMBER($Y$17),N30&lt;$Y$17)),$Y$13&lt;&gt;"size",AND($Y$13="pts",ISNUMBER(N18))))</formula>
    </cfRule>
    <cfRule type="expression" priority="23" dxfId="12">
      <formula>AND($M18&lt;&gt;"",AND(NOT(AND(ISNUMBER(N18),ISNUMBER(N30),ISNUMBER($Y$17),N30&lt;$Y$17)),$Y$13&lt;&gt;"size",ISNUMBER(N18)))</formula>
    </cfRule>
    <cfRule type="expression" priority="24" dxfId="6">
      <formula>$M18&lt;&gt;""</formula>
    </cfRule>
  </conditionalFormatting>
  <conditionalFormatting sqref="B30:B37">
    <cfRule type="expression" priority="25" dxfId="6">
      <formula>$B30&lt;&gt;""</formula>
    </cfRule>
  </conditionalFormatting>
  <conditionalFormatting sqref="C30:K37">
    <cfRule type="expression" priority="26" dxfId="20">
      <formula>AND($B30&lt;&gt;"",AND(AND(ISNUMBER(C30),ISNUMBER(N30),ISNUMBER($Y$17),N30&lt;$Y$17),$Y$13="pts"))</formula>
    </cfRule>
    <cfRule type="expression" priority="27" dxfId="21">
      <formula>AND($B30&lt;&gt;"",AND(ISNUMBER(C30),ISNUMBER(N30),ISNUMBER($Y$17),N30&lt;$Y$17))</formula>
    </cfRule>
    <cfRule type="expression" priority="28" dxfId="22">
      <formula>AND($B30&lt;&gt;"",AND(NOT(AND(ISNUMBER(C30),ISNUMBER(N30),ISNUMBER($Y$17),N30&lt;$Y$17)),$Y$13="size",ISNUMBER(C30),C30&gt;=2.0))</formula>
    </cfRule>
    <cfRule type="expression" priority="29" dxfId="23">
      <formula>AND($B30&lt;&gt;"",AND(NOT(AND(ISNUMBER(C30),ISNUMBER(N30),ISNUMBER($Y$17),N30&lt;$Y$17)),$Y$13="size",ISNUMBER(C30),C30&gt;=1.5))</formula>
    </cfRule>
    <cfRule type="expression" priority="30" dxfId="24">
      <formula>AND($B30&lt;&gt;"",AND(NOT(AND(ISNUMBER(C30),ISNUMBER(N30),ISNUMBER($Y$17),N30&lt;$Y$17)),$Y$13="size",ISNUMBER(C30),C30&gt;=1.25))</formula>
    </cfRule>
    <cfRule type="expression" priority="31" dxfId="25">
      <formula>AND($B30&lt;&gt;"",AND(NOT(AND(ISNUMBER(C30),ISNUMBER(N30),ISNUMBER($Y$17),N30&lt;$Y$17)),$Y$13="size",ISNUMBER(C30),C30&gt;=1.1))</formula>
    </cfRule>
    <cfRule type="expression" priority="32" dxfId="26">
      <formula>AND($B30&lt;&gt;"",AND(NOT(AND(ISNUMBER(C30),ISNUMBER(N30),ISNUMBER($Y$17),N30&lt;$Y$17)),$Y$13&lt;&gt;"size",AND($Y$13="pts",AND(ISNUMBER(C30),IFERROR(IF($Y$13="pts",-C30/$Y$14,IF($Y$13="x",LOG(C30,2),IF($Y$13="xr",-LOG(C30,2),0))),0)&gt;=1.0))))</formula>
    </cfRule>
    <cfRule type="expression" priority="33" dxfId="27">
      <formula>AND($B30&lt;&gt;"",AND(NOT(AND(ISNUMBER(C30),ISNUMBER(N30),ISNUMBER($Y$17),N30&lt;$Y$17)),$Y$13&lt;&gt;"size",AND(ISNUMBER(C30),IFERROR(IF($Y$13="pts",-C30/$Y$14,IF($Y$13="x",LOG(C30,2),IF($Y$13="xr",-LOG(C30,2),0))),0)&gt;=1.0)))</formula>
    </cfRule>
    <cfRule type="expression" priority="34" dxfId="28">
      <formula>AND($B30&lt;&gt;"",AND(NOT(AND(ISNUMBER(C30),ISNUMBER(N30),ISNUMBER($Y$17),N30&lt;$Y$17)),$Y$13&lt;&gt;"size",AND($Y$13="pts",AND(ISNUMBER(C30),IFERROR(IF($Y$13="pts",-C30/$Y$14,IF($Y$13="x",LOG(C30,2),IF($Y$13="xr",-LOG(C30,2),0))),0)&gt;=0.585))))</formula>
    </cfRule>
    <cfRule type="expression" priority="35" dxfId="29">
      <formula>AND($B30&lt;&gt;"",AND(NOT(AND(ISNUMBER(C30),ISNUMBER(N30),ISNUMBER($Y$17),N30&lt;$Y$17)),$Y$13&lt;&gt;"size",AND(ISNUMBER(C30),IFERROR(IF($Y$13="pts",-C30/$Y$14,IF($Y$13="x",LOG(C30,2),IF($Y$13="xr",-LOG(C30,2),0))),0)&gt;=0.585)))</formula>
    </cfRule>
    <cfRule type="expression" priority="36" dxfId="30">
      <formula>AND($B30&lt;&gt;"",AND(NOT(AND(ISNUMBER(C30),ISNUMBER(N30),ISNUMBER($Y$17),N30&lt;$Y$17)),$Y$13&lt;&gt;"size",AND($Y$13="pts",AND(ISNUMBER(C30),IFERROR(IF($Y$13="pts",-C30/$Y$14,IF($Y$13="x",LOG(C30,2),IF($Y$13="xr",-LOG(C30,2),0))),0)&gt;=0.263))))</formula>
    </cfRule>
    <cfRule type="expression" priority="37" dxfId="31">
      <formula>AND($B30&lt;&gt;"",AND(NOT(AND(ISNUMBER(C30),ISNUMBER(N30),ISNUMBER($Y$17),N30&lt;$Y$17)),$Y$13&lt;&gt;"size",AND(ISNUMBER(C30),IFERROR(IF($Y$13="pts",-C30/$Y$14,IF($Y$13="x",LOG(C30,2),IF($Y$13="xr",-LOG(C30,2),0))),0)&gt;=0.263)))</formula>
    </cfRule>
    <cfRule type="expression" priority="38" dxfId="32">
      <formula>AND($B30&lt;&gt;"",AND(NOT(AND(ISNUMBER(C30),ISNUMBER(N30),ISNUMBER($Y$17),N30&lt;$Y$17)),$Y$13&lt;&gt;"size",AND($Y$13="pts",AND(ISNUMBER(C30),IFERROR(IF($Y$13="pts",-C30/$Y$14,IF($Y$13="x",LOG(C30,2),IF($Y$13="xr",-LOG(C30,2),0))),0)&lt;=-0.585))))</formula>
    </cfRule>
    <cfRule type="expression" priority="39" dxfId="33">
      <formula>AND($B30&lt;&gt;"",AND(NOT(AND(ISNUMBER(C30),ISNUMBER(N30),ISNUMBER($Y$17),N30&lt;$Y$17)),$Y$13&lt;&gt;"size",AND(ISNUMBER(C30),IFERROR(IF($Y$13="pts",-C30/$Y$14,IF($Y$13="x",LOG(C30,2),IF($Y$13="xr",-LOG(C30,2),0))),0)&lt;=-0.585)))</formula>
    </cfRule>
    <cfRule type="expression" priority="40" dxfId="34">
      <formula>AND($B30&lt;&gt;"",AND(NOT(AND(ISNUMBER(C30),ISNUMBER(N30),ISNUMBER($Y$17),N30&lt;$Y$17)),$Y$13&lt;&gt;"size",AND($Y$13="pts",AND(ISNUMBER(C30),IFERROR(IF($Y$13="pts",-C30/$Y$14,IF($Y$13="x",LOG(C30,2),IF($Y$13="xr",-LOG(C30,2),0))),0)&lt;=-0.263))))</formula>
    </cfRule>
    <cfRule type="expression" priority="41" dxfId="35">
      <formula>AND($B30&lt;&gt;"",AND(NOT(AND(ISNUMBER(C30),ISNUMBER(N30),ISNUMBER($Y$17),N30&lt;$Y$17)),$Y$13&lt;&gt;"size",AND(ISNUMBER(C30),IFERROR(IF($Y$13="pts",-C30/$Y$14,IF($Y$13="x",LOG(C30,2),IF($Y$13="xr",-LOG(C30,2),0))),0)&lt;=-0.263)))</formula>
    </cfRule>
    <cfRule type="expression" priority="42" dxfId="36">
      <formula>AND($B30&lt;&gt;"",AND(NOT(AND(ISNUMBER(C30),ISNUMBER(N30),ISNUMBER($Y$17),N30&lt;$Y$17)),$Y$13&lt;&gt;"size",AND($Y$13="pts",ISNUMBER(C30))))</formula>
    </cfRule>
    <cfRule type="expression" priority="43" dxfId="12">
      <formula>AND($B30&lt;&gt;"",AND(NOT(AND(ISNUMBER(C30),ISNUMBER(N30),ISNUMBER($Y$17),N30&lt;$Y$17)),$Y$13&lt;&gt;"size",ISNUMBER(C30)))</formula>
    </cfRule>
    <cfRule type="expression" priority="44" dxfId="6">
      <formula>$B30&lt;&gt;""</formula>
    </cfRule>
  </conditionalFormatting>
  <conditionalFormatting sqref="M30:M37">
    <cfRule type="expression" priority="45" dxfId="6">
      <formula>$M30&lt;&gt;""</formula>
    </cfRule>
  </conditionalFormatting>
  <conditionalFormatting sqref="N30:V37">
    <cfRule type="expression" priority="46" dxfId="22">
      <formula>AND($M30&lt;&gt;"",AND(ISNUMBER(N30),NOT(OR($M30="All",N$29="All")),N30/IF($X$18="","",IF(INDEX('_views'!$B:$ZZ,$X$18,1)="","",INDEX('_views'!$B:$ZZ,$X$18,1)))&gt;=0.2))</formula>
    </cfRule>
    <cfRule type="expression" priority="47" dxfId="23">
      <formula>AND($M30&lt;&gt;"",AND(ISNUMBER(N30),NOT(OR($M30="All",N$29="All")),N30/IF($X$18="","",IF(INDEX('_views'!$B:$ZZ,$X$18,1)="","",INDEX('_views'!$B:$ZZ,$X$18,1)))&gt;=0.1))</formula>
    </cfRule>
    <cfRule type="expression" priority="48" dxfId="24">
      <formula>AND($M30&lt;&gt;"",AND(ISNUMBER(N30),NOT(OR($M30="All",N$29="All")),N30/IF($X$18="","",IF(INDEX('_views'!$B:$ZZ,$X$18,1)="","",INDEX('_views'!$B:$ZZ,$X$18,1)))&gt;=0.05))</formula>
    </cfRule>
    <cfRule type="expression" priority="49" dxfId="25">
      <formula>AND($M30&lt;&gt;"",AND(ISNUMBER(N30),NOT(OR($M30="All",N$29="All")),N30/IF($X$18="","",IF(INDEX('_views'!$B:$ZZ,$X$18,1)="","",INDEX('_views'!$B:$ZZ,$X$18,1)))&gt;=0.02))</formula>
    </cfRule>
    <cfRule type="expression" priority="50" dxfId="6">
      <formula>$M30&lt;&gt;""</formula>
    </cfRule>
  </conditionalFormatting>
  <conditionalFormatting sqref="B54:I80">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SYS_FLAG is" error="Pick one from the list." type="list">
      <formula1>='_choices'!$M$2:$M$4</formula1>
    </dataValidation>
    <dataValidation sqref="N13" showDropDown="0" showInputMessage="0" showErrorMessage="1" allowBlank="0" errorTitle="Row" error="Pick one from the list." type="list">
      <formula1>=OFFSET($AE$13,0,0,MAX(1,$AG$13),1)</formula1>
    </dataValidation>
    <dataValidation sqref="R13" showDropDown="0" showInputMessage="0" showErrorMessage="1" allowBlank="0" errorTitle="Column" error="Pick one from the list." type="list">
      <formula1>=OFFSET($AF$13,0,0,MAX(1,$AG$14),1)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S38"/>
  <sheetViews>
    <sheetView showGridLines="0" tabSelected="0" workbookViewId="0">
      <pane ySplit="16" topLeftCell="A17" activePane="bottomLeft" state="frozen"/>
      <selection pane="bottomLeft" activeCell="A1" sqref="A1"/>
    </sheetView>
  </sheetViews>
  <sheetFormatPr baseColWidth="8" defaultRowHeight="15"/>
  <cols>
    <col width="2" customWidth="1" min="1" max="1"/>
    <col width="23" customWidth="1" min="2" max="2"/>
    <col width="13" customWidth="1" min="3" max="3"/>
    <col width="13" customWidth="1" min="4" max="4"/>
    <col width="13" customWidth="1" min="5" max="5"/>
    <col width="20" customWidth="1" min="6" max="6"/>
    <col width="22" customWidth="1" min="7" max="7"/>
    <col width="23" customWidth="1" min="8" max="8"/>
    <col width="22"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by each value of SYS_FLAG: does one value do worse than the rest of its pocket?</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split by their SYS_FLAG. Pick a grid and a value: that value's loans are compared with the rest of the pocket (the other value, when there are two), so the band and segment are the same on both sides. SYS_FLAG isn't a segment of its own while it splits. At most 6 values.</t>
        </is>
      </c>
    </row>
    <row r="5" outlineLevel="1" ht="31" customHeight="1">
      <c r="B5" s="6" t="inlineStr">
        <is>
          <t>Value vs rest</t>
        </is>
      </c>
      <c r="C5" s="7" t="inlineStr">
        <is>
          <t>The value's rate over the rest's: 2.00× means it goes bad, or loses, twice as often. Kept after losses and Earned before losses are a gap in points instead: +0.30 pts means the value keeps 0.30 points more per booked dollar.</t>
        </is>
      </c>
    </row>
    <row r="6" outlineLevel="1" ht="31" customHeight="1">
      <c r="B6" s="6" t="inlineStr">
        <is>
          <t>Value vs rest, all</t>
        </is>
      </c>
      <c r="C6" s="7">
        <f>"The value's actual total against what it would be at the rest's rates, added over every pocket, with its range at "&amp;TEXT(confidence,"0%")&amp;" sure. For Bad loans only, the odds are pooled too (Mantel-Haenszel), with their p-value (Cochran-Mantel-Haenszel), and Cochran's Q asks whether the gap is the same size in every pocket."</f>
        <v/>
      </c>
    </row>
    <row r="7" outlineLevel="1" ht="45" customHeight="1">
      <c r="B7" s="6" t="inlineStr">
        <is>
          <t>Do the values differ?</t>
        </is>
      </c>
      <c r="C7" s="7" t="inlineStr">
        <is>
          <t>For Bad loans, one test of every value at once, pooled over the grid's pockets (the K-group Mantel-Haenszel test, on one fewer degrees of freedom than there are values). Every pocket counts here, however small, so with two values it can differ a little from the odds' p-value, which uses only pockets above the minimums. Not worked out for the dollar measures: the tool has no test of more than two groups at once for a dollar rate.</t>
        </is>
      </c>
    </row>
    <row r="8" outlineLevel="1" ht="59" customHeight="1">
      <c r="B8" s="6" t="inlineStr">
        <is>
          <t>p-value</t>
        </is>
      </c>
      <c r="C8" s="7">
        <f>"The chance of a gap at least this big if the value were no different from the rest. Under "&amp;TEXT(significance_bar,"0%")&amp;" counts, and is bold. Bad loans: the gap in standard errors; a dollar measure: the loans dealt at random inside their pocket, 10,000 times. The allowance for many tests (Benjamini-Hochberg) covers every value and pocket of one grid and measure, and t"&amp;"he summary's p-values across the values; a gap that is not significant is in brackets, unshaded. A blank: the value or the rest has fewer loans or losses than the minimums (65 loans, 10 losses)."&amp;" Borderline: the test's p-value is within the shuffle's own margin of the "&amp;TEXT(significance_bar,"0%")&amp;" bar, so another run could read it the other way."</f>
        <v/>
      </c>
    </row>
    <row r="9" outlineLevel="1" ht="31" customHeight="1">
      <c r="B9" s="6" t="inlineStr">
        <is>
          <t>What it holds</t>
        </is>
      </c>
      <c r="C9" s="7" t="inlineStr">
        <is>
          <t>A grid holds fixed only its band and segment. How closely SYS_FLAG moves with a band column isn't worked out for a category, so a gap here may partly be a column the grid doesn't hold fixed. Loans are treated as independent of each other.</t>
        </is>
      </c>
    </row>
    <row r="10" outlineLevel="1" ht="17" customHeight="1">
      <c r="B10" s="6" t="inlineStr">
        <is>
          <t>As of</t>
        </is>
      </c>
      <c r="C10" s="7" t="inlineStr">
        <is>
          <t>The numbers are the last Run's. The range, the brackets and the bold follow the confidence on Control.</t>
        </is>
      </c>
    </row>
    <row r="12" ht="15" customHeight="1">
      <c r="B12" s="104" t="inlineStr">
        <is>
          <t>LINES IN USE NOW</t>
        </is>
      </c>
      <c r="C12" s="97" t="inlineStr">
        <is>
          <t>Worse at</t>
        </is>
      </c>
      <c r="D12" s="97" t="inlineStr">
        <is>
          <t>Better at</t>
        </is>
      </c>
      <c r="E12" s="97" t="inlineStr">
        <is>
          <t>How sure</t>
        </is>
      </c>
      <c r="F12" s="97" t="inlineStr">
        <is>
          <t>Material at</t>
        </is>
      </c>
      <c r="G12" s="97" t="inlineStr">
        <is>
          <t>Judged against</t>
        </is>
      </c>
      <c r="H12" s="98" t="n"/>
      <c r="I12" s="105" t="inlineStr">
        <is>
          <t>The numbers are from the last Run, 2026-09-30 04:03.</t>
        </is>
      </c>
    </row>
    <row r="13" ht="22" customHeight="1">
      <c r="B13" s="106" t="inlineStr">
        <is>
          <t>live from Control</t>
        </is>
      </c>
      <c r="C13" s="107">
        <f>worse_at</f>
        <v/>
      </c>
      <c r="D13" s="107">
        <f>better_at</f>
        <v/>
      </c>
      <c r="E13" s="108">
        <f>confidence</f>
        <v/>
      </c>
      <c r="F13" s="11">
        <f>IFERROR(IF(materiality_kind="none","No floor",IF(INDEX(line_values,MATCH("gco_rate",line_keys,0))="","No line",IF(FALSE,TEXT(INDEX(line_values,MATCH("gco_rate",line_keys,0)),"#,##0.0")&amp;" bad loans","$"&amp;TEXT(INDEX(line_values,MATCH("gco_rate",line_keys,0)),"#,##0")))),"")</f>
        <v/>
      </c>
      <c r="G13" s="11">
        <f>IF(judged_band,"Rest of its band","Rest of the book")</f>
        <v/>
      </c>
      <c r="I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 · SYS_FLAG N vs Y</t>
        </is>
      </c>
      <c r="C16" s="126" t="n"/>
      <c r="D16" s="119" t="n"/>
      <c r="E16" s="136">
        <f>IF($N$16="","",IF(INDEX('_views'!$B:$ZZ,$N$16,1)="","",INDEX('_views'!$B:$ZZ,$N$16,1)))</f>
        <v/>
      </c>
      <c r="G16" s="105">
        <f>IF($N$16="","",IF(INDEX('_views'!$B:$ZZ,$N$16,3)="","",INDEX('_views'!$B:$ZZ,$N$16,3)))</f>
        <v/>
      </c>
      <c r="N16">
        <f>IFERROR(MATCH("S|"&amp;$B$16&amp;"|chip",'_views'!$A:$A,0),"")</f>
        <v/>
      </c>
    </row>
    <row r="18" ht="30" customHeight="1">
      <c r="B18" s="134" t="inlineStr">
        <is>
          <t>Measure</t>
        </is>
      </c>
      <c r="C18" s="135" t="inlineStr">
        <is>
          <t>Pockets</t>
        </is>
      </c>
      <c r="D18" s="135" t="inlineStr">
        <is>
          <t>Worse than the rest in</t>
        </is>
      </c>
      <c r="E18" s="135" t="inlineStr">
        <is>
          <t>Value vs rest, all</t>
        </is>
      </c>
      <c r="F18" s="135">
        <f>"Range ("&amp;TEXT(confidence,"0%")&amp;" sure)"</f>
        <v/>
      </c>
      <c r="G18" s="135" t="inlineStr">
        <is>
          <t>p-value</t>
        </is>
      </c>
      <c r="H18" s="135" t="inlineStr">
        <is>
          <t>As odds</t>
        </is>
      </c>
      <c r="I18" s="135" t="inlineStr">
        <is>
          <t>p-value, as odds</t>
        </is>
      </c>
    </row>
    <row r="19" ht="16" customHeight="1">
      <c r="B19" s="137">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8">
        <f>IF(AND(ISNUMBER(IF($N19="","",IF(INDEX('_views'!$B:$ZZ,$N19,7)="","",INDEX('_views'!$B:$ZZ,$N19,7)))),ISNUMBER(IF($N19="","",IF(INDEX('_views'!$B:$ZZ,$N19,15)="","",INDEX('_views'!$B:$ZZ,$N19,15))))),IF(ABS(IF($N19="","",IF(INDEX('_views'!$B:$ZZ,$N19,7)="","",INDEX('_views'!$B:$ZZ,$N19,7)))-significance_bar)&lt;=2.0*IF($N19="","",IF(INDEX('_views'!$B:$ZZ,$N19,15)="","",INDEX('_views'!$B:$ZZ,$N19,15))),"borderline (p "&amp;IF(ROUND(IF($N19="","",IF(INDEX('_views'!$B:$ZZ,$N19,7)="","",INDEX('_views'!$B:$ZZ,$N19,7))),3)=ROUND(significance_bar,3),TEXT(IF($N19="","",IF(INDEX('_views'!$B:$ZZ,$N19,7)="","",INDEX('_views'!$B:$ZZ,$N19,7))),"0.0000"),TEXT(IF($N19="","",IF(INDEX('_views'!$B:$ZZ,$N19,7)="","",INDEX('_views'!$B:$ZZ,$N19,7))),"0.000"))&amp;")",IF($N19="","",IF(INDEX('_views'!$B:$ZZ,$N19,7)="","",INDEX('_views'!$B:$ZZ,$N19,7)))),IF(IF($N19="","",IF(INDEX('_views'!$B:$ZZ,$N19,7)="","",INDEX('_views'!$B:$ZZ,$N19,7)))="","",IF($N19="","",IF(INDEX('_views'!$B:$ZZ,$N19,7)="","",INDEX('_views'!$B:$ZZ,$N19,7)))))</f>
        <v/>
      </c>
      <c r="H19" s="101">
        <f>IF($N19="","",IF(INDEX('_views'!$B:$ZZ,$N19,8)="","",INDEX('_views'!$B:$ZZ,$N19,8)))</f>
        <v/>
      </c>
      <c r="I19" s="138">
        <f>IF($N19="","",IF(INDEX('_views'!$B:$ZZ,$N19,9)="","",INDEX('_views'!$B:$ZZ,$N19,9)))</f>
        <v/>
      </c>
      <c r="N19">
        <f>IFERROR(MATCH("S|"&amp;$B$16&amp;"|sum|1",'_views'!$A:$A,0),"")</f>
        <v/>
      </c>
    </row>
    <row r="20" ht="16" customHeight="1">
      <c r="B20" s="137">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8">
        <f>IF(AND(ISNUMBER(IF($N20="","",IF(INDEX('_views'!$B:$ZZ,$N20,7)="","",INDEX('_views'!$B:$ZZ,$N20,7)))),ISNUMBER(IF($N20="","",IF(INDEX('_views'!$B:$ZZ,$N20,15)="","",INDEX('_views'!$B:$ZZ,$N20,15))))),IF(ABS(IF($N20="","",IF(INDEX('_views'!$B:$ZZ,$N20,7)="","",INDEX('_views'!$B:$ZZ,$N20,7)))-significance_bar)&lt;=2.0*IF($N20="","",IF(INDEX('_views'!$B:$ZZ,$N20,15)="","",INDEX('_views'!$B:$ZZ,$N20,15))),"borderline (p "&amp;IF(ROUND(IF($N20="","",IF(INDEX('_views'!$B:$ZZ,$N20,7)="","",INDEX('_views'!$B:$ZZ,$N20,7))),3)=ROUND(significance_bar,3),TEXT(IF($N20="","",IF(INDEX('_views'!$B:$ZZ,$N20,7)="","",INDEX('_views'!$B:$ZZ,$N20,7))),"0.0000"),TEXT(IF($N20="","",IF(INDEX('_views'!$B:$ZZ,$N20,7)="","",INDEX('_views'!$B:$ZZ,$N20,7))),"0.000"))&amp;")",IF($N20="","",IF(INDEX('_views'!$B:$ZZ,$N20,7)="","",INDEX('_views'!$B:$ZZ,$N20,7)))),IF(IF($N20="","",IF(INDEX('_views'!$B:$ZZ,$N20,7)="","",INDEX('_views'!$B:$ZZ,$N20,7)))="","",IF($N20="","",IF(INDEX('_views'!$B:$ZZ,$N20,7)="","",INDEX('_views'!$B:$ZZ,$N20,7)))))</f>
        <v/>
      </c>
      <c r="H20" s="101">
        <f>IF($N20="","",IF(INDEX('_views'!$B:$ZZ,$N20,8)="","",INDEX('_views'!$B:$ZZ,$N20,8)))</f>
        <v/>
      </c>
      <c r="I20" s="138">
        <f>IF($N20="","",IF(INDEX('_views'!$B:$ZZ,$N20,9)="","",INDEX('_views'!$B:$ZZ,$N20,9)))</f>
        <v/>
      </c>
      <c r="N20">
        <f>IFERROR(MATCH("S|"&amp;$B$16&amp;"|sum|2",'_views'!$A:$A,0),"")</f>
        <v/>
      </c>
    </row>
    <row r="21" ht="16" customHeight="1">
      <c r="B21" s="137">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8">
        <f>IF(AND(ISNUMBER(IF($N21="","",IF(INDEX('_views'!$B:$ZZ,$N21,7)="","",INDEX('_views'!$B:$ZZ,$N21,7)))),ISNUMBER(IF($N21="","",IF(INDEX('_views'!$B:$ZZ,$N21,15)="","",INDEX('_views'!$B:$ZZ,$N21,15))))),IF(ABS(IF($N21="","",IF(INDEX('_views'!$B:$ZZ,$N21,7)="","",INDEX('_views'!$B:$ZZ,$N21,7)))-significance_bar)&lt;=2.0*IF($N21="","",IF(INDEX('_views'!$B:$ZZ,$N21,15)="","",INDEX('_views'!$B:$ZZ,$N21,15))),"borderline (p "&amp;IF(ROUND(IF($N21="","",IF(INDEX('_views'!$B:$ZZ,$N21,7)="","",INDEX('_views'!$B:$ZZ,$N21,7))),3)=ROUND(significance_bar,3),TEXT(IF($N21="","",IF(INDEX('_views'!$B:$ZZ,$N21,7)="","",INDEX('_views'!$B:$ZZ,$N21,7))),"0.0000"),TEXT(IF($N21="","",IF(INDEX('_views'!$B:$ZZ,$N21,7)="","",INDEX('_views'!$B:$ZZ,$N21,7))),"0.000"))&amp;")",IF($N21="","",IF(INDEX('_views'!$B:$ZZ,$N21,7)="","",INDEX('_views'!$B:$ZZ,$N21,7)))),IF(IF($N21="","",IF(INDEX('_views'!$B:$ZZ,$N21,7)="","",INDEX('_views'!$B:$ZZ,$N21,7)))="","",IF($N21="","",IF(INDEX('_views'!$B:$ZZ,$N21,7)="","",INDEX('_views'!$B:$ZZ,$N21,7)))))</f>
        <v/>
      </c>
      <c r="H21" s="101">
        <f>IF($N21="","",IF(INDEX('_views'!$B:$ZZ,$N21,8)="","",INDEX('_views'!$B:$ZZ,$N21,8)))</f>
        <v/>
      </c>
      <c r="I21" s="138">
        <f>IF($N21="","",IF(INDEX('_views'!$B:$ZZ,$N21,9)="","",INDEX('_views'!$B:$ZZ,$N21,9)))</f>
        <v/>
      </c>
      <c r="N21">
        <f>IFERROR(MATCH("S|"&amp;$B$16&amp;"|sum|3",'_views'!$A:$A,0),"")</f>
        <v/>
      </c>
    </row>
    <row r="22" ht="16" customHeight="1">
      <c r="B22" s="137">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8">
        <f>IF(AND(ISNUMBER(IF($N22="","",IF(INDEX('_views'!$B:$ZZ,$N22,7)="","",INDEX('_views'!$B:$ZZ,$N22,7)))),ISNUMBER(IF($N22="","",IF(INDEX('_views'!$B:$ZZ,$N22,15)="","",INDEX('_views'!$B:$ZZ,$N22,15))))),IF(ABS(IF($N22="","",IF(INDEX('_views'!$B:$ZZ,$N22,7)="","",INDEX('_views'!$B:$ZZ,$N22,7)))-significance_bar)&lt;=2.0*IF($N22="","",IF(INDEX('_views'!$B:$ZZ,$N22,15)="","",INDEX('_views'!$B:$ZZ,$N22,15))),"borderline (p "&amp;IF(ROUND(IF($N22="","",IF(INDEX('_views'!$B:$ZZ,$N22,7)="","",INDEX('_views'!$B:$ZZ,$N22,7))),3)=ROUND(significance_bar,3),TEXT(IF($N22="","",IF(INDEX('_views'!$B:$ZZ,$N22,7)="","",INDEX('_views'!$B:$ZZ,$N22,7))),"0.0000"),TEXT(IF($N22="","",IF(INDEX('_views'!$B:$ZZ,$N22,7)="","",INDEX('_views'!$B:$ZZ,$N22,7))),"0.000"))&amp;")",IF($N22="","",IF(INDEX('_views'!$B:$ZZ,$N22,7)="","",INDEX('_views'!$B:$ZZ,$N22,7)))),IF(IF($N22="","",IF(INDEX('_views'!$B:$ZZ,$N22,7)="","",INDEX('_views'!$B:$ZZ,$N22,7)))="","",IF($N22="","",IF(INDEX('_views'!$B:$ZZ,$N22,7)="","",INDEX('_views'!$B:$ZZ,$N22,7)))))</f>
        <v/>
      </c>
      <c r="H22" s="101">
        <f>IF($N22="","",IF(INDEX('_views'!$B:$ZZ,$N22,8)="","",INDEX('_views'!$B:$ZZ,$N22,8)))</f>
        <v/>
      </c>
      <c r="I22" s="138">
        <f>IF($N22="","",IF(INDEX('_views'!$B:$ZZ,$N22,9)="","",INDEX('_views'!$B:$ZZ,$N22,9)))</f>
        <v/>
      </c>
      <c r="N22">
        <f>IFERROR(MATCH("S|"&amp;$B$16&amp;"|sum|4",'_views'!$A:$A,0),"")</f>
        <v/>
      </c>
    </row>
    <row r="23" ht="16" customHeight="1">
      <c r="B23" s="137">
        <f>IF($N23="","",IF(INDEX('_views'!$B:$ZZ,$N23,1)="","",INDEX('_views'!$B:$ZZ,$N23,1)))</f>
        <v/>
      </c>
      <c r="C23" s="38">
        <f>IF($N23="","",IF(INDEX('_views'!$B:$ZZ,$N23,2)="","",INDEX('_views'!$B:$ZZ,$N23,2)))</f>
        <v/>
      </c>
      <c r="D23" s="38">
        <f>IF($N23="","",IF(INDEX('_views'!$B:$ZZ,$N23,3)="","",INDEX('_views'!$B:$ZZ,$N23,3)))</f>
        <v/>
      </c>
      <c r="E23" s="101">
        <f>IF($N23="","",IF(INDEX('_views'!$B:$ZZ,$N23,4)="","",INDEX('_views'!$B:$ZZ,$N23,4)))</f>
        <v/>
      </c>
      <c r="F23" s="38">
        <f>IF(OR(IF($N23="","",IF(INDEX('_views'!$B:$ZZ,$N23,5)="","",INDEX('_views'!$B:$ZZ,$N23,5)))="",IF($N23="","",IF(INDEX('_views'!$B:$ZZ,$N23,4)="","",INDEX('_views'!$B:$ZZ,$N23,4)))=""),"",IF(IF($N23="","",IF(INDEX('_views'!$B:$ZZ,$N23,6)="","",INDEX('_views'!$B:$ZZ,$N23,6)))="pts",TEXT(IF($N23="","",IF(INDEX('_views'!$B:$ZZ,$N23,4)="","",INDEX('_views'!$B:$ZZ,$N23,4)))-NORMSINV(1-(1-confidence)/2)*IF($N23="","",IF(INDEX('_views'!$B:$ZZ,$N23,5)="","",INDEX('_views'!$B:$ZZ,$N23,5))),"+0.00;-0.00")&amp;" to "&amp;TEXT(IF($N23="","",IF(INDEX('_views'!$B:$ZZ,$N23,4)="","",INDEX('_views'!$B:$ZZ,$N23,4)))+NORMSINV(1-(1-confidence)/2)*IF($N23="","",IF(INDEX('_views'!$B:$ZZ,$N23,5)="","",INDEX('_views'!$B:$ZZ,$N23,5))),"+0.00;-0.00")&amp;" pts",TEXT(MAX(IF($N23="","",IF(INDEX('_views'!$B:$ZZ,$N23,4)="","",INDEX('_views'!$B:$ZZ,$N23,4)))-NORMSINV(1-(1-confidence)/2)*IF($N23="","",IF(INDEX('_views'!$B:$ZZ,$N23,5)="","",INDEX('_views'!$B:$ZZ,$N23,5))),0),"0.00")&amp;"× to "&amp;TEXT(IF($N23="","",IF(INDEX('_views'!$B:$ZZ,$N23,4)="","",INDEX('_views'!$B:$ZZ,$N23,4)))+NORMSINV(1-(1-confidence)/2)*IF($N23="","",IF(INDEX('_views'!$B:$ZZ,$N23,5)="","",INDEX('_views'!$B:$ZZ,$N23,5))),"0.00")&amp;"×"))</f>
        <v/>
      </c>
      <c r="G23" s="138">
        <f>IF(AND(ISNUMBER(IF($N23="","",IF(INDEX('_views'!$B:$ZZ,$N23,7)="","",INDEX('_views'!$B:$ZZ,$N23,7)))),ISNUMBER(IF($N23="","",IF(INDEX('_views'!$B:$ZZ,$N23,15)="","",INDEX('_views'!$B:$ZZ,$N23,15))))),IF(ABS(IF($N23="","",IF(INDEX('_views'!$B:$ZZ,$N23,7)="","",INDEX('_views'!$B:$ZZ,$N23,7)))-significance_bar)&lt;=2.0*IF($N23="","",IF(INDEX('_views'!$B:$ZZ,$N23,15)="","",INDEX('_views'!$B:$ZZ,$N23,15))),"borderline (p "&amp;IF(ROUND(IF($N23="","",IF(INDEX('_views'!$B:$ZZ,$N23,7)="","",INDEX('_views'!$B:$ZZ,$N23,7))),3)=ROUND(significance_bar,3),TEXT(IF($N23="","",IF(INDEX('_views'!$B:$ZZ,$N23,7)="","",INDEX('_views'!$B:$ZZ,$N23,7))),"0.0000"),TEXT(IF($N23="","",IF(INDEX('_views'!$B:$ZZ,$N23,7)="","",INDEX('_views'!$B:$ZZ,$N23,7))),"0.000"))&amp;")",IF($N23="","",IF(INDEX('_views'!$B:$ZZ,$N23,7)="","",INDEX('_views'!$B:$ZZ,$N23,7)))),IF(IF($N23="","",IF(INDEX('_views'!$B:$ZZ,$N23,7)="","",INDEX('_views'!$B:$ZZ,$N23,7)))="","",IF($N23="","",IF(INDEX('_views'!$B:$ZZ,$N23,7)="","",INDEX('_views'!$B:$ZZ,$N23,7)))))</f>
        <v/>
      </c>
      <c r="H23" s="101">
        <f>IF($N23="","",IF(INDEX('_views'!$B:$ZZ,$N23,8)="","",INDEX('_views'!$B:$ZZ,$N23,8)))</f>
        <v/>
      </c>
      <c r="I23" s="138">
        <f>IF($N23="","",IF(INDEX('_views'!$B:$ZZ,$N23,9)="","",INDEX('_views'!$B:$ZZ,$N23,9)))</f>
        <v/>
      </c>
      <c r="N23">
        <f>IFERROR(MATCH("S|"&amp;$B$16&amp;"|sum|5",'_views'!$A:$A,0),"")</f>
        <v/>
      </c>
    </row>
    <row r="24">
      <c r="B24" s="113">
        <f>"Same in every pocket? "&amp;"Bad loans: "&amp;IF(IF($N19="","",IF(INDEX('_views'!$B:$ZZ,$N19,10)="","",INDEX('_views'!$B:$ZZ,$N19,10)))="",IF(IF($N19="","",IF(INDEX('_views'!$B:$ZZ,$N19,11)="","",INDEX('_views'!$B:$ZZ,$N19,11)))="","not tested",IF($N19="","",IF(INDEX('_views'!$B:$ZZ,$N19,11)="","",INDEX('_views'!$B:$ZZ,$N19,11)))),IF(AND(ISNUMBER(IF($N19="","",IF(INDEX('_views'!$B:$ZZ,$N19,10)="","",INDEX('_views'!$B:$ZZ,$N19,10)))),IF($N19="","",IF(INDEX('_views'!$B:$ZZ,$N19,10)="","",INDEX('_views'!$B:$ZZ,$N19,10)))&lt;significance_bar),"bigger in some pockets than others","no sign the gap differs between pockets"))&amp;"; "&amp;"Bad dollars, Charge-offs, Kept after losses, Earned before losses: not tested: dollar rate"&amp;"."</f>
        <v/>
      </c>
    </row>
    <row r="25">
      <c r="B25" s="113">
        <f>"Do the values of SYS_FLAG differ at all? "&amp;"Bad loans: "&amp;IF(IF($N19="","",IF(INDEX('_views'!$B:$ZZ,$N19,12)="","",INDEX('_views'!$B:$ZZ,$N19,12)))="","not tested",IF(AND(ISNUMBER(IF($N19="","",IF(INDEX('_views'!$B:$ZZ,$N19,12)="","",INDEX('_views'!$B:$ZZ,$N19,12)))),IF($N19="","",IF(INDEX('_views'!$B:$ZZ,$N19,12)="","",INDEX('_views'!$B:$ZZ,$N19,12)))&lt;significance_bar),"yes","no sign they do")&amp;" (p-value "&amp;IF(IF($N19="","",IF(INDEX('_views'!$B:$ZZ,$N19,12)="","",INDEX('_views'!$B:$ZZ,$N19,12)))&lt;0.0001,"under 0.0001",TEXT(IF($N19="","",IF(INDEX('_views'!$B:$ZZ,$N19,12)="","",INDEX('_views'!$B:$ZZ,$N19,12))),"0.0000"))&amp;", on "&amp;IF($N19="","",IF(INDEX('_views'!$B:$ZZ,$N19,13)="","",INDEX('_views'!$B:$ZZ,$N19,13)))&amp;IF(IF($N19="","",IF(INDEX('_views'!$B:$ZZ,$N19,13)="","",INDEX('_views'!$B:$ZZ,$N19,13)))=1," degree"," degrees")&amp;" of freedom, "&amp;IF($N19="","",IF(INDEX('_views'!$B:$ZZ,$N19,14)="","",INDEX('_views'!$B:$ZZ,$N19,14)))&amp;" pockets)")&amp;"; "&amp;"Bad dollars, Charge-offs, Kept after losses, Earned before losses: not tested: dollar rate"&amp;"."</f>
        <v/>
      </c>
    </row>
    <row r="27">
      <c r="B27" s="110" t="inlineStr">
        <is>
          <t>MEASURE</t>
        </is>
      </c>
    </row>
    <row r="28" ht="20" customHeight="1">
      <c r="B28" s="32" t="inlineStr">
        <is>
          <t>Bad loans</t>
        </is>
      </c>
      <c r="O28">
        <f>IFERROR(INDEX('_choices'!$P$2:$P$6,MATCH($B$28,'_choices'!$O$2:$O$6,0)),"")</f>
        <v/>
      </c>
      <c r="P28">
        <f>IF($O$29="","",IF(INDEX('_views'!$B:$ZZ,$O$29,1)="","",INDEX('_views'!$B:$ZZ,$O$29,1)))</f>
        <v/>
      </c>
    </row>
    <row r="29">
      <c r="O29">
        <f>IFERROR(MATCH("S|"&amp;$B$16&amp;"|"&amp;$O$28&amp;"|meta",'_views'!$A:$A,0),"")</f>
        <v/>
      </c>
      <c r="P29">
        <f>IF($O$29="","",IF(INDEX('_views'!$B:$ZZ,$O$29,2)="","",INDEX('_views'!$B:$ZZ,$O$29,2)))</f>
        <v/>
      </c>
    </row>
    <row r="30" ht="20" customHeight="1">
      <c r="B30" s="127">
        <f>$B$28&amp;", value vs rest"</f>
        <v/>
      </c>
      <c r="C30" s="26" t="n"/>
      <c r="D30" s="26" t="n"/>
      <c r="E30" s="26" t="n"/>
      <c r="F30" s="26" t="n"/>
      <c r="H30" s="127" t="inlineStr">
        <is>
          <t>p-value per pocket</t>
        </is>
      </c>
      <c r="I30" s="26" t="n"/>
      <c r="J30" s="26" t="n"/>
      <c r="K30" s="26" t="n"/>
      <c r="L30" s="26" t="n"/>
      <c r="O30">
        <f>IFERROR(MATCH("S|"&amp;$B$16&amp;"|rows",'_views'!$A:$A,0),"")</f>
        <v/>
      </c>
    </row>
    <row r="31" ht="16" customHeight="1">
      <c r="B31" s="5" t="n"/>
      <c r="C31" s="128">
        <f>IF($O$31="","",IF(INDEX('_views'!$B:$ZZ,$O$31,1)="","",INDEX('_views'!$B:$ZZ,$O$31,1)))</f>
        <v/>
      </c>
      <c r="D31" s="128">
        <f>IF($O$31="","",IF(INDEX('_views'!$B:$ZZ,$O$31,2)="","",INDEX('_views'!$B:$ZZ,$O$31,2)))</f>
        <v/>
      </c>
      <c r="E31" s="128">
        <f>IF($O$31="","",IF(INDEX('_views'!$B:$ZZ,$O$31,3)="","",INDEX('_views'!$B:$ZZ,$O$31,3)))</f>
        <v/>
      </c>
      <c r="F31" s="128">
        <f>IF($O$31="","",IF(INDEX('_views'!$B:$ZZ,$O$31,4)="","",INDEX('_views'!$B:$ZZ,$O$31,4)))</f>
        <v/>
      </c>
      <c r="H31" s="5" t="n"/>
      <c r="I31" s="128">
        <f>IF($O$31="","",IF(INDEX('_views'!$B:$ZZ,$O$31,1)="","",INDEX('_views'!$B:$ZZ,$O$31,1)))</f>
        <v/>
      </c>
      <c r="J31" s="128">
        <f>IF($O$31="","",IF(INDEX('_views'!$B:$ZZ,$O$31,2)="","",INDEX('_views'!$B:$ZZ,$O$31,2)))</f>
        <v/>
      </c>
      <c r="K31" s="128">
        <f>IF($O$31="","",IF(INDEX('_views'!$B:$ZZ,$O$31,3)="","",INDEX('_views'!$B:$ZZ,$O$31,3)))</f>
        <v/>
      </c>
      <c r="L31" s="128">
        <f>IF($O$31="","",IF(INDEX('_views'!$B:$ZZ,$O$31,4)="","",INDEX('_views'!$B:$ZZ,$O$31,4)))</f>
        <v/>
      </c>
      <c r="O31">
        <f>IFERROR(MATCH("S|"&amp;$B$16&amp;"|cols",'_views'!$A:$A,0),"")</f>
        <v/>
      </c>
    </row>
    <row r="32" ht="16" customHeight="1">
      <c r="B32" s="113">
        <f>IF($O$30="","",IF(INDEX('_views'!$B:$ZZ,$O$30,1)="","",INDEX('_views'!$B:$ZZ,$O$30,1)))</f>
        <v/>
      </c>
      <c r="C32" s="116">
        <f>IF(IF($Q32="","",IF(INDEX('_views'!$B:$ZZ,$Q32,1)="","",INDEX('_views'!$B:$ZZ,$Q32,1)))="","",IF(AND(ISNUMBER(IF($R32="","",IF(INDEX('_views'!$B:$ZZ,$R32,1)="","",INDEX('_views'!$B:$ZZ,$R32,1)))),IF($R32="","",IF(INDEX('_views'!$B:$ZZ,$R32,1)="","",INDEX('_views'!$B:$ZZ,$R32,1)))&lt;significance_bar),IF($Q32="","",IF(INDEX('_views'!$B:$ZZ,$Q32,1)="","",INDEX('_views'!$B:$ZZ,$Q32,1))),IF($P$28="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$28="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$28="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$28="pts","("&amp;TEXT(IF($Q32="","",IF(INDEX('_views'!$B:$ZZ,$Q32,4)="","",INDEX('_views'!$B:$ZZ,$Q32,4))),"+0.00;-0.00")&amp;" pts)","("&amp;TEXT(IF($Q32="","",IF(INDEX('_views'!$B:$ZZ,$Q32,4)="","",INDEX('_views'!$B:$ZZ,$Q32,4))),"0.00")&amp;"×)")))</f>
        <v/>
      </c>
      <c r="H32" s="113">
        <f>IF($O$30="","",IF(INDEX('_views'!$B:$ZZ,$O$30,1)="","",INDEX('_views'!$B:$ZZ,$O$30,1)))</f>
        <v/>
      </c>
      <c r="I32" s="118">
        <f>IF(AND(ISNUMBER(IF($R32="","",IF(INDEX('_views'!$B:$ZZ,$R32,1)="","",INDEX('_views'!$B:$ZZ,$R32,1)))),ISNUMBER(IF($S32="","",IF(INDEX('_views'!$B:$ZZ,$S32,1)="","",INDEX('_views'!$B:$ZZ,$S32,1))))),IF(ABS(IF($R32="","",IF(INDEX('_views'!$B:$ZZ,$R32,1)="","",INDEX('_views'!$B:$ZZ,$R32,1)))-significance_bar)&lt;=2.0*IF($S32="","",IF(INDEX('_views'!$B:$ZZ,$S32,1)="","",INDEX('_views'!$B:$ZZ,$S32,1))),"borderline (p "&amp;IF(ROUND(IF($R32="","",IF(INDEX('_views'!$B:$ZZ,$R32,1)="","",INDEX('_views'!$B:$ZZ,$R32,1))),3)=ROUND(significance_bar,3),TEXT(IF($R32="","",IF(INDEX('_views'!$B:$ZZ,$R32,1)="","",INDEX('_views'!$B:$ZZ,$R32,1))),"0.0000"),TEXT(IF($R32="","",IF(INDEX('_views'!$B:$ZZ,$R32,1)="","",INDEX('_views'!$B:$ZZ,$R32,1))),"0.000"))&amp;")",IF($R32="","",IF(INDEX('_views'!$B:$ZZ,$R32,1)="","",INDEX('_views'!$B:$ZZ,$R32,1)))),IF(IF($R32="","",IF(INDEX('_views'!$B:$ZZ,$R32,1)="","",INDEX('_views'!$B:$ZZ,$R32,1)))="","",IF($R32="","",IF(INDEX('_views'!$B:$ZZ,$R32,1)="","",INDEX('_views'!$B:$ZZ,$R32,1)))))</f>
        <v/>
      </c>
      <c r="J32" s="118">
        <f>IF(AND(ISNUMBER(IF($R32="","",IF(INDEX('_views'!$B:$ZZ,$R32,2)="","",INDEX('_views'!$B:$ZZ,$R32,2)))),ISNUMBER(IF($S32="","",IF(INDEX('_views'!$B:$ZZ,$S32,2)="","",INDEX('_views'!$B:$ZZ,$S32,2))))),IF(ABS(IF($R32="","",IF(INDEX('_views'!$B:$ZZ,$R32,2)="","",INDEX('_views'!$B:$ZZ,$R32,2)))-significance_bar)&lt;=2.0*IF($S32="","",IF(INDEX('_views'!$B:$ZZ,$S32,2)="","",INDEX('_views'!$B:$ZZ,$S32,2))),"borderline (p "&amp;IF(ROUND(IF($R32="","",IF(INDEX('_views'!$B:$ZZ,$R32,2)="","",INDEX('_views'!$B:$ZZ,$R32,2))),3)=ROUND(significance_bar,3),TEXT(IF($R32="","",IF(INDEX('_views'!$B:$ZZ,$R32,2)="","",INDEX('_views'!$B:$ZZ,$R32,2))),"0.0000"),TEXT(IF($R32="","",IF(INDEX('_views'!$B:$ZZ,$R32,2)="","",INDEX('_views'!$B:$ZZ,$R32,2))),"0.000"))&amp;")",IF($R32="","",IF(INDEX('_views'!$B:$ZZ,$R32,2)="","",INDEX('_views'!$B:$ZZ,$R32,2)))),IF(IF($R32="","",IF(INDEX('_views'!$B:$ZZ,$R32,2)="","",INDEX('_views'!$B:$ZZ,$R32,2)))="","",IF($R32="","",IF(INDEX('_views'!$B:$ZZ,$R32,2)="","",INDEX('_views'!$B:$ZZ,$R32,2)))))</f>
        <v/>
      </c>
      <c r="K32" s="118">
        <f>IF(AND(ISNUMBER(IF($R32="","",IF(INDEX('_views'!$B:$ZZ,$R32,3)="","",INDEX('_views'!$B:$ZZ,$R32,3)))),ISNUMBER(IF($S32="","",IF(INDEX('_views'!$B:$ZZ,$S32,3)="","",INDEX('_views'!$B:$ZZ,$S32,3))))),IF(ABS(IF($R32="","",IF(INDEX('_views'!$B:$ZZ,$R32,3)="","",INDEX('_views'!$B:$ZZ,$R32,3)))-significance_bar)&lt;=2.0*IF($S32="","",IF(INDEX('_views'!$B:$ZZ,$S32,3)="","",INDEX('_views'!$B:$ZZ,$S32,3))),"borderline (p "&amp;IF(ROUND(IF($R32="","",IF(INDEX('_views'!$B:$ZZ,$R32,3)="","",INDEX('_views'!$B:$ZZ,$R32,3))),3)=ROUND(significance_bar,3),TEXT(IF($R32="","",IF(INDEX('_views'!$B:$ZZ,$R32,3)="","",INDEX('_views'!$B:$ZZ,$R32,3))),"0.0000"),TEXT(IF($R32="","",IF(INDEX('_views'!$B:$ZZ,$R32,3)="","",INDEX('_views'!$B:$ZZ,$R32,3))),"0.000"))&amp;")",IF($R32="","",IF(INDEX('_views'!$B:$ZZ,$R32,3)="","",INDEX('_views'!$B:$ZZ,$R32,3)))),IF(IF($R32="","",IF(INDEX('_views'!$B:$ZZ,$R32,3)="","",INDEX('_views'!$B:$ZZ,$R32,3)))="","",IF($R32="","",IF(INDEX('_views'!$B:$ZZ,$R32,3)="","",INDEX('_views'!$B:$ZZ,$R32,3)))))</f>
        <v/>
      </c>
      <c r="L32" s="118">
        <f>IF(AND(ISNUMBER(IF($R32="","",IF(INDEX('_views'!$B:$ZZ,$R32,4)="","",INDEX('_views'!$B:$ZZ,$R32,4)))),ISNUMBER(IF($S32="","",IF(INDEX('_views'!$B:$ZZ,$S32,4)="","",INDEX('_views'!$B:$ZZ,$S32,4))))),IF(ABS(IF($R32="","",IF(INDEX('_views'!$B:$ZZ,$R32,4)="","",INDEX('_views'!$B:$ZZ,$R32,4)))-significance_bar)&lt;=2.0*IF($S32="","",IF(INDEX('_views'!$B:$ZZ,$S32,4)="","",INDEX('_views'!$B:$ZZ,$S32,4))),"borderline (p "&amp;IF(ROUND(IF($R32="","",IF(INDEX('_views'!$B:$ZZ,$R32,4)="","",INDEX('_views'!$B:$ZZ,$R32,4))),3)=ROUND(significance_bar,3),TEXT(IF($R32="","",IF(INDEX('_views'!$B:$ZZ,$R32,4)="","",INDEX('_views'!$B:$ZZ,$R32,4))),"0.0000"),TEXT(IF($R32="","",IF(INDEX('_views'!$B:$ZZ,$R32,4)="","",INDEX('_views'!$B:$ZZ,$R32,4))),"0.000"))&amp;")",IF($R32="","",IF(INDEX('_views'!$B:$ZZ,$R32,4)="","",INDEX('_views'!$B:$ZZ,$R32,4)))),IF(IF($R32="","",IF(INDEX('_views'!$B:$ZZ,$R32,4)="","",INDEX('_views'!$B:$ZZ,$R32,4)))="","",IF($R32="","",IF(INDEX('_views'!$B:$ZZ,$R32,4)="","",INDEX('_views'!$B:$ZZ,$R32,4)))))</f>
        <v/>
      </c>
      <c r="Q32">
        <f>IFERROR(MATCH("S|"&amp;$B$16&amp;"|"&amp;$O$28&amp;"|v|1",'_views'!$A:$A,0),"")</f>
        <v/>
      </c>
      <c r="R32">
        <f>IFERROR(MATCH("S|"&amp;$B$16&amp;"|"&amp;$O$28&amp;"|p|1",'_views'!$A:$A,0),"")</f>
        <v/>
      </c>
      <c r="S32">
        <f>IFERROR(MATCH("S|"&amp;$B$16&amp;"|"&amp;$O$28&amp;"|se|1",'_views'!$A:$A,0),"")</f>
        <v/>
      </c>
    </row>
    <row r="33" ht="16" customHeight="1">
      <c r="B33" s="113">
        <f>IF($O$30="","",IF(INDEX('_views'!$B:$ZZ,$O$30,2)="","",INDEX('_views'!$B:$ZZ,$O$30,2)))</f>
        <v/>
      </c>
      <c r="C33" s="116">
        <f>IF(IF($Q33="","",IF(INDEX('_views'!$B:$ZZ,$Q33,1)="","",INDEX('_views'!$B:$ZZ,$Q33,1)))="","",IF(AND(ISNUMBER(IF($R33="","",IF(INDEX('_views'!$B:$ZZ,$R33,1)="","",INDEX('_views'!$B:$ZZ,$R33,1)))),IF($R33="","",IF(INDEX('_views'!$B:$ZZ,$R33,1)="","",INDEX('_views'!$B:$ZZ,$R33,1)))&lt;significance_bar),IF($Q33="","",IF(INDEX('_views'!$B:$ZZ,$Q33,1)="","",INDEX('_views'!$B:$ZZ,$Q33,1))),IF($P$28="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$28="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$28="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$28="pts","("&amp;TEXT(IF($Q33="","",IF(INDEX('_views'!$B:$ZZ,$Q33,4)="","",INDEX('_views'!$B:$ZZ,$Q33,4))),"+0.00;-0.00")&amp;" pts)","("&amp;TEXT(IF($Q33="","",IF(INDEX('_views'!$B:$ZZ,$Q33,4)="","",INDEX('_views'!$B:$ZZ,$Q33,4))),"0.00")&amp;"×)")))</f>
        <v/>
      </c>
      <c r="H33" s="113">
        <f>IF($O$30="","",IF(INDEX('_views'!$B:$ZZ,$O$30,2)="","",INDEX('_views'!$B:$ZZ,$O$30,2)))</f>
        <v/>
      </c>
      <c r="I33" s="118">
        <f>IF(AND(ISNUMBER(IF($R33="","",IF(INDEX('_views'!$B:$ZZ,$R33,1)="","",INDEX('_views'!$B:$ZZ,$R33,1)))),ISNUMBER(IF($S33="","",IF(INDEX('_views'!$B:$ZZ,$S33,1)="","",INDEX('_views'!$B:$ZZ,$S33,1))))),IF(ABS(IF($R33="","",IF(INDEX('_views'!$B:$ZZ,$R33,1)="","",INDEX('_views'!$B:$ZZ,$R33,1)))-significance_bar)&lt;=2.0*IF($S33="","",IF(INDEX('_views'!$B:$ZZ,$S33,1)="","",INDEX('_views'!$B:$ZZ,$S33,1))),"borderline (p "&amp;IF(ROUND(IF($R33="","",IF(INDEX('_views'!$B:$ZZ,$R33,1)="","",INDEX('_views'!$B:$ZZ,$R33,1))),3)=ROUND(significance_bar,3),TEXT(IF($R33="","",IF(INDEX('_views'!$B:$ZZ,$R33,1)="","",INDEX('_views'!$B:$ZZ,$R33,1))),"0.0000"),TEXT(IF($R33="","",IF(INDEX('_views'!$B:$ZZ,$R33,1)="","",INDEX('_views'!$B:$ZZ,$R33,1))),"0.000"))&amp;")",IF($R33="","",IF(INDEX('_views'!$B:$ZZ,$R33,1)="","",INDEX('_views'!$B:$ZZ,$R33,1)))),IF(IF($R33="","",IF(INDEX('_views'!$B:$ZZ,$R33,1)="","",INDEX('_views'!$B:$ZZ,$R33,1)))="","",IF($R33="","",IF(INDEX('_views'!$B:$ZZ,$R33,1)="","",INDEX('_views'!$B:$ZZ,$R33,1)))))</f>
        <v/>
      </c>
      <c r="J33" s="118">
        <f>IF(AND(ISNUMBER(IF($R33="","",IF(INDEX('_views'!$B:$ZZ,$R33,2)="","",INDEX('_views'!$B:$ZZ,$R33,2)))),ISNUMBER(IF($S33="","",IF(INDEX('_views'!$B:$ZZ,$S33,2)="","",INDEX('_views'!$B:$ZZ,$S33,2))))),IF(ABS(IF($R33="","",IF(INDEX('_views'!$B:$ZZ,$R33,2)="","",INDEX('_views'!$B:$ZZ,$R33,2)))-significance_bar)&lt;=2.0*IF($S33="","",IF(INDEX('_views'!$B:$ZZ,$S33,2)="","",INDEX('_views'!$B:$ZZ,$S33,2))),"borderline (p "&amp;IF(ROUND(IF($R33="","",IF(INDEX('_views'!$B:$ZZ,$R33,2)="","",INDEX('_views'!$B:$ZZ,$R33,2))),3)=ROUND(significance_bar,3),TEXT(IF($R33="","",IF(INDEX('_views'!$B:$ZZ,$R33,2)="","",INDEX('_views'!$B:$ZZ,$R33,2))),"0.0000"),TEXT(IF($R33="","",IF(INDEX('_views'!$B:$ZZ,$R33,2)="","",INDEX('_views'!$B:$ZZ,$R33,2))),"0.000"))&amp;")",IF($R33="","",IF(INDEX('_views'!$B:$ZZ,$R33,2)="","",INDEX('_views'!$B:$ZZ,$R33,2)))),IF(IF($R33="","",IF(INDEX('_views'!$B:$ZZ,$R33,2)="","",INDEX('_views'!$B:$ZZ,$R33,2)))="","",IF($R33="","",IF(INDEX('_views'!$B:$ZZ,$R33,2)="","",INDEX('_views'!$B:$ZZ,$R33,2)))))</f>
        <v/>
      </c>
      <c r="K33" s="118">
        <f>IF(AND(ISNUMBER(IF($R33="","",IF(INDEX('_views'!$B:$ZZ,$R33,3)="","",INDEX('_views'!$B:$ZZ,$R33,3)))),ISNUMBER(IF($S33="","",IF(INDEX('_views'!$B:$ZZ,$S33,3)="","",INDEX('_views'!$B:$ZZ,$S33,3))))),IF(ABS(IF($R33="","",IF(INDEX('_views'!$B:$ZZ,$R33,3)="","",INDEX('_views'!$B:$ZZ,$R33,3)))-significance_bar)&lt;=2.0*IF($S33="","",IF(INDEX('_views'!$B:$ZZ,$S33,3)="","",INDEX('_views'!$B:$ZZ,$S33,3))),"borderline (p "&amp;IF(ROUND(IF($R33="","",IF(INDEX('_views'!$B:$ZZ,$R33,3)="","",INDEX('_views'!$B:$ZZ,$R33,3))),3)=ROUND(significance_bar,3),TEXT(IF($R33="","",IF(INDEX('_views'!$B:$ZZ,$R33,3)="","",INDEX('_views'!$B:$ZZ,$R33,3))),"0.0000"),TEXT(IF($R33="","",IF(INDEX('_views'!$B:$ZZ,$R33,3)="","",INDEX('_views'!$B:$ZZ,$R33,3))),"0.000"))&amp;")",IF($R33="","",IF(INDEX('_views'!$B:$ZZ,$R33,3)="","",INDEX('_views'!$B:$ZZ,$R33,3)))),IF(IF($R33="","",IF(INDEX('_views'!$B:$ZZ,$R33,3)="","",INDEX('_views'!$B:$ZZ,$R33,3)))="","",IF($R33="","",IF(INDEX('_views'!$B:$ZZ,$R33,3)="","",INDEX('_views'!$B:$ZZ,$R33,3)))))</f>
        <v/>
      </c>
      <c r="L33" s="118">
        <f>IF(AND(ISNUMBER(IF($R33="","",IF(INDEX('_views'!$B:$ZZ,$R33,4)="","",INDEX('_views'!$B:$ZZ,$R33,4)))),ISNUMBER(IF($S33="","",IF(INDEX('_views'!$B:$ZZ,$S33,4)="","",INDEX('_views'!$B:$ZZ,$S33,4))))),IF(ABS(IF($R33="","",IF(INDEX('_views'!$B:$ZZ,$R33,4)="","",INDEX('_views'!$B:$ZZ,$R33,4)))-significance_bar)&lt;=2.0*IF($S33="","",IF(INDEX('_views'!$B:$ZZ,$S33,4)="","",INDEX('_views'!$B:$ZZ,$S33,4))),"borderline (p "&amp;IF(ROUND(IF($R33="","",IF(INDEX('_views'!$B:$ZZ,$R33,4)="","",INDEX('_views'!$B:$ZZ,$R33,4))),3)=ROUND(significance_bar,3),TEXT(IF($R33="","",IF(INDEX('_views'!$B:$ZZ,$R33,4)="","",INDEX('_views'!$B:$ZZ,$R33,4))),"0.0000"),TEXT(IF($R33="","",IF(INDEX('_views'!$B:$ZZ,$R33,4)="","",INDEX('_views'!$B:$ZZ,$R33,4))),"0.000"))&amp;")",IF($R33="","",IF(INDEX('_views'!$B:$ZZ,$R33,4)="","",INDEX('_views'!$B:$ZZ,$R33,4)))),IF(IF($R33="","",IF(INDEX('_views'!$B:$ZZ,$R33,4)="","",INDEX('_views'!$B:$ZZ,$R33,4)))="","",IF($R33="","",IF(INDEX('_views'!$B:$ZZ,$R33,4)="","",INDEX('_views'!$B:$ZZ,$R33,4)))))</f>
        <v/>
      </c>
      <c r="Q33">
        <f>IFERROR(MATCH("S|"&amp;$B$16&amp;"|"&amp;$O$28&amp;"|v|2",'_views'!$A:$A,0),"")</f>
        <v/>
      </c>
      <c r="R33">
        <f>IFERROR(MATCH("S|"&amp;$B$16&amp;"|"&amp;$O$28&amp;"|p|2",'_views'!$A:$A,0),"")</f>
        <v/>
      </c>
      <c r="S33">
        <f>IFERROR(MATCH("S|"&amp;$B$16&amp;"|"&amp;$O$28&amp;"|se|2",'_views'!$A:$A,0),"")</f>
        <v/>
      </c>
    </row>
    <row r="34" ht="16" customHeight="1">
      <c r="B34" s="113">
        <f>IF($O$30="","",IF(INDEX('_views'!$B:$ZZ,$O$30,3)="","",INDEX('_views'!$B:$ZZ,$O$30,3)))</f>
        <v/>
      </c>
      <c r="C34" s="116">
        <f>IF(IF($Q34="","",IF(INDEX('_views'!$B:$ZZ,$Q34,1)="","",INDEX('_views'!$B:$ZZ,$Q34,1)))="","",IF(AND(ISNUMBER(IF($R34="","",IF(INDEX('_views'!$B:$ZZ,$R34,1)="","",INDEX('_views'!$B:$ZZ,$R34,1)))),IF($R34="","",IF(INDEX('_views'!$B:$ZZ,$R34,1)="","",INDEX('_views'!$B:$ZZ,$R34,1)))&lt;significance_bar),IF($Q34="","",IF(INDEX('_views'!$B:$ZZ,$Q34,1)="","",INDEX('_views'!$B:$ZZ,$Q34,1))),IF($P$28="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$28="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$28="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$28="pts","("&amp;TEXT(IF($Q34="","",IF(INDEX('_views'!$B:$ZZ,$Q34,4)="","",INDEX('_views'!$B:$ZZ,$Q34,4))),"+0.00;-0.00")&amp;" pts)","("&amp;TEXT(IF($Q34="","",IF(INDEX('_views'!$B:$ZZ,$Q34,4)="","",INDEX('_views'!$B:$ZZ,$Q34,4))),"0.00")&amp;"×)")))</f>
        <v/>
      </c>
      <c r="H34" s="113">
        <f>IF($O$30="","",IF(INDEX('_views'!$B:$ZZ,$O$30,3)="","",INDEX('_views'!$B:$ZZ,$O$30,3)))</f>
        <v/>
      </c>
      <c r="I34" s="118">
        <f>IF(AND(ISNUMBER(IF($R34="","",IF(INDEX('_views'!$B:$ZZ,$R34,1)="","",INDEX('_views'!$B:$ZZ,$R34,1)))),ISNUMBER(IF($S34="","",IF(INDEX('_views'!$B:$ZZ,$S34,1)="","",INDEX('_views'!$B:$ZZ,$S34,1))))),IF(ABS(IF($R34="","",IF(INDEX('_views'!$B:$ZZ,$R34,1)="","",INDEX('_views'!$B:$ZZ,$R34,1)))-significance_bar)&lt;=2.0*IF($S34="","",IF(INDEX('_views'!$B:$ZZ,$S34,1)="","",INDEX('_views'!$B:$ZZ,$S34,1))),"borderline (p "&amp;IF(ROUND(IF($R34="","",IF(INDEX('_views'!$B:$ZZ,$R34,1)="","",INDEX('_views'!$B:$ZZ,$R34,1))),3)=ROUND(significance_bar,3),TEXT(IF($R34="","",IF(INDEX('_views'!$B:$ZZ,$R34,1)="","",INDEX('_views'!$B:$ZZ,$R34,1))),"0.0000"),TEXT(IF($R34="","",IF(INDEX('_views'!$B:$ZZ,$R34,1)="","",INDEX('_views'!$B:$ZZ,$R34,1))),"0.000"))&amp;")",IF($R34="","",IF(INDEX('_views'!$B:$ZZ,$R34,1)="","",INDEX('_views'!$B:$ZZ,$R34,1)))),IF(IF($R34="","",IF(INDEX('_views'!$B:$ZZ,$R34,1)="","",INDEX('_views'!$B:$ZZ,$R34,1)))="","",IF($R34="","",IF(INDEX('_views'!$B:$ZZ,$R34,1)="","",INDEX('_views'!$B:$ZZ,$R34,1)))))</f>
        <v/>
      </c>
      <c r="J34" s="118">
        <f>IF(AND(ISNUMBER(IF($R34="","",IF(INDEX('_views'!$B:$ZZ,$R34,2)="","",INDEX('_views'!$B:$ZZ,$R34,2)))),ISNUMBER(IF($S34="","",IF(INDEX('_views'!$B:$ZZ,$S34,2)="","",INDEX('_views'!$B:$ZZ,$S34,2))))),IF(ABS(IF($R34="","",IF(INDEX('_views'!$B:$ZZ,$R34,2)="","",INDEX('_views'!$B:$ZZ,$R34,2)))-significance_bar)&lt;=2.0*IF($S34="","",IF(INDEX('_views'!$B:$ZZ,$S34,2)="","",INDEX('_views'!$B:$ZZ,$S34,2))),"borderline (p "&amp;IF(ROUND(IF($R34="","",IF(INDEX('_views'!$B:$ZZ,$R34,2)="","",INDEX('_views'!$B:$ZZ,$R34,2))),3)=ROUND(significance_bar,3),TEXT(IF($R34="","",IF(INDEX('_views'!$B:$ZZ,$R34,2)="","",INDEX('_views'!$B:$ZZ,$R34,2))),"0.0000"),TEXT(IF($R34="","",IF(INDEX('_views'!$B:$ZZ,$R34,2)="","",INDEX('_views'!$B:$ZZ,$R34,2))),"0.000"))&amp;")",IF($R34="","",IF(INDEX('_views'!$B:$ZZ,$R34,2)="","",INDEX('_views'!$B:$ZZ,$R34,2)))),IF(IF($R34="","",IF(INDEX('_views'!$B:$ZZ,$R34,2)="","",INDEX('_views'!$B:$ZZ,$R34,2)))="","",IF($R34="","",IF(INDEX('_views'!$B:$ZZ,$R34,2)="","",INDEX('_views'!$B:$ZZ,$R34,2)))))</f>
        <v/>
      </c>
      <c r="K34" s="118">
        <f>IF(AND(ISNUMBER(IF($R34="","",IF(INDEX('_views'!$B:$ZZ,$R34,3)="","",INDEX('_views'!$B:$ZZ,$R34,3)))),ISNUMBER(IF($S34="","",IF(INDEX('_views'!$B:$ZZ,$S34,3)="","",INDEX('_views'!$B:$ZZ,$S34,3))))),IF(ABS(IF($R34="","",IF(INDEX('_views'!$B:$ZZ,$R34,3)="","",INDEX('_views'!$B:$ZZ,$R34,3)))-significance_bar)&lt;=2.0*IF($S34="","",IF(INDEX('_views'!$B:$ZZ,$S34,3)="","",INDEX('_views'!$B:$ZZ,$S34,3))),"borderline (p "&amp;IF(ROUND(IF($R34="","",IF(INDEX('_views'!$B:$ZZ,$R34,3)="","",INDEX('_views'!$B:$ZZ,$R34,3))),3)=ROUND(significance_bar,3),TEXT(IF($R34="","",IF(INDEX('_views'!$B:$ZZ,$R34,3)="","",INDEX('_views'!$B:$ZZ,$R34,3))),"0.0000"),TEXT(IF($R34="","",IF(INDEX('_views'!$B:$ZZ,$R34,3)="","",INDEX('_views'!$B:$ZZ,$R34,3))),"0.000"))&amp;")",IF($R34="","",IF(INDEX('_views'!$B:$ZZ,$R34,3)="","",INDEX('_views'!$B:$ZZ,$R34,3)))),IF(IF($R34="","",IF(INDEX('_views'!$B:$ZZ,$R34,3)="","",INDEX('_views'!$B:$ZZ,$R34,3)))="","",IF($R34="","",IF(INDEX('_views'!$B:$ZZ,$R34,3)="","",INDEX('_views'!$B:$ZZ,$R34,3)))))</f>
        <v/>
      </c>
      <c r="L34" s="118">
        <f>IF(AND(ISNUMBER(IF($R34="","",IF(INDEX('_views'!$B:$ZZ,$R34,4)="","",INDEX('_views'!$B:$ZZ,$R34,4)))),ISNUMBER(IF($S34="","",IF(INDEX('_views'!$B:$ZZ,$S34,4)="","",INDEX('_views'!$B:$ZZ,$S34,4))))),IF(ABS(IF($R34="","",IF(INDEX('_views'!$B:$ZZ,$R34,4)="","",INDEX('_views'!$B:$ZZ,$R34,4)))-significance_bar)&lt;=2.0*IF($S34="","",IF(INDEX('_views'!$B:$ZZ,$S34,4)="","",INDEX('_views'!$B:$ZZ,$S34,4))),"borderline (p "&amp;IF(ROUND(IF($R34="","",IF(INDEX('_views'!$B:$ZZ,$R34,4)="","",INDEX('_views'!$B:$ZZ,$R34,4))),3)=ROUND(significance_bar,3),TEXT(IF($R34="","",IF(INDEX('_views'!$B:$ZZ,$R34,4)="","",INDEX('_views'!$B:$ZZ,$R34,4))),"0.0000"),TEXT(IF($R34="","",IF(INDEX('_views'!$B:$ZZ,$R34,4)="","",INDEX('_views'!$B:$ZZ,$R34,4))),"0.000"))&amp;")",IF($R34="","",IF(INDEX('_views'!$B:$ZZ,$R34,4)="","",INDEX('_views'!$B:$ZZ,$R34,4)))),IF(IF($R34="","",IF(INDEX('_views'!$B:$ZZ,$R34,4)="","",INDEX('_views'!$B:$ZZ,$R34,4)))="","",IF($R34="","",IF(INDEX('_views'!$B:$ZZ,$R34,4)="","",INDEX('_views'!$B:$ZZ,$R34,4)))))</f>
        <v/>
      </c>
      <c r="Q34">
        <f>IFERROR(MATCH("S|"&amp;$B$16&amp;"|"&amp;$O$28&amp;"|v|3",'_views'!$A:$A,0),"")</f>
        <v/>
      </c>
      <c r="R34">
        <f>IFERROR(MATCH("S|"&amp;$B$16&amp;"|"&amp;$O$28&amp;"|p|3",'_views'!$A:$A,0),"")</f>
        <v/>
      </c>
      <c r="S34">
        <f>IFERROR(MATCH("S|"&amp;$B$16&amp;"|"&amp;$O$28&amp;"|se|3",'_views'!$A:$A,0),"")</f>
        <v/>
      </c>
    </row>
    <row r="35" ht="16" customHeight="1">
      <c r="B35" s="113">
        <f>IF($O$30="","",IF(INDEX('_views'!$B:$ZZ,$O$30,4)="","",INDEX('_views'!$B:$ZZ,$O$30,4)))</f>
        <v/>
      </c>
      <c r="C35" s="116">
        <f>IF(IF($Q35="","",IF(INDEX('_views'!$B:$ZZ,$Q35,1)="","",INDEX('_views'!$B:$ZZ,$Q35,1)))="","",IF(AND(ISNUMBER(IF($R35="","",IF(INDEX('_views'!$B:$ZZ,$R35,1)="","",INDEX('_views'!$B:$ZZ,$R35,1)))),IF($R35="","",IF(INDEX('_views'!$B:$ZZ,$R35,1)="","",INDEX('_views'!$B:$ZZ,$R35,1)))&lt;significance_bar),IF($Q35="","",IF(INDEX('_views'!$B:$ZZ,$Q35,1)="","",INDEX('_views'!$B:$ZZ,$Q35,1))),IF($P$28="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$28="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$28="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$28="pts","("&amp;TEXT(IF($Q35="","",IF(INDEX('_views'!$B:$ZZ,$Q35,4)="","",INDEX('_views'!$B:$ZZ,$Q35,4))),"+0.00;-0.00")&amp;" pts)","("&amp;TEXT(IF($Q35="","",IF(INDEX('_views'!$B:$ZZ,$Q35,4)="","",INDEX('_views'!$B:$ZZ,$Q35,4))),"0.00")&amp;"×)")))</f>
        <v/>
      </c>
      <c r="H35" s="113">
        <f>IF($O$30="","",IF(INDEX('_views'!$B:$ZZ,$O$30,4)="","",INDEX('_views'!$B:$ZZ,$O$30,4)))</f>
        <v/>
      </c>
      <c r="I35" s="118">
        <f>IF(AND(ISNUMBER(IF($R35="","",IF(INDEX('_views'!$B:$ZZ,$R35,1)="","",INDEX('_views'!$B:$ZZ,$R35,1)))),ISNUMBER(IF($S35="","",IF(INDEX('_views'!$B:$ZZ,$S35,1)="","",INDEX('_views'!$B:$ZZ,$S35,1))))),IF(ABS(IF($R35="","",IF(INDEX('_views'!$B:$ZZ,$R35,1)="","",INDEX('_views'!$B:$ZZ,$R35,1)))-significance_bar)&lt;=2.0*IF($S35="","",IF(INDEX('_views'!$B:$ZZ,$S35,1)="","",INDEX('_views'!$B:$ZZ,$S35,1))),"borderline (p "&amp;IF(ROUND(IF($R35="","",IF(INDEX('_views'!$B:$ZZ,$R35,1)="","",INDEX('_views'!$B:$ZZ,$R35,1))),3)=ROUND(significance_bar,3),TEXT(IF($R35="","",IF(INDEX('_views'!$B:$ZZ,$R35,1)="","",INDEX('_views'!$B:$ZZ,$R35,1))),"0.0000"),TEXT(IF($R35="","",IF(INDEX('_views'!$B:$ZZ,$R35,1)="","",INDEX('_views'!$B:$ZZ,$R35,1))),"0.000"))&amp;")",IF($R35="","",IF(INDEX('_views'!$B:$ZZ,$R35,1)="","",INDEX('_views'!$B:$ZZ,$R35,1)))),IF(IF($R35="","",IF(INDEX('_views'!$B:$ZZ,$R35,1)="","",INDEX('_views'!$B:$ZZ,$R35,1)))="","",IF($R35="","",IF(INDEX('_views'!$B:$ZZ,$R35,1)="","",INDEX('_views'!$B:$ZZ,$R35,1)))))</f>
        <v/>
      </c>
      <c r="J35" s="118">
        <f>IF(AND(ISNUMBER(IF($R35="","",IF(INDEX('_views'!$B:$ZZ,$R35,2)="","",INDEX('_views'!$B:$ZZ,$R35,2)))),ISNUMBER(IF($S35="","",IF(INDEX('_views'!$B:$ZZ,$S35,2)="","",INDEX('_views'!$B:$ZZ,$S35,2))))),IF(ABS(IF($R35="","",IF(INDEX('_views'!$B:$ZZ,$R35,2)="","",INDEX('_views'!$B:$ZZ,$R35,2)))-significance_bar)&lt;=2.0*IF($S35="","",IF(INDEX('_views'!$B:$ZZ,$S35,2)="","",INDEX('_views'!$B:$ZZ,$S35,2))),"borderline (p "&amp;IF(ROUND(IF($R35="","",IF(INDEX('_views'!$B:$ZZ,$R35,2)="","",INDEX('_views'!$B:$ZZ,$R35,2))),3)=ROUND(significance_bar,3),TEXT(IF($R35="","",IF(INDEX('_views'!$B:$ZZ,$R35,2)="","",INDEX('_views'!$B:$ZZ,$R35,2))),"0.0000"),TEXT(IF($R35="","",IF(INDEX('_views'!$B:$ZZ,$R35,2)="","",INDEX('_views'!$B:$ZZ,$R35,2))),"0.000"))&amp;")",IF($R35="","",IF(INDEX('_views'!$B:$ZZ,$R35,2)="","",INDEX('_views'!$B:$ZZ,$R35,2)))),IF(IF($R35="","",IF(INDEX('_views'!$B:$ZZ,$R35,2)="","",INDEX('_views'!$B:$ZZ,$R35,2)))="","",IF($R35="","",IF(INDEX('_views'!$B:$ZZ,$R35,2)="","",INDEX('_views'!$B:$ZZ,$R35,2)))))</f>
        <v/>
      </c>
      <c r="K35" s="118">
        <f>IF(AND(ISNUMBER(IF($R35="","",IF(INDEX('_views'!$B:$ZZ,$R35,3)="","",INDEX('_views'!$B:$ZZ,$R35,3)))),ISNUMBER(IF($S35="","",IF(INDEX('_views'!$B:$ZZ,$S35,3)="","",INDEX('_views'!$B:$ZZ,$S35,3))))),IF(ABS(IF($R35="","",IF(INDEX('_views'!$B:$ZZ,$R35,3)="","",INDEX('_views'!$B:$ZZ,$R35,3)))-significance_bar)&lt;=2.0*IF($S35="","",IF(INDEX('_views'!$B:$ZZ,$S35,3)="","",INDEX('_views'!$B:$ZZ,$S35,3))),"borderline (p "&amp;IF(ROUND(IF($R35="","",IF(INDEX('_views'!$B:$ZZ,$R35,3)="","",INDEX('_views'!$B:$ZZ,$R35,3))),3)=ROUND(significance_bar,3),TEXT(IF($R35="","",IF(INDEX('_views'!$B:$ZZ,$R35,3)="","",INDEX('_views'!$B:$ZZ,$R35,3))),"0.0000"),TEXT(IF($R35="","",IF(INDEX('_views'!$B:$ZZ,$R35,3)="","",INDEX('_views'!$B:$ZZ,$R35,3))),"0.000"))&amp;")",IF($R35="","",IF(INDEX('_views'!$B:$ZZ,$R35,3)="","",INDEX('_views'!$B:$ZZ,$R35,3)))),IF(IF($R35="","",IF(INDEX('_views'!$B:$ZZ,$R35,3)="","",INDEX('_views'!$B:$ZZ,$R35,3)))="","",IF($R35="","",IF(INDEX('_views'!$B:$ZZ,$R35,3)="","",INDEX('_views'!$B:$ZZ,$R35,3)))))</f>
        <v/>
      </c>
      <c r="L35" s="118">
        <f>IF(AND(ISNUMBER(IF($R35="","",IF(INDEX('_views'!$B:$ZZ,$R35,4)="","",INDEX('_views'!$B:$ZZ,$R35,4)))),ISNUMBER(IF($S35="","",IF(INDEX('_views'!$B:$ZZ,$S35,4)="","",INDEX('_views'!$B:$ZZ,$S35,4))))),IF(ABS(IF($R35="","",IF(INDEX('_views'!$B:$ZZ,$R35,4)="","",INDEX('_views'!$B:$ZZ,$R35,4)))-significance_bar)&lt;=2.0*IF($S35="","",IF(INDEX('_views'!$B:$ZZ,$S35,4)="","",INDEX('_views'!$B:$ZZ,$S35,4))),"borderline (p "&amp;IF(ROUND(IF($R35="","",IF(INDEX('_views'!$B:$ZZ,$R35,4)="","",INDEX('_views'!$B:$ZZ,$R35,4))),3)=ROUND(significance_bar,3),TEXT(IF($R35="","",IF(INDEX('_views'!$B:$ZZ,$R35,4)="","",INDEX('_views'!$B:$ZZ,$R35,4))),"0.0000"),TEXT(IF($R35="","",IF(INDEX('_views'!$B:$ZZ,$R35,4)="","",INDEX('_views'!$B:$ZZ,$R35,4))),"0.000"))&amp;")",IF($R35="","",IF(INDEX('_views'!$B:$ZZ,$R35,4)="","",INDEX('_views'!$B:$ZZ,$R35,4)))),IF(IF($R35="","",IF(INDEX('_views'!$B:$ZZ,$R35,4)="","",INDEX('_views'!$B:$ZZ,$R35,4)))="","",IF($R35="","",IF(INDEX('_views'!$B:$ZZ,$R35,4)="","",INDEX('_views'!$B:$ZZ,$R35,4)))))</f>
        <v/>
      </c>
      <c r="Q35">
        <f>IFERROR(MATCH("S|"&amp;$B$16&amp;"|"&amp;$O$28&amp;"|v|4",'_views'!$A:$A,0),"")</f>
        <v/>
      </c>
      <c r="R35">
        <f>IFERROR(MATCH("S|"&amp;$B$16&amp;"|"&amp;$O$28&amp;"|p|4",'_views'!$A:$A,0),"")</f>
        <v/>
      </c>
      <c r="S35">
        <f>IFERROR(MATCH("S|"&amp;$B$16&amp;"|"&amp;$O$28&amp;"|se|4",'_views'!$A:$A,0),"")</f>
        <v/>
      </c>
    </row>
    <row r="36" ht="16" customHeight="1">
      <c r="B36" s="113">
        <f>IF($O$30="","",IF(INDEX('_views'!$B:$ZZ,$O$30,5)="","",INDEX('_views'!$B:$ZZ,$O$30,5)))</f>
        <v/>
      </c>
      <c r="C36" s="116">
        <f>IF(IF($Q36="","",IF(INDEX('_views'!$B:$ZZ,$Q36,1)="","",INDEX('_views'!$B:$ZZ,$Q36,1)))="","",IF(AND(ISNUMBER(IF($R36="","",IF(INDEX('_views'!$B:$ZZ,$R36,1)="","",INDEX('_views'!$B:$ZZ,$R36,1)))),IF($R36="","",IF(INDEX('_views'!$B:$ZZ,$R36,1)="","",INDEX('_views'!$B:$ZZ,$R36,1)))&lt;significance_bar),IF($Q36="","",IF(INDEX('_views'!$B:$ZZ,$Q36,1)="","",INDEX('_views'!$B:$ZZ,$Q36,1))),IF($P$28="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$28="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$28="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$28="pts","("&amp;TEXT(IF($Q36="","",IF(INDEX('_views'!$B:$ZZ,$Q36,4)="","",INDEX('_views'!$B:$ZZ,$Q36,4))),"+0.00;-0.00")&amp;" pts)","("&amp;TEXT(IF($Q36="","",IF(INDEX('_views'!$B:$ZZ,$Q36,4)="","",INDEX('_views'!$B:$ZZ,$Q36,4))),"0.00")&amp;"×)")))</f>
        <v/>
      </c>
      <c r="H36" s="113">
        <f>IF($O$30="","",IF(INDEX('_views'!$B:$ZZ,$O$30,5)="","",INDEX('_views'!$B:$ZZ,$O$30,5)))</f>
        <v/>
      </c>
      <c r="I36" s="118">
        <f>IF(AND(ISNUMBER(IF($R36="","",IF(INDEX('_views'!$B:$ZZ,$R36,1)="","",INDEX('_views'!$B:$ZZ,$R36,1)))),ISNUMBER(IF($S36="","",IF(INDEX('_views'!$B:$ZZ,$S36,1)="","",INDEX('_views'!$B:$ZZ,$S36,1))))),IF(ABS(IF($R36="","",IF(INDEX('_views'!$B:$ZZ,$R36,1)="","",INDEX('_views'!$B:$ZZ,$R36,1)))-significance_bar)&lt;=2.0*IF($S36="","",IF(INDEX('_views'!$B:$ZZ,$S36,1)="","",INDEX('_views'!$B:$ZZ,$S36,1))),"borderline (p "&amp;IF(ROUND(IF($R36="","",IF(INDEX('_views'!$B:$ZZ,$R36,1)="","",INDEX('_views'!$B:$ZZ,$R36,1))),3)=ROUND(significance_bar,3),TEXT(IF($R36="","",IF(INDEX('_views'!$B:$ZZ,$R36,1)="","",INDEX('_views'!$B:$ZZ,$R36,1))),"0.0000"),TEXT(IF($R36="","",IF(INDEX('_views'!$B:$ZZ,$R36,1)="","",INDEX('_views'!$B:$ZZ,$R36,1))),"0.000"))&amp;")",IF($R36="","",IF(INDEX('_views'!$B:$ZZ,$R36,1)="","",INDEX('_views'!$B:$ZZ,$R36,1)))),IF(IF($R36="","",IF(INDEX('_views'!$B:$ZZ,$R36,1)="","",INDEX('_views'!$B:$ZZ,$R36,1)))="","",IF($R36="","",IF(INDEX('_views'!$B:$ZZ,$R36,1)="","",INDEX('_views'!$B:$ZZ,$R36,1)))))</f>
        <v/>
      </c>
      <c r="J36" s="118">
        <f>IF(AND(ISNUMBER(IF($R36="","",IF(INDEX('_views'!$B:$ZZ,$R36,2)="","",INDEX('_views'!$B:$ZZ,$R36,2)))),ISNUMBER(IF($S36="","",IF(INDEX('_views'!$B:$ZZ,$S36,2)="","",INDEX('_views'!$B:$ZZ,$S36,2))))),IF(ABS(IF($R36="","",IF(INDEX('_views'!$B:$ZZ,$R36,2)="","",INDEX('_views'!$B:$ZZ,$R36,2)))-significance_bar)&lt;=2.0*IF($S36="","",IF(INDEX('_views'!$B:$ZZ,$S36,2)="","",INDEX('_views'!$B:$ZZ,$S36,2))),"borderline (p "&amp;IF(ROUND(IF($R36="","",IF(INDEX('_views'!$B:$ZZ,$R36,2)="","",INDEX('_views'!$B:$ZZ,$R36,2))),3)=ROUND(significance_bar,3),TEXT(IF($R36="","",IF(INDEX('_views'!$B:$ZZ,$R36,2)="","",INDEX('_views'!$B:$ZZ,$R36,2))),"0.0000"),TEXT(IF($R36="","",IF(INDEX('_views'!$B:$ZZ,$R36,2)="","",INDEX('_views'!$B:$ZZ,$R36,2))),"0.000"))&amp;")",IF($R36="","",IF(INDEX('_views'!$B:$ZZ,$R36,2)="","",INDEX('_views'!$B:$ZZ,$R36,2)))),IF(IF($R36="","",IF(INDEX('_views'!$B:$ZZ,$R36,2)="","",INDEX('_views'!$B:$ZZ,$R36,2)))="","",IF($R36="","",IF(INDEX('_views'!$B:$ZZ,$R36,2)="","",INDEX('_views'!$B:$ZZ,$R36,2)))))</f>
        <v/>
      </c>
      <c r="K36" s="118">
        <f>IF(AND(ISNUMBER(IF($R36="","",IF(INDEX('_views'!$B:$ZZ,$R36,3)="","",INDEX('_views'!$B:$ZZ,$R36,3)))),ISNUMBER(IF($S36="","",IF(INDEX('_views'!$B:$ZZ,$S36,3)="","",INDEX('_views'!$B:$ZZ,$S36,3))))),IF(ABS(IF($R36="","",IF(INDEX('_views'!$B:$ZZ,$R36,3)="","",INDEX('_views'!$B:$ZZ,$R36,3)))-significance_bar)&lt;=2.0*IF($S36="","",IF(INDEX('_views'!$B:$ZZ,$S36,3)="","",INDEX('_views'!$B:$ZZ,$S36,3))),"borderline (p "&amp;IF(ROUND(IF($R36="","",IF(INDEX('_views'!$B:$ZZ,$R36,3)="","",INDEX('_views'!$B:$ZZ,$R36,3))),3)=ROUND(significance_bar,3),TEXT(IF($R36="","",IF(INDEX('_views'!$B:$ZZ,$R36,3)="","",INDEX('_views'!$B:$ZZ,$R36,3))),"0.0000"),TEXT(IF($R36="","",IF(INDEX('_views'!$B:$ZZ,$R36,3)="","",INDEX('_views'!$B:$ZZ,$R36,3))),"0.000"))&amp;")",IF($R36="","",IF(INDEX('_views'!$B:$ZZ,$R36,3)="","",INDEX('_views'!$B:$ZZ,$R36,3)))),IF(IF($R36="","",IF(INDEX('_views'!$B:$ZZ,$R36,3)="","",INDEX('_views'!$B:$ZZ,$R36,3)))="","",IF($R36="","",IF(INDEX('_views'!$B:$ZZ,$R36,3)="","",INDEX('_views'!$B:$ZZ,$R36,3)))))</f>
        <v/>
      </c>
      <c r="L36" s="118">
        <f>IF(AND(ISNUMBER(IF($R36="","",IF(INDEX('_views'!$B:$ZZ,$R36,4)="","",INDEX('_views'!$B:$ZZ,$R36,4)))),ISNUMBER(IF($S36="","",IF(INDEX('_views'!$B:$ZZ,$S36,4)="","",INDEX('_views'!$B:$ZZ,$S36,4))))),IF(ABS(IF($R36="","",IF(INDEX('_views'!$B:$ZZ,$R36,4)="","",INDEX('_views'!$B:$ZZ,$R36,4)))-significance_bar)&lt;=2.0*IF($S36="","",IF(INDEX('_views'!$B:$ZZ,$S36,4)="","",INDEX('_views'!$B:$ZZ,$S36,4))),"borderline (p "&amp;IF(ROUND(IF($R36="","",IF(INDEX('_views'!$B:$ZZ,$R36,4)="","",INDEX('_views'!$B:$ZZ,$R36,4))),3)=ROUND(significance_bar,3),TEXT(IF($R36="","",IF(INDEX('_views'!$B:$ZZ,$R36,4)="","",INDEX('_views'!$B:$ZZ,$R36,4))),"0.0000"),TEXT(IF($R36="","",IF(INDEX('_views'!$B:$ZZ,$R36,4)="","",INDEX('_views'!$B:$ZZ,$R36,4))),"0.000"))&amp;")",IF($R36="","",IF(INDEX('_views'!$B:$ZZ,$R36,4)="","",INDEX('_views'!$B:$ZZ,$R36,4)))),IF(IF($R36="","",IF(INDEX('_views'!$B:$ZZ,$R36,4)="","",INDEX('_views'!$B:$ZZ,$R36,4)))="","",IF($R36="","",IF(INDEX('_views'!$B:$ZZ,$R36,4)="","",INDEX('_views'!$B:$ZZ,$R36,4)))))</f>
        <v/>
      </c>
      <c r="Q36">
        <f>IFERROR(MATCH("S|"&amp;$B$16&amp;"|"&amp;$O$28&amp;"|v|5",'_views'!$A:$A,0),"")</f>
        <v/>
      </c>
      <c r="R36">
        <f>IFERROR(MATCH("S|"&amp;$B$16&amp;"|"&amp;$O$28&amp;"|p|5",'_views'!$A:$A,0),"")</f>
        <v/>
      </c>
      <c r="S36">
        <f>IFERROR(MATCH("S|"&amp;$B$16&amp;"|"&amp;$O$28&amp;"|se|5",'_views'!$A:$A,0),"")</f>
        <v/>
      </c>
    </row>
    <row r="37" ht="16" customHeight="1">
      <c r="B37" s="113">
        <f>IF($O$30="","",IF(INDEX('_views'!$B:$ZZ,$O$30,6)="","",INDEX('_views'!$B:$ZZ,$O$30,6)))</f>
        <v/>
      </c>
      <c r="C37" s="116">
        <f>IF(IF($Q37="","",IF(INDEX('_views'!$B:$ZZ,$Q37,1)="","",INDEX('_views'!$B:$ZZ,$Q37,1)))="","",IF(AND(ISNUMBER(IF($R37="","",IF(INDEX('_views'!$B:$ZZ,$R37,1)="","",INDEX('_views'!$B:$ZZ,$R37,1)))),IF($R37="","",IF(INDEX('_views'!$B:$ZZ,$R37,1)="","",INDEX('_views'!$B:$ZZ,$R37,1)))&lt;significance_bar),IF($Q37="","",IF(INDEX('_views'!$B:$ZZ,$Q37,1)="","",INDEX('_views'!$B:$ZZ,$Q37,1))),IF($P$28="pts","("&amp;TEXT(IF($Q37="","",IF(INDEX('_views'!$B:$ZZ,$Q37,1)="","",INDEX('_views'!$B:$ZZ,$Q37,1))),"+0.00;-0.00")&amp;" pts)","("&amp;TEXT(IF($Q37="","",IF(INDEX('_views'!$B:$ZZ,$Q37,1)="","",INDEX('_views'!$B:$ZZ,$Q37,1))),"0.00")&amp;"×)")))</f>
        <v/>
      </c>
      <c r="D37" s="116">
        <f>IF(IF($Q37="","",IF(INDEX('_views'!$B:$ZZ,$Q37,2)="","",INDEX('_views'!$B:$ZZ,$Q37,2)))="","",IF(AND(ISNUMBER(IF($R37="","",IF(INDEX('_views'!$B:$ZZ,$R37,2)="","",INDEX('_views'!$B:$ZZ,$R37,2)))),IF($R37="","",IF(INDEX('_views'!$B:$ZZ,$R37,2)="","",INDEX('_views'!$B:$ZZ,$R37,2)))&lt;significance_bar),IF($Q37="","",IF(INDEX('_views'!$B:$ZZ,$Q37,2)="","",INDEX('_views'!$B:$ZZ,$Q37,2))),IF($P$28="pts","("&amp;TEXT(IF($Q37="","",IF(INDEX('_views'!$B:$ZZ,$Q37,2)="","",INDEX('_views'!$B:$ZZ,$Q37,2))),"+0.00;-0.00")&amp;" pts)","("&amp;TEXT(IF($Q37="","",IF(INDEX('_views'!$B:$ZZ,$Q37,2)="","",INDEX('_views'!$B:$ZZ,$Q37,2))),"0.00")&amp;"×)")))</f>
        <v/>
      </c>
      <c r="E37" s="116">
        <f>IF(IF($Q37="","",IF(INDEX('_views'!$B:$ZZ,$Q37,3)="","",INDEX('_views'!$B:$ZZ,$Q37,3)))="","",IF(AND(ISNUMBER(IF($R37="","",IF(INDEX('_views'!$B:$ZZ,$R37,3)="","",INDEX('_views'!$B:$ZZ,$R37,3)))),IF($R37="","",IF(INDEX('_views'!$B:$ZZ,$R37,3)="","",INDEX('_views'!$B:$ZZ,$R37,3)))&lt;significance_bar),IF($Q37="","",IF(INDEX('_views'!$B:$ZZ,$Q37,3)="","",INDEX('_views'!$B:$ZZ,$Q37,3))),IF($P$28="pts","("&amp;TEXT(IF($Q37="","",IF(INDEX('_views'!$B:$ZZ,$Q37,3)="","",INDEX('_views'!$B:$ZZ,$Q37,3))),"+0.00;-0.00")&amp;" pts)","("&amp;TEXT(IF($Q37="","",IF(INDEX('_views'!$B:$ZZ,$Q37,3)="","",INDEX('_views'!$B:$ZZ,$Q37,3))),"0.00")&amp;"×)")))</f>
        <v/>
      </c>
      <c r="F37" s="116">
        <f>IF(IF($Q37="","",IF(INDEX('_views'!$B:$ZZ,$Q37,4)="","",INDEX('_views'!$B:$ZZ,$Q37,4)))="","",IF(AND(ISNUMBER(IF($R37="","",IF(INDEX('_views'!$B:$ZZ,$R37,4)="","",INDEX('_views'!$B:$ZZ,$R37,4)))),IF($R37="","",IF(INDEX('_views'!$B:$ZZ,$R37,4)="","",INDEX('_views'!$B:$ZZ,$R37,4)))&lt;significance_bar),IF($Q37="","",IF(INDEX('_views'!$B:$ZZ,$Q37,4)="","",INDEX('_views'!$B:$ZZ,$Q37,4))),IF($P$28="pts","("&amp;TEXT(IF($Q37="","",IF(INDEX('_views'!$B:$ZZ,$Q37,4)="","",INDEX('_views'!$B:$ZZ,$Q37,4))),"+0.00;-0.00")&amp;" pts)","("&amp;TEXT(IF($Q37="","",IF(INDEX('_views'!$B:$ZZ,$Q37,4)="","",INDEX('_views'!$B:$ZZ,$Q37,4))),"0.00")&amp;"×)")))</f>
        <v/>
      </c>
      <c r="H37" s="113">
        <f>IF($O$30="","",IF(INDEX('_views'!$B:$ZZ,$O$30,6)="","",INDEX('_views'!$B:$ZZ,$O$30,6)))</f>
        <v/>
      </c>
      <c r="I37" s="118">
        <f>IF(AND(ISNUMBER(IF($R37="","",IF(INDEX('_views'!$B:$ZZ,$R37,1)="","",INDEX('_views'!$B:$ZZ,$R37,1)))),ISNUMBER(IF($S37="","",IF(INDEX('_views'!$B:$ZZ,$S37,1)="","",INDEX('_views'!$B:$ZZ,$S37,1))))),IF(ABS(IF($R37="","",IF(INDEX('_views'!$B:$ZZ,$R37,1)="","",INDEX('_views'!$B:$ZZ,$R37,1)))-significance_bar)&lt;=2.0*IF($S37="","",IF(INDEX('_views'!$B:$ZZ,$S37,1)="","",INDEX('_views'!$B:$ZZ,$S37,1))),"borderline (p "&amp;IF(ROUND(IF($R37="","",IF(INDEX('_views'!$B:$ZZ,$R37,1)="","",INDEX('_views'!$B:$ZZ,$R37,1))),3)=ROUND(significance_bar,3),TEXT(IF($R37="","",IF(INDEX('_views'!$B:$ZZ,$R37,1)="","",INDEX('_views'!$B:$ZZ,$R37,1))),"0.0000"),TEXT(IF($R37="","",IF(INDEX('_views'!$B:$ZZ,$R37,1)="","",INDEX('_views'!$B:$ZZ,$R37,1))),"0.000"))&amp;")",IF($R37="","",IF(INDEX('_views'!$B:$ZZ,$R37,1)="","",INDEX('_views'!$B:$ZZ,$R37,1)))),IF(IF($R37="","",IF(INDEX('_views'!$B:$ZZ,$R37,1)="","",INDEX('_views'!$B:$ZZ,$R37,1)))="","",IF($R37="","",IF(INDEX('_views'!$B:$ZZ,$R37,1)="","",INDEX('_views'!$B:$ZZ,$R37,1)))))</f>
        <v/>
      </c>
      <c r="J37" s="118">
        <f>IF(AND(ISNUMBER(IF($R37="","",IF(INDEX('_views'!$B:$ZZ,$R37,2)="","",INDEX('_views'!$B:$ZZ,$R37,2)))),ISNUMBER(IF($S37="","",IF(INDEX('_views'!$B:$ZZ,$S37,2)="","",INDEX('_views'!$B:$ZZ,$S37,2))))),IF(ABS(IF($R37="","",IF(INDEX('_views'!$B:$ZZ,$R37,2)="","",INDEX('_views'!$B:$ZZ,$R37,2)))-significance_bar)&lt;=2.0*IF($S37="","",IF(INDEX('_views'!$B:$ZZ,$S37,2)="","",INDEX('_views'!$B:$ZZ,$S37,2))),"borderline (p "&amp;IF(ROUND(IF($R37="","",IF(INDEX('_views'!$B:$ZZ,$R37,2)="","",INDEX('_views'!$B:$ZZ,$R37,2))),3)=ROUND(significance_bar,3),TEXT(IF($R37="","",IF(INDEX('_views'!$B:$ZZ,$R37,2)="","",INDEX('_views'!$B:$ZZ,$R37,2))),"0.0000"),TEXT(IF($R37="","",IF(INDEX('_views'!$B:$ZZ,$R37,2)="","",INDEX('_views'!$B:$ZZ,$R37,2))),"0.000"))&amp;")",IF($R37="","",IF(INDEX('_views'!$B:$ZZ,$R37,2)="","",INDEX('_views'!$B:$ZZ,$R37,2)))),IF(IF($R37="","",IF(INDEX('_views'!$B:$ZZ,$R37,2)="","",INDEX('_views'!$B:$ZZ,$R37,2)))="","",IF($R37="","",IF(INDEX('_views'!$B:$ZZ,$R37,2)="","",INDEX('_views'!$B:$ZZ,$R37,2)))))</f>
        <v/>
      </c>
      <c r="K37" s="118">
        <f>IF(AND(ISNUMBER(IF($R37="","",IF(INDEX('_views'!$B:$ZZ,$R37,3)="","",INDEX('_views'!$B:$ZZ,$R37,3)))),ISNUMBER(IF($S37="","",IF(INDEX('_views'!$B:$ZZ,$S37,3)="","",INDEX('_views'!$B:$ZZ,$S37,3))))),IF(ABS(IF($R37="","",IF(INDEX('_views'!$B:$ZZ,$R37,3)="","",INDEX('_views'!$B:$ZZ,$R37,3)))-significance_bar)&lt;=2.0*IF($S37="","",IF(INDEX('_views'!$B:$ZZ,$S37,3)="","",INDEX('_views'!$B:$ZZ,$S37,3))),"borderline (p "&amp;IF(ROUND(IF($R37="","",IF(INDEX('_views'!$B:$ZZ,$R37,3)="","",INDEX('_views'!$B:$ZZ,$R37,3))),3)=ROUND(significance_bar,3),TEXT(IF($R37="","",IF(INDEX('_views'!$B:$ZZ,$R37,3)="","",INDEX('_views'!$B:$ZZ,$R37,3))),"0.0000"),TEXT(IF($R37="","",IF(INDEX('_views'!$B:$ZZ,$R37,3)="","",INDEX('_views'!$B:$ZZ,$R37,3))),"0.000"))&amp;")",IF($R37="","",IF(INDEX('_views'!$B:$ZZ,$R37,3)="","",INDEX('_views'!$B:$ZZ,$R37,3)))),IF(IF($R37="","",IF(INDEX('_views'!$B:$ZZ,$R37,3)="","",INDEX('_views'!$B:$ZZ,$R37,3)))="","",IF($R37="","",IF(INDEX('_views'!$B:$ZZ,$R37,3)="","",INDEX('_views'!$B:$ZZ,$R37,3)))))</f>
        <v/>
      </c>
      <c r="L37" s="118">
        <f>IF(AND(ISNUMBER(IF($R37="","",IF(INDEX('_views'!$B:$ZZ,$R37,4)="","",INDEX('_views'!$B:$ZZ,$R37,4)))),ISNUMBER(IF($S37="","",IF(INDEX('_views'!$B:$ZZ,$S37,4)="","",INDEX('_views'!$B:$ZZ,$S37,4))))),IF(ABS(IF($R37="","",IF(INDEX('_views'!$B:$ZZ,$R37,4)="","",INDEX('_views'!$B:$ZZ,$R37,4)))-significance_bar)&lt;=2.0*IF($S37="","",IF(INDEX('_views'!$B:$ZZ,$S37,4)="","",INDEX('_views'!$B:$ZZ,$S37,4))),"borderline (p "&amp;IF(ROUND(IF($R37="","",IF(INDEX('_views'!$B:$ZZ,$R37,4)="","",INDEX('_views'!$B:$ZZ,$R37,4))),3)=ROUND(significance_bar,3),TEXT(IF($R37="","",IF(INDEX('_views'!$B:$ZZ,$R37,4)="","",INDEX('_views'!$B:$ZZ,$R37,4))),"0.0000"),TEXT(IF($R37="","",IF(INDEX('_views'!$B:$ZZ,$R37,4)="","",INDEX('_views'!$B:$ZZ,$R37,4))),"0.000"))&amp;")",IF($R37="","",IF(INDEX('_views'!$B:$ZZ,$R37,4)="","",INDEX('_views'!$B:$ZZ,$R37,4)))),IF(IF($R37="","",IF(INDEX('_views'!$B:$ZZ,$R37,4)="","",INDEX('_views'!$B:$ZZ,$R37,4)))="","",IF($R37="","",IF(INDEX('_views'!$B:$ZZ,$R37,4)="","",INDEX('_views'!$B:$ZZ,$R37,4)))))</f>
        <v/>
      </c>
      <c r="Q37">
        <f>IFERROR(MATCH("S|"&amp;$B$16&amp;"|"&amp;$O$28&amp;"|v|6",'_views'!$A:$A,0),"")</f>
        <v/>
      </c>
      <c r="R37">
        <f>IFERROR(MATCH("S|"&amp;$B$16&amp;"|"&amp;$O$28&amp;"|p|6",'_views'!$A:$A,0),"")</f>
        <v/>
      </c>
      <c r="S37">
        <f>IFERROR(MATCH("S|"&amp;$B$16&amp;"|"&amp;$O$28&amp;"|se|6",'_views'!$A:$A,0),"")</f>
        <v/>
      </c>
    </row>
    <row r="38" ht="16" customHeight="1">
      <c r="B38" s="113">
        <f>IF($O$30="","",IF(INDEX('_views'!$B:$ZZ,$O$30,7)="","",INDEX('_views'!$B:$ZZ,$O$30,7)))</f>
        <v/>
      </c>
      <c r="C38" s="116">
        <f>IF(IF($Q38="","",IF(INDEX('_views'!$B:$ZZ,$Q38,1)="","",INDEX('_views'!$B:$ZZ,$Q38,1)))="","",IF(AND(ISNUMBER(IF($R38="","",IF(INDEX('_views'!$B:$ZZ,$R38,1)="","",INDEX('_views'!$B:$ZZ,$R38,1)))),IF($R38="","",IF(INDEX('_views'!$B:$ZZ,$R38,1)="","",INDEX('_views'!$B:$ZZ,$R38,1)))&lt;significance_bar),IF($Q38="","",IF(INDEX('_views'!$B:$ZZ,$Q38,1)="","",INDEX('_views'!$B:$ZZ,$Q38,1))),IF($P$28="pts","("&amp;TEXT(IF($Q38="","",IF(INDEX('_views'!$B:$ZZ,$Q38,1)="","",INDEX('_views'!$B:$ZZ,$Q38,1))),"+0.00;-0.00")&amp;" pts)","("&amp;TEXT(IF($Q38="","",IF(INDEX('_views'!$B:$ZZ,$Q38,1)="","",INDEX('_views'!$B:$ZZ,$Q38,1))),"0.00")&amp;"×)")))</f>
        <v/>
      </c>
      <c r="D38" s="116">
        <f>IF(IF($Q38="","",IF(INDEX('_views'!$B:$ZZ,$Q38,2)="","",INDEX('_views'!$B:$ZZ,$Q38,2)))="","",IF(AND(ISNUMBER(IF($R38="","",IF(INDEX('_views'!$B:$ZZ,$R38,2)="","",INDEX('_views'!$B:$ZZ,$R38,2)))),IF($R38="","",IF(INDEX('_views'!$B:$ZZ,$R38,2)="","",INDEX('_views'!$B:$ZZ,$R38,2)))&lt;significance_bar),IF($Q38="","",IF(INDEX('_views'!$B:$ZZ,$Q38,2)="","",INDEX('_views'!$B:$ZZ,$Q38,2))),IF($P$28="pts","("&amp;TEXT(IF($Q38="","",IF(INDEX('_views'!$B:$ZZ,$Q38,2)="","",INDEX('_views'!$B:$ZZ,$Q38,2))),"+0.00;-0.00")&amp;" pts)","("&amp;TEXT(IF($Q38="","",IF(INDEX('_views'!$B:$ZZ,$Q38,2)="","",INDEX('_views'!$B:$ZZ,$Q38,2))),"0.00")&amp;"×)")))</f>
        <v/>
      </c>
      <c r="E38" s="116">
        <f>IF(IF($Q38="","",IF(INDEX('_views'!$B:$ZZ,$Q38,3)="","",INDEX('_views'!$B:$ZZ,$Q38,3)))="","",IF(AND(ISNUMBER(IF($R38="","",IF(INDEX('_views'!$B:$ZZ,$R38,3)="","",INDEX('_views'!$B:$ZZ,$R38,3)))),IF($R38="","",IF(INDEX('_views'!$B:$ZZ,$R38,3)="","",INDEX('_views'!$B:$ZZ,$R38,3)))&lt;significance_bar),IF($Q38="","",IF(INDEX('_views'!$B:$ZZ,$Q38,3)="","",INDEX('_views'!$B:$ZZ,$Q38,3))),IF($P$28="pts","("&amp;TEXT(IF($Q38="","",IF(INDEX('_views'!$B:$ZZ,$Q38,3)="","",INDEX('_views'!$B:$ZZ,$Q38,3))),"+0.00;-0.00")&amp;" pts)","("&amp;TEXT(IF($Q38="","",IF(INDEX('_views'!$B:$ZZ,$Q38,3)="","",INDEX('_views'!$B:$ZZ,$Q38,3))),"0.00")&amp;"×)")))</f>
        <v/>
      </c>
      <c r="F38" s="116">
        <f>IF(IF($Q38="","",IF(INDEX('_views'!$B:$ZZ,$Q38,4)="","",INDEX('_views'!$B:$ZZ,$Q38,4)))="","",IF(AND(ISNUMBER(IF($R38="","",IF(INDEX('_views'!$B:$ZZ,$R38,4)="","",INDEX('_views'!$B:$ZZ,$R38,4)))),IF($R38="","",IF(INDEX('_views'!$B:$ZZ,$R38,4)="","",INDEX('_views'!$B:$ZZ,$R38,4)))&lt;significance_bar),IF($Q38="","",IF(INDEX('_views'!$B:$ZZ,$Q38,4)="","",INDEX('_views'!$B:$ZZ,$Q38,4))),IF($P$28="pts","("&amp;TEXT(IF($Q38="","",IF(INDEX('_views'!$B:$ZZ,$Q38,4)="","",INDEX('_views'!$B:$ZZ,$Q38,4))),"+0.00;-0.00")&amp;" pts)","("&amp;TEXT(IF($Q38="","",IF(INDEX('_views'!$B:$ZZ,$Q38,4)="","",INDEX('_views'!$B:$ZZ,$Q38,4))),"0.00")&amp;"×)")))</f>
        <v/>
      </c>
      <c r="H38" s="113">
        <f>IF($O$30="","",IF(INDEX('_views'!$B:$ZZ,$O$30,7)="","",INDEX('_views'!$B:$ZZ,$O$30,7)))</f>
        <v/>
      </c>
      <c r="I38" s="118">
        <f>IF(AND(ISNUMBER(IF($R38="","",IF(INDEX('_views'!$B:$ZZ,$R38,1)="","",INDEX('_views'!$B:$ZZ,$R38,1)))),ISNUMBER(IF($S38="","",IF(INDEX('_views'!$B:$ZZ,$S38,1)="","",INDEX('_views'!$B:$ZZ,$S38,1))))),IF(ABS(IF($R38="","",IF(INDEX('_views'!$B:$ZZ,$R38,1)="","",INDEX('_views'!$B:$ZZ,$R38,1)))-significance_bar)&lt;=2.0*IF($S38="","",IF(INDEX('_views'!$B:$ZZ,$S38,1)="","",INDEX('_views'!$B:$ZZ,$S38,1))),"borderline (p "&amp;IF(ROUND(IF($R38="","",IF(INDEX('_views'!$B:$ZZ,$R38,1)="","",INDEX('_views'!$B:$ZZ,$R38,1))),3)=ROUND(significance_bar,3),TEXT(IF($R38="","",IF(INDEX('_views'!$B:$ZZ,$R38,1)="","",INDEX('_views'!$B:$ZZ,$R38,1))),"0.0000"),TEXT(IF($R38="","",IF(INDEX('_views'!$B:$ZZ,$R38,1)="","",INDEX('_views'!$B:$ZZ,$R38,1))),"0.000"))&amp;")",IF($R38="","",IF(INDEX('_views'!$B:$ZZ,$R38,1)="","",INDEX('_views'!$B:$ZZ,$R38,1)))),IF(IF($R38="","",IF(INDEX('_views'!$B:$ZZ,$R38,1)="","",INDEX('_views'!$B:$ZZ,$R38,1)))="","",IF($R38="","",IF(INDEX('_views'!$B:$ZZ,$R38,1)="","",INDEX('_views'!$B:$ZZ,$R38,1)))))</f>
        <v/>
      </c>
      <c r="J38" s="118">
        <f>IF(AND(ISNUMBER(IF($R38="","",IF(INDEX('_views'!$B:$ZZ,$R38,2)="","",INDEX('_views'!$B:$ZZ,$R38,2)))),ISNUMBER(IF($S38="","",IF(INDEX('_views'!$B:$ZZ,$S38,2)="","",INDEX('_views'!$B:$ZZ,$S38,2))))),IF(ABS(IF($R38="","",IF(INDEX('_views'!$B:$ZZ,$R38,2)="","",INDEX('_views'!$B:$ZZ,$R38,2)))-significance_bar)&lt;=2.0*IF($S38="","",IF(INDEX('_views'!$B:$ZZ,$S38,2)="","",INDEX('_views'!$B:$ZZ,$S38,2))),"borderline (p "&amp;IF(ROUND(IF($R38="","",IF(INDEX('_views'!$B:$ZZ,$R38,2)="","",INDEX('_views'!$B:$ZZ,$R38,2))),3)=ROUND(significance_bar,3),TEXT(IF($R38="","",IF(INDEX('_views'!$B:$ZZ,$R38,2)="","",INDEX('_views'!$B:$ZZ,$R38,2))),"0.0000"),TEXT(IF($R38="","",IF(INDEX('_views'!$B:$ZZ,$R38,2)="","",INDEX('_views'!$B:$ZZ,$R38,2))),"0.000"))&amp;")",IF($R38="","",IF(INDEX('_views'!$B:$ZZ,$R38,2)="","",INDEX('_views'!$B:$ZZ,$R38,2)))),IF(IF($R38="","",IF(INDEX('_views'!$B:$ZZ,$R38,2)="","",INDEX('_views'!$B:$ZZ,$R38,2)))="","",IF($R38="","",IF(INDEX('_views'!$B:$ZZ,$R38,2)="","",INDEX('_views'!$B:$ZZ,$R38,2)))))</f>
        <v/>
      </c>
      <c r="K38" s="118">
        <f>IF(AND(ISNUMBER(IF($R38="","",IF(INDEX('_views'!$B:$ZZ,$R38,3)="","",INDEX('_views'!$B:$ZZ,$R38,3)))),ISNUMBER(IF($S38="","",IF(INDEX('_views'!$B:$ZZ,$S38,3)="","",INDEX('_views'!$B:$ZZ,$S38,3))))),IF(ABS(IF($R38="","",IF(INDEX('_views'!$B:$ZZ,$R38,3)="","",INDEX('_views'!$B:$ZZ,$R38,3)))-significance_bar)&lt;=2.0*IF($S38="","",IF(INDEX('_views'!$B:$ZZ,$S38,3)="","",INDEX('_views'!$B:$ZZ,$S38,3))),"borderline (p "&amp;IF(ROUND(IF($R38="","",IF(INDEX('_views'!$B:$ZZ,$R38,3)="","",INDEX('_views'!$B:$ZZ,$R38,3))),3)=ROUND(significance_bar,3),TEXT(IF($R38="","",IF(INDEX('_views'!$B:$ZZ,$R38,3)="","",INDEX('_views'!$B:$ZZ,$R38,3))),"0.0000"),TEXT(IF($R38="","",IF(INDEX('_views'!$B:$ZZ,$R38,3)="","",INDEX('_views'!$B:$ZZ,$R38,3))),"0.000"))&amp;")",IF($R38="","",IF(INDEX('_views'!$B:$ZZ,$R38,3)="","",INDEX('_views'!$B:$ZZ,$R38,3)))),IF(IF($R38="","",IF(INDEX('_views'!$B:$ZZ,$R38,3)="","",INDEX('_views'!$B:$ZZ,$R38,3)))="","",IF($R38="","",IF(INDEX('_views'!$B:$ZZ,$R38,3)="","",INDEX('_views'!$B:$ZZ,$R38,3)))))</f>
        <v/>
      </c>
      <c r="L38" s="118">
        <f>IF(AND(ISNUMBER(IF($R38="","",IF(INDEX('_views'!$B:$ZZ,$R38,4)="","",INDEX('_views'!$B:$ZZ,$R38,4)))),ISNUMBER(IF($S38="","",IF(INDEX('_views'!$B:$ZZ,$S38,4)="","",INDEX('_views'!$B:$ZZ,$S38,4))))),IF(ABS(IF($R38="","",IF(INDEX('_views'!$B:$ZZ,$R38,4)="","",INDEX('_views'!$B:$ZZ,$R38,4)))-significance_bar)&lt;=2.0*IF($S38="","",IF(INDEX('_views'!$B:$ZZ,$S38,4)="","",INDEX('_views'!$B:$ZZ,$S38,4))),"borderline (p "&amp;IF(ROUND(IF($R38="","",IF(INDEX('_views'!$B:$ZZ,$R38,4)="","",INDEX('_views'!$B:$ZZ,$R38,4))),3)=ROUND(significance_bar,3),TEXT(IF($R38="","",IF(INDEX('_views'!$B:$ZZ,$R38,4)="","",INDEX('_views'!$B:$ZZ,$R38,4))),"0.0000"),TEXT(IF($R38="","",IF(INDEX('_views'!$B:$ZZ,$R38,4)="","",INDEX('_views'!$B:$ZZ,$R38,4))),"0.000"))&amp;")",IF($R38="","",IF(INDEX('_views'!$B:$ZZ,$R38,4)="","",INDEX('_views'!$B:$ZZ,$R38,4)))),IF(IF($R38="","",IF(INDEX('_views'!$B:$ZZ,$R38,4)="","",INDEX('_views'!$B:$ZZ,$R38,4)))="","",IF($R38="","",IF(INDEX('_views'!$B:$ZZ,$R38,4)="","",INDEX('_views'!$B:$ZZ,$R38,4)))))</f>
        <v/>
      </c>
      <c r="Q38">
        <f>IFERROR(MATCH("S|"&amp;$B$16&amp;"|"&amp;$O$28&amp;"|v|7",'_views'!$A:$A,0),"")</f>
        <v/>
      </c>
      <c r="R38">
        <f>IFERROR(MATCH("S|"&amp;$B$16&amp;"|"&amp;$O$28&amp;"|p|7",'_views'!$A:$A,0),"")</f>
        <v/>
      </c>
      <c r="S38">
        <f>IFERROR(MATCH("S|"&amp;$B$16&amp;"|"&amp;$O$28&amp;"|se|7",'_views'!$A:$A,0),"")</f>
        <v/>
      </c>
    </row>
  </sheetData>
  <mergeCells count="16">
    <mergeCell ref="C5:L5"/>
    <mergeCell ref="I13:L13"/>
    <mergeCell ref="G12:H12"/>
    <mergeCell ref="E16:F16"/>
    <mergeCell ref="G16:L16"/>
    <mergeCell ref="C8:L8"/>
    <mergeCell ref="C9:L9"/>
    <mergeCell ref="C4:L4"/>
    <mergeCell ref="B25:L25"/>
    <mergeCell ref="I12:L12"/>
    <mergeCell ref="B24:L24"/>
    <mergeCell ref="C7:L7"/>
    <mergeCell ref="G13:H13"/>
    <mergeCell ref="C6:L6"/>
    <mergeCell ref="C10:L10"/>
    <mergeCell ref="B16:D16"/>
  </mergeCells>
  <conditionalFormatting sqref="E16:F16">
    <cfRule type="expression" priority="1" dxfId="39">
      <formula>IF($N$16="","",IF(INDEX('_views'!$B:$ZZ,$N$16,2)="","",INDEX('_views'!$B:$ZZ,$N$16,2)))=1</formula>
    </cfRule>
    <cfRule type="expression" priority="2" dxfId="3">
      <formula>IF($N$16="","",IF(INDEX('_views'!$B:$ZZ,$N$16,2)="","",INDEX('_views'!$B:$ZZ,$N$16,2)))=0</formula>
    </cfRule>
  </conditionalFormatting>
  <conditionalFormatting sqref="E19">
    <cfRule type="expression" priority="3" dxfId="40">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4" dxfId="41">
      <formula>AND(ISNUMBER(E19),IFERROR(IF(IF($N19="","",IF(INDEX('_views'!$B:$ZZ,$N19,6)="","",INDEX('_views'!$B:$ZZ,$N19,6)))="pts",-E19/1,IF(IF($N19="","",IF(INDEX('_views'!$B:$ZZ,$N19,6)="","",INDEX('_views'!$B:$ZZ,$N19,6)))="x",LOG(E19,2),IF(IF($N19="","",IF(INDEX('_views'!$B:$ZZ,$N19,6)="","",INDEX('_views'!$B:$ZZ,$N19,6)))="xr",-LOG(E19,2),0))),0)&gt;=1.0)</formula>
    </cfRule>
    <cfRule type="expression" priority="5" dxfId="42">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6" dxfId="43">
      <formula>AND(ISNUMBER(E19),IFERROR(IF(IF($N19="","",IF(INDEX('_views'!$B:$ZZ,$N19,6)="","",INDEX('_views'!$B:$ZZ,$N19,6)))="pts",-E19/1,IF(IF($N19="","",IF(INDEX('_views'!$B:$ZZ,$N19,6)="","",INDEX('_views'!$B:$ZZ,$N19,6)))="x",LOG(E19,2),IF(IF($N19="","",IF(INDEX('_views'!$B:$ZZ,$N19,6)="","",INDEX('_views'!$B:$ZZ,$N19,6)))="xr",-LOG(E19,2),0))),0)&gt;=0.585)</formula>
    </cfRule>
    <cfRule type="expression" priority="7" dxfId="44">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8" dxfId="45">
      <formula>AND(ISNUMBER(E19),IFERROR(IF(IF($N19="","",IF(INDEX('_views'!$B:$ZZ,$N19,6)="","",INDEX('_views'!$B:$ZZ,$N19,6)))="pts",-E19/1,IF(IF($N19="","",IF(INDEX('_views'!$B:$ZZ,$N19,6)="","",INDEX('_views'!$B:$ZZ,$N19,6)))="x",LOG(E19,2),IF(IF($N19="","",IF(INDEX('_views'!$B:$ZZ,$N19,6)="","",INDEX('_views'!$B:$ZZ,$N19,6)))="xr",-LOG(E19,2),0))),0)&gt;=0.263)</formula>
    </cfRule>
    <cfRule type="expression" priority="9" dxfId="46">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10" dxfId="47">
      <formula>AND(ISNUMBER(E19),IFERROR(IF(IF($N19="","",IF(INDEX('_views'!$B:$ZZ,$N19,6)="","",INDEX('_views'!$B:$ZZ,$N19,6)))="pts",-E19/1,IF(IF($N19="","",IF(INDEX('_views'!$B:$ZZ,$N19,6)="","",INDEX('_views'!$B:$ZZ,$N19,6)))="x",LOG(E19,2),IF(IF($N19="","",IF(INDEX('_views'!$B:$ZZ,$N19,6)="","",INDEX('_views'!$B:$ZZ,$N19,6)))="xr",-LOG(E19,2),0))),0)&lt;=-0.585)</formula>
    </cfRule>
    <cfRule type="expression" priority="11" dxfId="48">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12" dxfId="49">
      <formula>AND(ISNUMBER(E19),IFERROR(IF(IF($N19="","",IF(INDEX('_views'!$B:$ZZ,$N19,6)="","",INDEX('_views'!$B:$ZZ,$N19,6)))="pts",-E19/1,IF(IF($N19="","",IF(INDEX('_views'!$B:$ZZ,$N19,6)="","",INDEX('_views'!$B:$ZZ,$N19,6)))="x",LOG(E19,2),IF(IF($N19="","",IF(INDEX('_views'!$B:$ZZ,$N19,6)="","",INDEX('_views'!$B:$ZZ,$N19,6)))="xr",-LOG(E19,2),0))),0)&lt;=-0.263)</formula>
    </cfRule>
    <cfRule type="expression" priority="13" dxfId="50">
      <formula>AND(IF($N19="","",IF(INDEX('_views'!$B:$ZZ,$N19,6)="","",INDEX('_views'!$B:$ZZ,$N19,6)))="pts",ISNUMBER(E19))</formula>
    </cfRule>
    <cfRule type="expression" priority="14" dxfId="51">
      <formula>ISNUMBER(E19)</formula>
    </cfRule>
  </conditionalFormatting>
  <conditionalFormatting sqref="E20">
    <cfRule type="expression" priority="15" dxfId="40">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16" dxfId="41">
      <formula>AND(ISNUMBER(E20),IFERROR(IF(IF($N20="","",IF(INDEX('_views'!$B:$ZZ,$N20,6)="","",INDEX('_views'!$B:$ZZ,$N20,6)))="pts",-E20/1,IF(IF($N20="","",IF(INDEX('_views'!$B:$ZZ,$N20,6)="","",INDEX('_views'!$B:$ZZ,$N20,6)))="x",LOG(E20,2),IF(IF($N20="","",IF(INDEX('_views'!$B:$ZZ,$N20,6)="","",INDEX('_views'!$B:$ZZ,$N20,6)))="xr",-LOG(E20,2),0))),0)&gt;=1.0)</formula>
    </cfRule>
    <cfRule type="expression" priority="17" dxfId="42">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18" dxfId="43">
      <formula>AND(ISNUMBER(E20),IFERROR(IF(IF($N20="","",IF(INDEX('_views'!$B:$ZZ,$N20,6)="","",INDEX('_views'!$B:$ZZ,$N20,6)))="pts",-E20/1,IF(IF($N20="","",IF(INDEX('_views'!$B:$ZZ,$N20,6)="","",INDEX('_views'!$B:$ZZ,$N20,6)))="x",LOG(E20,2),IF(IF($N20="","",IF(INDEX('_views'!$B:$ZZ,$N20,6)="","",INDEX('_views'!$B:$ZZ,$N20,6)))="xr",-LOG(E20,2),0))),0)&gt;=0.585)</formula>
    </cfRule>
    <cfRule type="expression" priority="19" dxfId="44">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20" dxfId="45">
      <formula>AND(ISNUMBER(E20),IFERROR(IF(IF($N20="","",IF(INDEX('_views'!$B:$ZZ,$N20,6)="","",INDEX('_views'!$B:$ZZ,$N20,6)))="pts",-E20/1,IF(IF($N20="","",IF(INDEX('_views'!$B:$ZZ,$N20,6)="","",INDEX('_views'!$B:$ZZ,$N20,6)))="x",LOG(E20,2),IF(IF($N20="","",IF(INDEX('_views'!$B:$ZZ,$N20,6)="","",INDEX('_views'!$B:$ZZ,$N20,6)))="xr",-LOG(E20,2),0))),0)&gt;=0.263)</formula>
    </cfRule>
    <cfRule type="expression" priority="21" dxfId="46">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22" dxfId="47">
      <formula>AND(ISNUMBER(E20),IFERROR(IF(IF($N20="","",IF(INDEX('_views'!$B:$ZZ,$N20,6)="","",INDEX('_views'!$B:$ZZ,$N20,6)))="pts",-E20/1,IF(IF($N20="","",IF(INDEX('_views'!$B:$ZZ,$N20,6)="","",INDEX('_views'!$B:$ZZ,$N20,6)))="x",LOG(E20,2),IF(IF($N20="","",IF(INDEX('_views'!$B:$ZZ,$N20,6)="","",INDEX('_views'!$B:$ZZ,$N20,6)))="xr",-LOG(E20,2),0))),0)&lt;=-0.585)</formula>
    </cfRule>
    <cfRule type="expression" priority="23" dxfId="48">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24" dxfId="49">
      <formula>AND(ISNUMBER(E20),IFERROR(IF(IF($N20="","",IF(INDEX('_views'!$B:$ZZ,$N20,6)="","",INDEX('_views'!$B:$ZZ,$N20,6)))="pts",-E20/1,IF(IF($N20="","",IF(INDEX('_views'!$B:$ZZ,$N20,6)="","",INDEX('_views'!$B:$ZZ,$N20,6)))="x",LOG(E20,2),IF(IF($N20="","",IF(INDEX('_views'!$B:$ZZ,$N20,6)="","",INDEX('_views'!$B:$ZZ,$N20,6)))="xr",-LOG(E20,2),0))),0)&lt;=-0.263)</formula>
    </cfRule>
    <cfRule type="expression" priority="25" dxfId="50">
      <formula>AND(IF($N20="","",IF(INDEX('_views'!$B:$ZZ,$N20,6)="","",INDEX('_views'!$B:$ZZ,$N20,6)))="pts",ISNUMBER(E20))</formula>
    </cfRule>
    <cfRule type="expression" priority="26" dxfId="51">
      <formula>ISNUMBER(E20)</formula>
    </cfRule>
  </conditionalFormatting>
  <conditionalFormatting sqref="E21">
    <cfRule type="expression" priority="27" dxfId="40">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28" dxfId="41">
      <formula>AND(ISNUMBER(E21),IFERROR(IF(IF($N21="","",IF(INDEX('_views'!$B:$ZZ,$N21,6)="","",INDEX('_views'!$B:$ZZ,$N21,6)))="pts",-E21/1,IF(IF($N21="","",IF(INDEX('_views'!$B:$ZZ,$N21,6)="","",INDEX('_views'!$B:$ZZ,$N21,6)))="x",LOG(E21,2),IF(IF($N21="","",IF(INDEX('_views'!$B:$ZZ,$N21,6)="","",INDEX('_views'!$B:$ZZ,$N21,6)))="xr",-LOG(E21,2),0))),0)&gt;=1.0)</formula>
    </cfRule>
    <cfRule type="expression" priority="29" dxfId="42">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30" dxfId="43">
      <formula>AND(ISNUMBER(E21),IFERROR(IF(IF($N21="","",IF(INDEX('_views'!$B:$ZZ,$N21,6)="","",INDEX('_views'!$B:$ZZ,$N21,6)))="pts",-E21/1,IF(IF($N21="","",IF(INDEX('_views'!$B:$ZZ,$N21,6)="","",INDEX('_views'!$B:$ZZ,$N21,6)))="x",LOG(E21,2),IF(IF($N21="","",IF(INDEX('_views'!$B:$ZZ,$N21,6)="","",INDEX('_views'!$B:$ZZ,$N21,6)))="xr",-LOG(E21,2),0))),0)&gt;=0.585)</formula>
    </cfRule>
    <cfRule type="expression" priority="31" dxfId="44">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32" dxfId="45">
      <formula>AND(ISNUMBER(E21),IFERROR(IF(IF($N21="","",IF(INDEX('_views'!$B:$ZZ,$N21,6)="","",INDEX('_views'!$B:$ZZ,$N21,6)))="pts",-E21/1,IF(IF($N21="","",IF(INDEX('_views'!$B:$ZZ,$N21,6)="","",INDEX('_views'!$B:$ZZ,$N21,6)))="x",LOG(E21,2),IF(IF($N21="","",IF(INDEX('_views'!$B:$ZZ,$N21,6)="","",INDEX('_views'!$B:$ZZ,$N21,6)))="xr",-LOG(E21,2),0))),0)&gt;=0.263)</formula>
    </cfRule>
    <cfRule type="expression" priority="33" dxfId="46">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34" dxfId="47">
      <formula>AND(ISNUMBER(E21),IFERROR(IF(IF($N21="","",IF(INDEX('_views'!$B:$ZZ,$N21,6)="","",INDEX('_views'!$B:$ZZ,$N21,6)))="pts",-E21/1,IF(IF($N21="","",IF(INDEX('_views'!$B:$ZZ,$N21,6)="","",INDEX('_views'!$B:$ZZ,$N21,6)))="x",LOG(E21,2),IF(IF($N21="","",IF(INDEX('_views'!$B:$ZZ,$N21,6)="","",INDEX('_views'!$B:$ZZ,$N21,6)))="xr",-LOG(E21,2),0))),0)&lt;=-0.585)</formula>
    </cfRule>
    <cfRule type="expression" priority="35" dxfId="48">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36" dxfId="49">
      <formula>AND(ISNUMBER(E21),IFERROR(IF(IF($N21="","",IF(INDEX('_views'!$B:$ZZ,$N21,6)="","",INDEX('_views'!$B:$ZZ,$N21,6)))="pts",-E21/1,IF(IF($N21="","",IF(INDEX('_views'!$B:$ZZ,$N21,6)="","",INDEX('_views'!$B:$ZZ,$N21,6)))="x",LOG(E21,2),IF(IF($N21="","",IF(INDEX('_views'!$B:$ZZ,$N21,6)="","",INDEX('_views'!$B:$ZZ,$N21,6)))="xr",-LOG(E21,2),0))),0)&lt;=-0.263)</formula>
    </cfRule>
    <cfRule type="expression" priority="37" dxfId="50">
      <formula>AND(IF($N21="","",IF(INDEX('_views'!$B:$ZZ,$N21,6)="","",INDEX('_views'!$B:$ZZ,$N21,6)))="pts",ISNUMBER(E21))</formula>
    </cfRule>
    <cfRule type="expression" priority="38" dxfId="51">
      <formula>ISNUMBER(E21)</formula>
    </cfRule>
  </conditionalFormatting>
  <conditionalFormatting sqref="E22">
    <cfRule type="expression" priority="39" dxfId="40">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40" dxfId="41">
      <formula>AND(ISNUMBER(E22),IFERROR(IF(IF($N22="","",IF(INDEX('_views'!$B:$ZZ,$N22,6)="","",INDEX('_views'!$B:$ZZ,$N22,6)))="pts",-E22/1,IF(IF($N22="","",IF(INDEX('_views'!$B:$ZZ,$N22,6)="","",INDEX('_views'!$B:$ZZ,$N22,6)))="x",LOG(E22,2),IF(IF($N22="","",IF(INDEX('_views'!$B:$ZZ,$N22,6)="","",INDEX('_views'!$B:$ZZ,$N22,6)))="xr",-LOG(E22,2),0))),0)&gt;=1.0)</formula>
    </cfRule>
    <cfRule type="expression" priority="41" dxfId="42">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42" dxfId="43">
      <formula>AND(ISNUMBER(E22),IFERROR(IF(IF($N22="","",IF(INDEX('_views'!$B:$ZZ,$N22,6)="","",INDEX('_views'!$B:$ZZ,$N22,6)))="pts",-E22/1,IF(IF($N22="","",IF(INDEX('_views'!$B:$ZZ,$N22,6)="","",INDEX('_views'!$B:$ZZ,$N22,6)))="x",LOG(E22,2),IF(IF($N22="","",IF(INDEX('_views'!$B:$ZZ,$N22,6)="","",INDEX('_views'!$B:$ZZ,$N22,6)))="xr",-LOG(E22,2),0))),0)&gt;=0.585)</formula>
    </cfRule>
    <cfRule type="expression" priority="43" dxfId="44">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44" dxfId="45">
      <formula>AND(ISNUMBER(E22),IFERROR(IF(IF($N22="","",IF(INDEX('_views'!$B:$ZZ,$N22,6)="","",INDEX('_views'!$B:$ZZ,$N22,6)))="pts",-E22/1,IF(IF($N22="","",IF(INDEX('_views'!$B:$ZZ,$N22,6)="","",INDEX('_views'!$B:$ZZ,$N22,6)))="x",LOG(E22,2),IF(IF($N22="","",IF(INDEX('_views'!$B:$ZZ,$N22,6)="","",INDEX('_views'!$B:$ZZ,$N22,6)))="xr",-LOG(E22,2),0))),0)&gt;=0.263)</formula>
    </cfRule>
    <cfRule type="expression" priority="45" dxfId="46">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46" dxfId="47">
      <formula>AND(ISNUMBER(E22),IFERROR(IF(IF($N22="","",IF(INDEX('_views'!$B:$ZZ,$N22,6)="","",INDEX('_views'!$B:$ZZ,$N22,6)))="pts",-E22/1,IF(IF($N22="","",IF(INDEX('_views'!$B:$ZZ,$N22,6)="","",INDEX('_views'!$B:$ZZ,$N22,6)))="x",LOG(E22,2),IF(IF($N22="","",IF(INDEX('_views'!$B:$ZZ,$N22,6)="","",INDEX('_views'!$B:$ZZ,$N22,6)))="xr",-LOG(E22,2),0))),0)&lt;=-0.585)</formula>
    </cfRule>
    <cfRule type="expression" priority="47" dxfId="48">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48" dxfId="49">
      <formula>AND(ISNUMBER(E22),IFERROR(IF(IF($N22="","",IF(INDEX('_views'!$B:$ZZ,$N22,6)="","",INDEX('_views'!$B:$ZZ,$N22,6)))="pts",-E22/1,IF(IF($N22="","",IF(INDEX('_views'!$B:$ZZ,$N22,6)="","",INDEX('_views'!$B:$ZZ,$N22,6)))="x",LOG(E22,2),IF(IF($N22="","",IF(INDEX('_views'!$B:$ZZ,$N22,6)="","",INDEX('_views'!$B:$ZZ,$N22,6)))="xr",-LOG(E22,2),0))),0)&lt;=-0.263)</formula>
    </cfRule>
    <cfRule type="expression" priority="49" dxfId="50">
      <formula>AND(IF($N22="","",IF(INDEX('_views'!$B:$ZZ,$N22,6)="","",INDEX('_views'!$B:$ZZ,$N22,6)))="pts",ISNUMBER(E22))</formula>
    </cfRule>
    <cfRule type="expression" priority="50" dxfId="51">
      <formula>ISNUMBER(E22)</formula>
    </cfRule>
  </conditionalFormatting>
  <conditionalFormatting sqref="E23">
    <cfRule type="expression" priority="51" dxfId="40">
      <formula>AND(IF($N23="","",IF(INDEX('_views'!$B:$ZZ,$N23,6)="","",INDEX('_views'!$B:$ZZ,$N23,6)))="pts",AND(ISNUMBER(E23),IFERROR(IF(IF($N23="","",IF(INDEX('_views'!$B:$ZZ,$N23,6)="","",INDEX('_views'!$B:$ZZ,$N23,6)))="pts",-E23/1,IF(IF($N23="","",IF(INDEX('_views'!$B:$ZZ,$N23,6)="","",INDEX('_views'!$B:$ZZ,$N23,6)))="x",LOG(E23,2),IF(IF($N23="","",IF(INDEX('_views'!$B:$ZZ,$N23,6)="","",INDEX('_views'!$B:$ZZ,$N23,6)))="xr",-LOG(E23,2),0))),0)&gt;=1.0))</formula>
    </cfRule>
    <cfRule type="expression" priority="52" dxfId="41">
      <formula>AND(ISNUMBER(E23),IFERROR(IF(IF($N23="","",IF(INDEX('_views'!$B:$ZZ,$N23,6)="","",INDEX('_views'!$B:$ZZ,$N23,6)))="pts",-E23/1,IF(IF($N23="","",IF(INDEX('_views'!$B:$ZZ,$N23,6)="","",INDEX('_views'!$B:$ZZ,$N23,6)))="x",LOG(E23,2),IF(IF($N23="","",IF(INDEX('_views'!$B:$ZZ,$N23,6)="","",INDEX('_views'!$B:$ZZ,$N23,6)))="xr",-LOG(E23,2),0))),0)&gt;=1.0)</formula>
    </cfRule>
    <cfRule type="expression" priority="53" dxfId="42">
      <formula>AND(IF($N23="","",IF(INDEX('_views'!$B:$ZZ,$N23,6)="","",INDEX('_views'!$B:$ZZ,$N23,6)))="pts",AND(ISNUMBER(E23),IFERROR(IF(IF($N23="","",IF(INDEX('_views'!$B:$ZZ,$N23,6)="","",INDEX('_views'!$B:$ZZ,$N23,6)))="pts",-E23/1,IF(IF($N23="","",IF(INDEX('_views'!$B:$ZZ,$N23,6)="","",INDEX('_views'!$B:$ZZ,$N23,6)))="x",LOG(E23,2),IF(IF($N23="","",IF(INDEX('_views'!$B:$ZZ,$N23,6)="","",INDEX('_views'!$B:$ZZ,$N23,6)))="xr",-LOG(E23,2),0))),0)&gt;=0.585))</formula>
    </cfRule>
    <cfRule type="expression" priority="54" dxfId="43">
      <formula>AND(ISNUMBER(E23),IFERROR(IF(IF($N23="","",IF(INDEX('_views'!$B:$ZZ,$N23,6)="","",INDEX('_views'!$B:$ZZ,$N23,6)))="pts",-E23/1,IF(IF($N23="","",IF(INDEX('_views'!$B:$ZZ,$N23,6)="","",INDEX('_views'!$B:$ZZ,$N23,6)))="x",LOG(E23,2),IF(IF($N23="","",IF(INDEX('_views'!$B:$ZZ,$N23,6)="","",INDEX('_views'!$B:$ZZ,$N23,6)))="xr",-LOG(E23,2),0))),0)&gt;=0.585)</formula>
    </cfRule>
    <cfRule type="expression" priority="55" dxfId="44">
      <formula>AND(IF($N23="","",IF(INDEX('_views'!$B:$ZZ,$N23,6)="","",INDEX('_views'!$B:$ZZ,$N23,6)))="pts",AND(ISNUMBER(E23),IFERROR(IF(IF($N23="","",IF(INDEX('_views'!$B:$ZZ,$N23,6)="","",INDEX('_views'!$B:$ZZ,$N23,6)))="pts",-E23/1,IF(IF($N23="","",IF(INDEX('_views'!$B:$ZZ,$N23,6)="","",INDEX('_views'!$B:$ZZ,$N23,6)))="x",LOG(E23,2),IF(IF($N23="","",IF(INDEX('_views'!$B:$ZZ,$N23,6)="","",INDEX('_views'!$B:$ZZ,$N23,6)))="xr",-LOG(E23,2),0))),0)&gt;=0.263))</formula>
    </cfRule>
    <cfRule type="expression" priority="56" dxfId="45">
      <formula>AND(ISNUMBER(E23),IFERROR(IF(IF($N23="","",IF(INDEX('_views'!$B:$ZZ,$N23,6)="","",INDEX('_views'!$B:$ZZ,$N23,6)))="pts",-E23/1,IF(IF($N23="","",IF(INDEX('_views'!$B:$ZZ,$N23,6)="","",INDEX('_views'!$B:$ZZ,$N23,6)))="x",LOG(E23,2),IF(IF($N23="","",IF(INDEX('_views'!$B:$ZZ,$N23,6)="","",INDEX('_views'!$B:$ZZ,$N23,6)))="xr",-LOG(E23,2),0))),0)&gt;=0.263)</formula>
    </cfRule>
    <cfRule type="expression" priority="57" dxfId="46">
      <formula>AND(IF($N23="","",IF(INDEX('_views'!$B:$ZZ,$N23,6)="","",INDEX('_views'!$B:$ZZ,$N23,6)))="pts",AND(ISNUMBER(E23),IFERROR(IF(IF($N23="","",IF(INDEX('_views'!$B:$ZZ,$N23,6)="","",INDEX('_views'!$B:$ZZ,$N23,6)))="pts",-E23/1,IF(IF($N23="","",IF(INDEX('_views'!$B:$ZZ,$N23,6)="","",INDEX('_views'!$B:$ZZ,$N23,6)))="x",LOG(E23,2),IF(IF($N23="","",IF(INDEX('_views'!$B:$ZZ,$N23,6)="","",INDEX('_views'!$B:$ZZ,$N23,6)))="xr",-LOG(E23,2),0))),0)&lt;=-0.585))</formula>
    </cfRule>
    <cfRule type="expression" priority="58" dxfId="47">
      <formula>AND(ISNUMBER(E23),IFERROR(IF(IF($N23="","",IF(INDEX('_views'!$B:$ZZ,$N23,6)="","",INDEX('_views'!$B:$ZZ,$N23,6)))="pts",-E23/1,IF(IF($N23="","",IF(INDEX('_views'!$B:$ZZ,$N23,6)="","",INDEX('_views'!$B:$ZZ,$N23,6)))="x",LOG(E23,2),IF(IF($N23="","",IF(INDEX('_views'!$B:$ZZ,$N23,6)="","",INDEX('_views'!$B:$ZZ,$N23,6)))="xr",-LOG(E23,2),0))),0)&lt;=-0.585)</formula>
    </cfRule>
    <cfRule type="expression" priority="59" dxfId="48">
      <formula>AND(IF($N23="","",IF(INDEX('_views'!$B:$ZZ,$N23,6)="","",INDEX('_views'!$B:$ZZ,$N23,6)))="pts",AND(ISNUMBER(E23),IFERROR(IF(IF($N23="","",IF(INDEX('_views'!$B:$ZZ,$N23,6)="","",INDEX('_views'!$B:$ZZ,$N23,6)))="pts",-E23/1,IF(IF($N23="","",IF(INDEX('_views'!$B:$ZZ,$N23,6)="","",INDEX('_views'!$B:$ZZ,$N23,6)))="x",LOG(E23,2),IF(IF($N23="","",IF(INDEX('_views'!$B:$ZZ,$N23,6)="","",INDEX('_views'!$B:$ZZ,$N23,6)))="xr",-LOG(E23,2),0))),0)&lt;=-0.263))</formula>
    </cfRule>
    <cfRule type="expression" priority="60" dxfId="49">
      <formula>AND(ISNUMBER(E23),IFERROR(IF(IF($N23="","",IF(INDEX('_views'!$B:$ZZ,$N23,6)="","",INDEX('_views'!$B:$ZZ,$N23,6)))="pts",-E23/1,IF(IF($N23="","",IF(INDEX('_views'!$B:$ZZ,$N23,6)="","",INDEX('_views'!$B:$ZZ,$N23,6)))="x",LOG(E23,2),IF(IF($N23="","",IF(INDEX('_views'!$B:$ZZ,$N23,6)="","",INDEX('_views'!$B:$ZZ,$N23,6)))="xr",-LOG(E23,2),0))),0)&lt;=-0.263)</formula>
    </cfRule>
    <cfRule type="expression" priority="61" dxfId="50">
      <formula>AND(IF($N23="","",IF(INDEX('_views'!$B:$ZZ,$N23,6)="","",INDEX('_views'!$B:$ZZ,$N23,6)))="pts",ISNUMBER(E23))</formula>
    </cfRule>
    <cfRule type="expression" priority="62" dxfId="51">
      <formula>ISNUMBER(E23)</formula>
    </cfRule>
  </conditionalFormatting>
  <conditionalFormatting sqref="B32:B38">
    <cfRule type="expression" priority="63" dxfId="6">
      <formula>$B32&lt;&gt;""</formula>
    </cfRule>
  </conditionalFormatting>
  <conditionalFormatting sqref="C32:F38">
    <cfRule type="expression" priority="64" dxfId="5">
      <formula>AND($B32&lt;&gt;"",ISTEXT(C32))</formula>
    </cfRule>
    <cfRule type="expression" priority="65" dxfId="26">
      <formula>AND($B32&lt;&gt;"",AND($P$28="pts",AND(ISNUMBER(C32),IFERROR(IF($P$28="pts",-C32/$P$29,IF($P$28="x",LOG(C32,2),IF($P$28="xr",-LOG(C32,2),0))),0)&gt;=1.0)))</formula>
    </cfRule>
    <cfRule type="expression" priority="66" dxfId="27">
      <formula>AND($B32&lt;&gt;"",AND(ISNUMBER(C32),IFERROR(IF($P$28="pts",-C32/$P$29,IF($P$28="x",LOG(C32,2),IF($P$28="xr",-LOG(C32,2),0))),0)&gt;=1.0))</formula>
    </cfRule>
    <cfRule type="expression" priority="67" dxfId="28">
      <formula>AND($B32&lt;&gt;"",AND($P$28="pts",AND(ISNUMBER(C32),IFERROR(IF($P$28="pts",-C32/$P$29,IF($P$28="x",LOG(C32,2),IF($P$28="xr",-LOG(C32,2),0))),0)&gt;=0.585)))</formula>
    </cfRule>
    <cfRule type="expression" priority="68" dxfId="29">
      <formula>AND($B32&lt;&gt;"",AND(ISNUMBER(C32),IFERROR(IF($P$28="pts",-C32/$P$29,IF($P$28="x",LOG(C32,2),IF($P$28="xr",-LOG(C32,2),0))),0)&gt;=0.585))</formula>
    </cfRule>
    <cfRule type="expression" priority="69" dxfId="30">
      <formula>AND($B32&lt;&gt;"",AND($P$28="pts",AND(ISNUMBER(C32),IFERROR(IF($P$28="pts",-C32/$P$29,IF($P$28="x",LOG(C32,2),IF($P$28="xr",-LOG(C32,2),0))),0)&gt;=0.263)))</formula>
    </cfRule>
    <cfRule type="expression" priority="70" dxfId="31">
      <formula>AND($B32&lt;&gt;"",AND(ISNUMBER(C32),IFERROR(IF($P$28="pts",-C32/$P$29,IF($P$28="x",LOG(C32,2),IF($P$28="xr",-LOG(C32,2),0))),0)&gt;=0.263))</formula>
    </cfRule>
    <cfRule type="expression" priority="71" dxfId="32">
      <formula>AND($B32&lt;&gt;"",AND($P$28="pts",AND(ISNUMBER(C32),IFERROR(IF($P$28="pts",-C32/$P$29,IF($P$28="x",LOG(C32,2),IF($P$28="xr",-LOG(C32,2),0))),0)&lt;=-0.585)))</formula>
    </cfRule>
    <cfRule type="expression" priority="72" dxfId="33">
      <formula>AND($B32&lt;&gt;"",AND(ISNUMBER(C32),IFERROR(IF($P$28="pts",-C32/$P$29,IF($P$28="x",LOG(C32,2),IF($P$28="xr",-LOG(C32,2),0))),0)&lt;=-0.585))</formula>
    </cfRule>
    <cfRule type="expression" priority="73" dxfId="34">
      <formula>AND($B32&lt;&gt;"",AND($P$28="pts",AND(ISNUMBER(C32),IFERROR(IF($P$28="pts",-C32/$P$29,IF($P$28="x",LOG(C32,2),IF($P$28="xr",-LOG(C32,2),0))),0)&lt;=-0.263)))</formula>
    </cfRule>
    <cfRule type="expression" priority="74" dxfId="35">
      <formula>AND($B32&lt;&gt;"",AND(ISNUMBER(C32),IFERROR(IF($P$28="pts",-C32/$P$29,IF($P$28="x",LOG(C32,2),IF($P$28="xr",-LOG(C32,2),0))),0)&lt;=-0.263))</formula>
    </cfRule>
    <cfRule type="expression" priority="75" dxfId="36">
      <formula>AND($B32&lt;&gt;"",AND($P$28="pts",ISNUMBER(C32)))</formula>
    </cfRule>
    <cfRule type="expression" priority="76" dxfId="12">
      <formula>AND($B32&lt;&gt;"",ISNUMBER(C32))</formula>
    </cfRule>
    <cfRule type="expression" priority="77" dxfId="6">
      <formula>$B32&lt;&gt;""</formula>
    </cfRule>
  </conditionalFormatting>
  <conditionalFormatting sqref="H32:H38">
    <cfRule type="expression" priority="78" dxfId="6">
      <formula>$H32&lt;&gt;""</formula>
    </cfRule>
  </conditionalFormatting>
  <conditionalFormatting sqref="I32:I38">
    <cfRule type="expression" priority="79" dxfId="52">
      <formula>AND($H32&lt;&gt;"",OR(AND(ISNUMBER(I32),I32&lt;significance_bar),AND(ISTEXT(I32),AND(ISNUMBER(IF($R32="","",IF(INDEX('_views'!$B:$ZZ,$R32,1)="","",INDEX('_views'!$B:$ZZ,$R32,1)))),IF($R32="","",IF(INDEX('_views'!$B:$ZZ,$R32,1)="","",INDEX('_views'!$B:$ZZ,$R32,1)))&lt;significance_bar))))</formula>
    </cfRule>
    <cfRule type="expression" priority="80" dxfId="6">
      <formula>$H32&lt;&gt;""</formula>
    </cfRule>
  </conditionalFormatting>
  <conditionalFormatting sqref="J32:J38">
    <cfRule type="expression" priority="81" dxfId="52">
      <formula>AND($H32&lt;&gt;"",OR(AND(ISNUMBER(J32),J32&lt;significance_bar),AND(ISTEXT(J32),AND(ISNUMBER(IF($R32="","",IF(INDEX('_views'!$B:$ZZ,$R32,2)="","",INDEX('_views'!$B:$ZZ,$R32,2)))),IF($R32="","",IF(INDEX('_views'!$B:$ZZ,$R32,2)="","",INDEX('_views'!$B:$ZZ,$R32,2)))&lt;significance_bar))))</formula>
    </cfRule>
    <cfRule type="expression" priority="82" dxfId="6">
      <formula>$H32&lt;&gt;""</formula>
    </cfRule>
  </conditionalFormatting>
  <conditionalFormatting sqref="K32:K38">
    <cfRule type="expression" priority="83" dxfId="52">
      <formula>AND($H32&lt;&gt;"",OR(AND(ISNUMBER(K32),K32&lt;significance_bar),AND(ISTEXT(K32),AND(ISNUMBER(IF($R32="","",IF(INDEX('_views'!$B:$ZZ,$R32,3)="","",INDEX('_views'!$B:$ZZ,$R32,3)))),IF($R32="","",IF(INDEX('_views'!$B:$ZZ,$R32,3)="","",INDEX('_views'!$B:$ZZ,$R32,3)))&lt;significance_bar))))</formula>
    </cfRule>
    <cfRule type="expression" priority="84" dxfId="6">
      <formula>$H32&lt;&gt;""</formula>
    </cfRule>
  </conditionalFormatting>
  <conditionalFormatting sqref="L32:L38">
    <cfRule type="expression" priority="85" dxfId="52">
      <formula>AND($H32&lt;&gt;"",OR(AND(ISNUMBER(L32),L32&lt;significance_bar),AND(ISTEXT(L32),AND(ISNUMBER(IF($R32="","",IF(INDEX('_views'!$B:$ZZ,$R32,4)="","",INDEX('_views'!$B:$ZZ,$R32,4)))),IF($R32="","",IF(INDEX('_views'!$B:$ZZ,$R32,4)="","",INDEX('_views'!$B:$ZZ,$R32,4)))&lt;significance_bar))))</formula>
    </cfRule>
    <cfRule type="expression" priority="86" dxfId="6">
      <formula>$H32&lt;&gt;""</formula>
    </cfRule>
  </conditionalFormatting>
  <dataValidations count="2">
    <dataValidation sqref="B16" showDropDown="0" showInputMessage="0" showErrorMessage="1" allowBlank="0" errorTitle="Grid" error="Pick one from the list." type="list">
      <formula1>='_choices'!$N$2:$N$9</formula1>
    </dataValidation>
    <dataValidation sqref="B28"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7"/>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Two-flag book.csv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Two-flag book - PocketBook - what ran.yaml, beside this workbook: every setting the run used, kept for the file.</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It 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9">
        <f>'_live'!$E$5</f>
        <v/>
      </c>
      <c r="G16" s="140"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9">
        <f>'_live'!$E$6</f>
        <v/>
      </c>
      <c r="G17" s="140" t="inlineStr">
        <is>
          <t>better at 0.75x</t>
        </is>
      </c>
      <c r="K17" t="inlineStr">
        <is>
          <t>row|this|settings</t>
        </is>
      </c>
      <c r="L17">
        <f>IF('_live'!$E$6&lt;&gt;'_live'!$F$6,1,0)</f>
        <v/>
      </c>
    </row>
    <row r="18" ht="32" customHeight="1">
      <c r="B18" s="88" t="inlineStr">
        <is>
          <t>Split</t>
        </is>
      </c>
      <c r="C18" s="89" t="inlineStr">
        <is>
          <t>SYS_FLAG, each pocket split by each value, and each value set against the rest of its pocket. SYS_FLAG isn't cut</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on its own while it splits. Split pockets: 158.</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7" t="n"/>
      <c r="C21" s="87" t="n"/>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702: every grid adds up to the book</t>
        </is>
      </c>
      <c r="E25" s="88" t="inlineStr">
        <is>
          <t>Borderline now: Bad dollars</t>
        </is>
      </c>
      <c r="F25" s="89">
        <f>COUNTIFS('_pockets'!$A$4:$A$1048576,"grids",'_pockets'!$E$4:$E$1048576,"outcome_booked",'_pockets'!$AM$4:$AM$1048576,"?*")&amp;" of 81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81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81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81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81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81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81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1.34x gap: Bad loans</t>
        </is>
      </c>
      <c r="C31" s="89" t="inlineStr">
        <is>
          <t>about 1,026</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1.34x gap: Bad dollars</t>
        </is>
      </c>
      <c r="C32" s="89" t="inlineStr">
        <is>
          <t>about 1,122</t>
        </is>
      </c>
      <c r="E32" s="88" t="n"/>
      <c r="F32" s="89" t="inlineStr">
        <is>
          <t>compared as a gap in points, never a multiple. A split by a category: each value against the rest of its</t>
        </is>
      </c>
      <c r="G32" s="63" t="n"/>
      <c r="K32" t="inlineStr">
        <is>
          <t>row|adds|tests</t>
        </is>
      </c>
      <c r="N32" t="inlineStr">
        <is>
          <t>sp</t>
        </is>
      </c>
    </row>
    <row r="33" ht="32" customHeight="1">
      <c r="B33" s="88" t="inlineStr">
        <is>
          <t>Loans needed for a 1.34x gap: Charge-offs</t>
        </is>
      </c>
      <c r="C33" s="89" t="inlineStr">
        <is>
          <t>about 1,200</t>
        </is>
      </c>
      <c r="E33" s="88" t="n"/>
      <c r="F33" s="89" t="inlineStr">
        <is>
          <t>pocket, as the halves are compared; and whether the values differ at all, every value at once, by the</t>
        </is>
      </c>
      <c r="G33" s="63" t="n"/>
      <c r="K33" t="inlineStr">
        <is>
          <t>row|adds|tests</t>
        </is>
      </c>
      <c r="N33" t="inlineStr">
        <is>
          <t>sp</t>
        </is>
      </c>
    </row>
    <row r="34" ht="32" customHeight="1">
      <c r="B34" s="88" t="inlineStr">
        <is>
          <t>Smallest gap a typical pocket could show: Kept after losses</t>
        </is>
      </c>
      <c r="C34" s="89" t="inlineStr">
        <is>
          <t>2.87 points either way (the median over the pockets; caught 80% of the time at 95% sure)</t>
        </is>
      </c>
      <c r="E34" s="88" t="n"/>
      <c r="F34" s="89" t="inlineStr">
        <is>
          <t>K-group Mantel-Haenszel test (general association, on one fewer degrees of freedom than there are</t>
        </is>
      </c>
      <c r="G34" s="63" t="n"/>
      <c r="K34" t="inlineStr">
        <is>
          <t>row|adds|tests</t>
        </is>
      </c>
      <c r="N34" t="inlineStr">
        <is>
          <t>sp</t>
        </is>
      </c>
    </row>
    <row r="35" ht="32" customHeight="1">
      <c r="B35" s="88" t="inlineStr">
        <is>
          <t>Smallest gap a typical pocket could show: Earned before losses</t>
        </is>
      </c>
      <c r="C35" s="89" t="inlineStr">
        <is>
          <t>1.89 points either way (the median over the pockets; caught 80% of the time at 95% sure)</t>
        </is>
      </c>
      <c r="E35" s="88" t="n"/>
      <c r="F35" s="89" t="inlineStr">
        <is>
          <t>values), bad loans only. The split's odds: Cochran-Mantel-Haenszel, which asks whether an odds ratio</t>
        </is>
      </c>
      <c r="G35" s="63" t="n"/>
      <c r="K35" t="inlineStr">
        <is>
          <t>row|adds|tests</t>
        </is>
      </c>
      <c r="N35" t="inlineStr">
        <is>
          <t>sp</t>
        </is>
      </c>
    </row>
    <row r="36" ht="18" customHeight="1">
      <c r="B36" s="88" t="inlineStr">
        <is>
          <t>Materiality line: Bad loans</t>
        </is>
      </c>
      <c r="C36" s="89">
        <f>IF('_live'!$C$20="","no line: the dollar line on Control is a GCO amount",TEXT('_live'!$C$20,"#,##0.0")&amp;" loans")</f>
        <v/>
      </c>
      <c r="E36" s="88" t="n"/>
      <c r="F36" s="89" t="inlineStr">
        <is>
          <t>this far from 1 could come from shuffling loans within their pockets. It has no continuity correction:</t>
        </is>
      </c>
      <c r="G36" s="63" t="n"/>
      <c r="K36" t="inlineStr">
        <is>
          <t>row|adds|tests</t>
        </is>
      </c>
      <c r="N36" t="inlineStr">
        <is>
          <t>sp</t>
        </is>
      </c>
    </row>
    <row r="37" ht="18" customHeight="1">
      <c r="B37" s="88" t="inlineStr">
        <is>
          <t>Materiality line: Bad dollars</t>
        </is>
      </c>
      <c r="C37" s="89">
        <f>IF('_live'!$C$21="","no line: the dollar line on Control is a GCO amount",TEXT('_live'!$C$21,"#,##0")&amp;" ORIG_BAL dollars")</f>
        <v/>
      </c>
      <c r="E37" s="88" t="n"/>
      <c r="F37" s="89" t="inlineStr">
        <is>
          <t>nothing is taken off the gap between actual and expected before it is squared.</t>
        </is>
      </c>
      <c r="G37" s="63" t="n"/>
      <c r="K37" t="inlineStr">
        <is>
          <t>row|adds|tests</t>
        </is>
      </c>
      <c r="N37" t="inlineStr">
        <is>
          <t>sp</t>
        </is>
      </c>
    </row>
    <row r="38" ht="32" customHeight="1">
      <c r="B38" s="88" t="inlineStr">
        <is>
          <t>Materiality line: Charge-offs</t>
        </is>
      </c>
      <c r="C38" s="89">
        <f>IF('_live'!$C$22="","no line: the dollar line on Control is a GCO amount",TEXT('_live'!$C$22,"#,##0")&amp;" GCO_AMT dollars")</f>
        <v/>
      </c>
      <c r="E38" s="88" t="inlineStr">
        <is>
          <t>p-value</t>
        </is>
      </c>
      <c r="F38" s="89">
        <f>"The chance of a gap at least this big if there were no real difference, after the allowance for many tests. Below "&amp;TEXT(significance_bar,"0%")&amp;" is significant, at "&amp;TEXT(confidence,"0%")&amp;" sure. Two-sided: a gap either way counts."</f>
        <v/>
      </c>
      <c r="G38" s="63" t="n"/>
      <c r="K38" t="inlineStr">
        <is>
          <t>row|adds|tests</t>
        </is>
      </c>
    </row>
    <row r="39" ht="88"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Borderline</t>
        </is>
      </c>
      <c r="F39"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inlineStr">
        <is>
          <t>Standard error</t>
        </is>
      </c>
      <c r="F40" s="89">
        <f>"How far a rate worked out from this many loans typically lands from its true value. A gap of "&amp;TEXT(NORMSINV(1-(1-confidence)/2),"0.00")&amp;" standard errors is the "&amp;TEXT(confidence,"0%")&amp;" line."</f>
        <v/>
      </c>
      <c r="G40" s="63" t="n"/>
      <c r="K40" t="inlineStr">
        <is>
          <t>row|adds|tests</t>
        </is>
      </c>
    </row>
    <row r="41" ht="18" customHeight="1">
      <c r="B41" s="88" t="inlineStr">
        <is>
          <t>Grids filter</t>
        </is>
      </c>
      <c r="C41" s="89" t="inlineStr">
        <is>
          <t>SYS_FLAG: N (4,329 loans), Y (3,671 loans). Grids' Only loans where builds each grid again on one value's loans,</t>
        </is>
      </c>
      <c r="E41" s="88" t="inlineStr">
        <is>
          <t>The allowance for many tests covers</t>
        </is>
      </c>
      <c r="F41" s="89" t="inlineStr">
        <is>
          <t>each grid and measure on its own, one comparison at a time</t>
        </is>
      </c>
      <c r="G41" s="63" t="n"/>
      <c r="K41" t="inlineStr">
        <is>
          <t>row|adds|tests</t>
        </is>
      </c>
    </row>
    <row r="42" ht="18" customHeight="1">
      <c r="B42" s="88" t="n"/>
      <c r="C42" s="89" t="inlineStr">
        <is>
          <t>set against the whole book. Picked in the launcher (Filter by), apart from the split.</t>
        </is>
      </c>
      <c r="E42" s="88" t="inlineStr">
        <is>
          <t>Contribution before losses</t>
        </is>
      </c>
      <c r="F42" s="89" t="inlineStr">
        <is>
          <t>RANR + GCO, per booked dollar. This assumes RANR has gross charge-offs taken out. If RANR nets</t>
        </is>
      </c>
      <c r="G42" s="63" t="n"/>
      <c r="K42" t="inlineStr">
        <is>
          <t>row|adds|tests</t>
        </is>
      </c>
      <c r="M42" t="inlineStr">
        <is>
          <t>sp</t>
        </is>
      </c>
    </row>
    <row r="43" ht="18" customHeight="1">
      <c r="B43" s="88" t="inlineStr">
        <is>
          <t>Worked out from this book</t>
        </is>
      </c>
      <c r="C43" s="89" t="inlineStr">
        <is>
          <t>fewest loans 65 (enough to expect 5 with the outcome at the book's rate of 7.74%); worse at 1.34x; better at</t>
        </is>
      </c>
      <c r="E43" s="88" t="n"/>
      <c r="F43" s="89" t="inlineStr">
        <is>
          <t>recoveries instead, contribution is overstated by the recoveries.</t>
        </is>
      </c>
      <c r="G43" s="63" t="n"/>
      <c r="K43" t="inlineStr">
        <is>
          <t>row|adds|tests</t>
        </is>
      </c>
      <c r="N43" t="inlineStr">
        <is>
          <t>sp</t>
        </is>
      </c>
    </row>
    <row r="44" ht="46" customHeight="1">
      <c r="B44" s="88" t="n"/>
      <c r="C44" s="89" t="inlineStr">
        <is>
          <t>0.75x (the smallest outcome gap a pocket of typical size can call significant)</t>
        </is>
      </c>
      <c r="E44" s="88" t="inlineStr">
        <is>
          <t>Decides each pocket</t>
        </is>
      </c>
      <c r="F44"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4" s="63" t="n"/>
      <c r="K44" t="inlineStr">
        <is>
          <t>row|adds|tests</t>
        </is>
      </c>
      <c r="M44" t="inlineStr">
        <is>
          <t>sp</t>
        </is>
      </c>
    </row>
    <row r="45" ht="18" customHeight="1">
      <c r="B45" s="88" t="inlineStr">
        <is>
          <t>Pockets tested</t>
        </is>
      </c>
      <c r="C45" s="89" t="inlineStr">
        <is>
          <t>70 of 81</t>
        </is>
      </c>
      <c r="E45" s="88" t="inlineStr">
        <is>
          <t>Profit counts as more or less</t>
        </is>
      </c>
      <c r="F45" s="89">
        <f>'_live'!$E$13&amp;IF(profit_kind="test",": only a gap that is significant at "&amp;TEXT(confidence,"0%"),"")</f>
        <v/>
      </c>
      <c r="G45" s="63" t="n"/>
      <c r="K45" t="inlineStr">
        <is>
          <t>row|adds|tests</t>
        </is>
      </c>
    </row>
    <row r="46" ht="18" customHeight="1">
      <c r="B46" s="88" t="inlineStr">
        <is>
          <t>Pocket budget</t>
        </is>
      </c>
      <c r="C46" s="89" t="inlineStr">
        <is>
          <t>At most 123 pockets per grid can be tested: at the suggested floor a pocket needs to expect 5 bad loans, and the</t>
        </is>
      </c>
      <c r="E46" s="88" t="inlineStr">
        <is>
          <t>How profit reads</t>
        </is>
      </c>
      <c r="F46" s="89" t="inlineStr">
        <is>
          <t>As the gap: how many points of booked dollars a pocket is short of or ahead of its band, and the dollars</t>
        </is>
      </c>
      <c r="G46" s="63" t="n"/>
      <c r="K46" t="inlineStr">
        <is>
          <t>row|adds|tests</t>
        </is>
      </c>
    </row>
    <row r="47" ht="18" customHeight="1">
      <c r="B47" s="88" t="n"/>
      <c r="C47" s="89" t="inlineStr">
        <is>
          <t>book has 619 (619 ÷ 5 = 123). Fewer in practice, since loans never spread evenly. Each grid cuts the whole book</t>
        </is>
      </c>
      <c r="E47" s="88" t="n"/>
      <c r="F47" s="89" t="inlineStr">
        <is>
          <t>that comes to. In this run, FICO 496 - 653 / CHANNEL Broker: "short of its band by 7.86 points</t>
        </is>
      </c>
      <c r="G47" s="63" t="n"/>
      <c r="K47" t="inlineStr">
        <is>
          <t>row|adds|tests</t>
        </is>
      </c>
      <c r="M47" t="inlineStr">
        <is>
          <t>sp</t>
        </is>
      </c>
      <c r="N47" t="inlineStr">
        <is>
          <t>sp</t>
        </is>
      </c>
    </row>
    <row r="48" ht="18" customHeight="1">
      <c r="B48" s="88" t="n"/>
      <c r="C48" s="89" t="inlineStr">
        <is>
          <t>again, so each grid is held to this on its own.</t>
        </is>
      </c>
      <c r="E48" s="88" t="n"/>
      <c r="F48" s="89" t="inlineStr">
        <is>
          <t>($1,339,855)". A gap its own test doesn't call significant gives the gap and says not significant. In</t>
        </is>
      </c>
      <c r="G48" s="63" t="n"/>
      <c r="K48" t="inlineStr">
        <is>
          <t>row|adds|tests</t>
        </is>
      </c>
      <c r="M48" t="inlineStr">
        <is>
          <t>sp</t>
        </is>
      </c>
      <c r="N48" t="inlineStr">
        <is>
          <t>sp</t>
        </is>
      </c>
    </row>
    <row r="49" ht="18" customHeight="1">
      <c r="B49" s="88" t="inlineStr">
        <is>
          <t>Pockets: FICO x CHANNEL</t>
        </is>
      </c>
      <c r="C49" s="89" t="inlineStr">
        <is>
          <t>19 pockets, against a budget of 123. 15 have at least 10 bad loans and can be tested, holding 98% of the loans</t>
        </is>
      </c>
      <c r="E49" s="88" t="n"/>
      <c r="F49" s="89" t="inlineStr">
        <is>
          <t>this run, ORIG_BAL 37,951 - 49,151 / ASSET_CLASS 4: "-2.60 points against its band, not significant".</t>
        </is>
      </c>
      <c r="G49" s="63" t="n"/>
      <c r="K49" t="inlineStr">
        <is>
          <t>row|adds|tests</t>
        </is>
      </c>
      <c r="N49" t="inlineStr">
        <is>
          <t>sp</t>
        </is>
      </c>
    </row>
    <row r="50" ht="18" customHeight="1">
      <c r="B50" s="88" t="n"/>
      <c r="C50" s="89" t="inlineStr">
        <is>
          <t>and 98% of the booked dollars.</t>
        </is>
      </c>
      <c r="E50" s="88" t="n"/>
      <c r="F50" s="89" t="inlineStr">
        <is>
          <t>The examples are as of the last Run.</t>
        </is>
      </c>
      <c r="G50" s="63" t="n"/>
      <c r="K50" t="inlineStr">
        <is>
          <t>row|adds|tests</t>
        </is>
      </c>
      <c r="M50" t="inlineStr">
        <is>
          <t>sp</t>
        </is>
      </c>
      <c r="N50" t="inlineStr">
        <is>
          <t>sp</t>
        </is>
      </c>
    </row>
    <row r="51" ht="18" customHeight="1">
      <c r="B51" s="88" t="inlineStr">
        <is>
          <t>Pockets: FICO x ASSET_CLASS</t>
        </is>
      </c>
      <c r="C51" s="89" t="inlineStr">
        <is>
          <t>25 pockets, against a budget of 123. 20 have at least 10 bad loans and can be tested, holding 98% of the loans</t>
        </is>
      </c>
      <c r="E51" s="88" t="inlineStr">
        <is>
          <t>Families of tests</t>
        </is>
      </c>
      <c r="F51" s="89" t="inlineStr">
        <is>
          <t>100, holding 2,718 tests: 4 grids x 5 rates x 2 comparisons; 4 three-way grids x 5 rates x 2</t>
        </is>
      </c>
      <c r="G51" s="63" t="n"/>
      <c r="K51" t="inlineStr">
        <is>
          <t>row|adds|tests</t>
        </is>
      </c>
    </row>
    <row r="52" ht="18" customHeight="1">
      <c r="B52" s="88" t="n"/>
      <c r="C52" s="89" t="inlineStr">
        <is>
          <t>and 98% of the booked dollars.</t>
        </is>
      </c>
      <c r="E52" s="88" t="n"/>
      <c r="F52" s="89" t="inlineStr">
        <is>
          <t>comparisons; 4 grids x 5 rates for the split's values, every value in one family. A family is one grid,</t>
        </is>
      </c>
      <c r="G52" s="63" t="n"/>
      <c r="K52" t="inlineStr">
        <is>
          <t>row|adds|tests</t>
        </is>
      </c>
      <c r="M52" t="inlineStr">
        <is>
          <t>sp</t>
        </is>
      </c>
      <c r="N52" t="inlineStr">
        <is>
          <t>sp</t>
        </is>
      </c>
    </row>
    <row r="53" ht="18" customHeight="1">
      <c r="B53" s="88" t="inlineStr">
        <is>
          <t>Pockets: ORIG_BAL x CHANNEL</t>
        </is>
      </c>
      <c r="C53" s="89" t="inlineStr">
        <is>
          <t>16 pockets, against a budget of 123. 15 have at least 10 bad loans and can be tested, holding 100% of the loans</t>
        </is>
      </c>
      <c r="E53" s="88" t="n"/>
      <c r="F53" s="89" t="inlineStr">
        <is>
          <t>one rate and one comparison (against the rest of the book, the rest of its band, or each value against</t>
        </is>
      </c>
      <c r="G53" s="63" t="n"/>
      <c r="K53" t="inlineStr">
        <is>
          <t>row|adds|tests</t>
        </is>
      </c>
      <c r="N53" t="inlineStr">
        <is>
          <t>sp</t>
        </is>
      </c>
    </row>
    <row r="54" ht="18" customHeight="1">
      <c r="B54" s="88" t="n"/>
      <c r="C54" s="89" t="inlineStr">
        <is>
          <t>and 100% of the booked dollars.</t>
        </is>
      </c>
      <c r="E54" s="88" t="n"/>
      <c r="F54" s="89" t="inlineStr">
        <is>
          <t>the rest of its pocket).</t>
        </is>
      </c>
      <c r="G54" s="63" t="n"/>
      <c r="K54" t="inlineStr">
        <is>
          <t>row|adds|tests</t>
        </is>
      </c>
      <c r="M54" t="inlineStr">
        <is>
          <t>sp</t>
        </is>
      </c>
      <c r="N54" t="inlineStr">
        <is>
          <t>sp</t>
        </is>
      </c>
    </row>
    <row r="55" ht="18" customHeight="1">
      <c r="B55" s="88" t="inlineStr">
        <is>
          <t>Pockets: ORIG_BAL x ASSET_CLASS</t>
        </is>
      </c>
      <c r="C55" s="89" t="inlineStr">
        <is>
          <t>21 pockets, against a budget of 123. 20 have at least 10 bad loans and can be tested, holding 100% of the loans</t>
        </is>
      </c>
      <c r="E55" s="88" t="inlineStr">
        <is>
          <t>Reading a single red</t>
        </is>
      </c>
      <c r="F55" s="89" t="inlineStr">
        <is>
          <t>Each family gets its own allowance for many tests, not one for the whole run. So a single red across 100</t>
        </is>
      </c>
      <c r="G55" s="63" t="n"/>
      <c r="K55" t="inlineStr">
        <is>
          <t>row|adds|tests</t>
        </is>
      </c>
    </row>
    <row r="56" ht="18" customHeight="1">
      <c r="B56" s="88" t="n"/>
      <c r="C56" s="89" t="inlineStr">
        <is>
          <t>and 100% of the booked dollars.</t>
        </is>
      </c>
      <c r="E56" s="88" t="n"/>
      <c r="F56" s="89" t="inlineStr">
        <is>
          <t>families is weak evidence.</t>
        </is>
      </c>
      <c r="G56" s="63" t="n"/>
      <c r="K56" t="inlineStr">
        <is>
          <t>row|adds|tests</t>
        </is>
      </c>
      <c r="M56" t="inlineStr">
        <is>
          <t>sp</t>
        </is>
      </c>
      <c r="N56" t="inlineStr">
        <is>
          <t>sp</t>
        </is>
      </c>
    </row>
    <row r="57" ht="32" customHeight="1">
      <c r="B57" s="88" t="inlineStr">
        <is>
          <t>Pockets: Split: FICO x CHANNEL / SYS_FLAG</t>
        </is>
      </c>
      <c r="C57" s="89" t="inlineStr">
        <is>
          <t>37 pockets, against a budget of 123. 25 have at least 10 bad loans and can be tested, holding 81% of the loans</t>
        </is>
      </c>
      <c r="K57" t="inlineStr">
        <is>
          <t>row|adds|tests</t>
        </is>
      </c>
    </row>
    <row r="58" ht="18" customHeight="1">
      <c r="B58" s="88" t="n"/>
      <c r="C58" s="89" t="inlineStr">
        <is>
          <t>and 81% of the booked dollars.</t>
        </is>
      </c>
      <c r="K58" t="inlineStr">
        <is>
          <t>row|adds|tests</t>
        </is>
      </c>
      <c r="M58" t="inlineStr">
        <is>
          <t>sp</t>
        </is>
      </c>
    </row>
    <row r="59" ht="32" customHeight="1">
      <c r="B59" s="88" t="inlineStr">
        <is>
          <t>Pockets: Split: FICO x ASSET_CLASS / SYS_FLAG</t>
        </is>
      </c>
      <c r="C59" s="89" t="inlineStr">
        <is>
          <t>49 pockets, against a budget of 123. 26 have at least 10 bad loans and can be tested, holding 63% of the loans</t>
        </is>
      </c>
      <c r="K59" t="inlineStr">
        <is>
          <t>row|adds|tests</t>
        </is>
      </c>
    </row>
    <row r="60" ht="18" customHeight="1">
      <c r="B60" s="88" t="n"/>
      <c r="C60" s="89" t="inlineStr">
        <is>
          <t>and 63% of the booked dollars.</t>
        </is>
      </c>
      <c r="K60" t="inlineStr">
        <is>
          <t>row|adds|tests</t>
        </is>
      </c>
      <c r="M60" t="inlineStr">
        <is>
          <t>sp</t>
        </is>
      </c>
    </row>
    <row r="61" ht="32" customHeight="1">
      <c r="B61" s="88" t="inlineStr">
        <is>
          <t>Pockets: Split: ORIG_BAL x CHANNEL / SYS_FLAG</t>
        </is>
      </c>
      <c r="C61" s="89" t="inlineStr">
        <is>
          <t>31 pockets, against a budget of 123. 28 have at least 10 bad loans and can be tested, holding 93% of the loans</t>
        </is>
      </c>
      <c r="K61" t="inlineStr">
        <is>
          <t>row|adds|tests</t>
        </is>
      </c>
    </row>
    <row r="62" ht="18" customHeight="1">
      <c r="B62" s="88" t="n"/>
      <c r="C62" s="89" t="inlineStr">
        <is>
          <t>and 88% of the booked dollars.</t>
        </is>
      </c>
      <c r="K62" t="inlineStr">
        <is>
          <t>row|adds|tests</t>
        </is>
      </c>
      <c r="M62" t="inlineStr">
        <is>
          <t>sp</t>
        </is>
      </c>
    </row>
    <row r="63" ht="32" customHeight="1">
      <c r="B63" s="88" t="inlineStr">
        <is>
          <t>Pockets: Split: ORIG_BAL x ASSET_CLASS / SYS_FLAG</t>
        </is>
      </c>
      <c r="C63" s="89" t="inlineStr">
        <is>
          <t>41 pockets, against a budget of 123. 32 have at least 10 bad loans and can be tested, holding 78% of the loans</t>
        </is>
      </c>
      <c r="K63" t="inlineStr">
        <is>
          <t>row|adds|tests</t>
        </is>
      </c>
    </row>
    <row r="64" ht="18" customHeight="1">
      <c r="B64" s="88" t="n"/>
      <c r="C64" s="89" t="inlineStr">
        <is>
          <t>and 73% of the booked dollars.</t>
        </is>
      </c>
      <c r="K64" t="inlineStr">
        <is>
          <t>row|adds|tests</t>
        </is>
      </c>
      <c r="M64" t="inlineStr">
        <is>
          <t>sp</t>
        </is>
      </c>
    </row>
    <row r="65" ht="18" customHeight="1">
      <c r="B65" s="88" t="inlineStr">
        <is>
          <t>Pockets in all</t>
        </is>
      </c>
      <c r="C65" s="89" t="inlineStr">
        <is>
          <t>239 pockets across 8 grids. Testable means at least 10 bad loans (fewest losses): that is the only floor that</t>
        </is>
      </c>
      <c r="K65" t="inlineStr">
        <is>
          <t>row|adds|tests</t>
        </is>
      </c>
    </row>
    <row r="66" ht="18" customHeight="1">
      <c r="B66" s="82" t="n"/>
      <c r="C66" s="83" t="inlineStr">
        <is>
          <t>stops a test now, since a pocket under fewest loans gets the exact test.</t>
        </is>
      </c>
      <c r="E66" s="87" t="n"/>
      <c r="F66" s="87" t="n"/>
      <c r="G66" s="87" t="n"/>
      <c r="K66" t="inlineStr">
        <is>
          <t>row|adds|tests</t>
        </is>
      </c>
      <c r="M66" t="inlineStr">
        <is>
          <t>sp</t>
        </is>
      </c>
    </row>
    <row r="68" ht="24" customHeight="1">
      <c r="B68" s="78" t="inlineStr">
        <is>
          <t>Left out</t>
        </is>
      </c>
      <c r="C68" s="79" t="n"/>
      <c r="E68" s="78" t="inlineStr">
        <is>
          <t>Every Run, newest first</t>
        </is>
      </c>
      <c r="F68" s="79" t="n"/>
      <c r="G68" s="79" t="n"/>
      <c r="K68" t="inlineStr">
        <is>
          <t>pair|left|runs</t>
        </is>
      </c>
    </row>
    <row r="69" ht="18" customHeight="1">
      <c r="B69" s="80" t="inlineStr">
        <is>
          <t>Where</t>
        </is>
      </c>
      <c r="C69" s="80" t="inlineStr">
        <is>
          <t>What and how many</t>
        </is>
      </c>
      <c r="E69" s="80" t="inlineStr">
        <is>
          <t>When</t>
        </is>
      </c>
      <c r="F69" s="80" t="inlineStr">
        <is>
          <t>What happened</t>
        </is>
      </c>
      <c r="G69" s="86" t="n"/>
    </row>
    <row r="70" ht="18" customHeight="1">
      <c r="B70" s="88" t="inlineStr">
        <is>
          <t>Left out of Bad loans</t>
        </is>
      </c>
      <c r="C70" s="89" t="inlineStr">
        <is>
          <t>1 x BAD_FLAG flag not 0 or 1</t>
        </is>
      </c>
      <c r="E70" s="88" t="inlineStr">
        <is>
          <t>2026-09-30 04:03</t>
        </is>
      </c>
      <c r="F70" s="89" t="inlineStr">
        <is>
          <t>Ran on 8,000 loans from Two-flag book.csv. What was run: Where the book bleeds.</t>
        </is>
      </c>
      <c r="G70" s="63" t="n"/>
      <c r="K70" t="inlineStr">
        <is>
          <t>row|left|runs</t>
        </is>
      </c>
    </row>
    <row r="71" ht="18" customHeight="1">
      <c r="B71" s="88" t="inlineStr">
        <is>
          <t>Left out of Bad dollars</t>
        </is>
      </c>
      <c r="C71" s="89" t="inlineStr">
        <is>
          <t>1 x ORIG_BAL blank; 1 x BAD_FLAG flag not 0 or 1</t>
        </is>
      </c>
      <c r="E71" s="88" t="inlineStr">
        <is>
          <t>2026-09-30 04:02</t>
        </is>
      </c>
      <c r="F71" s="90" t="inlineStr">
        <is>
          <t>Couldn't run. Fix these, save, close, and press Run again:</t>
        </is>
      </c>
      <c r="G71" s="63" t="n"/>
      <c r="K71" t="inlineStr">
        <is>
          <t>row|left|runs</t>
        </is>
      </c>
    </row>
    <row r="72" ht="18" customHeight="1">
      <c r="B72" s="88" t="inlineStr">
        <is>
          <t>Left out of Charge-offs</t>
        </is>
      </c>
      <c r="C72" s="89" t="inlineStr">
        <is>
          <t>1 x GCO_AMT not a number; 1 x ORIG_BAL blank</t>
        </is>
      </c>
      <c r="E72" s="88" t="n"/>
      <c r="F72" s="89" t="inlineStr">
        <is>
          <t>Control!C15: "How much worse than its comparison a pocket must be" needs an answer. Pick one, or enter</t>
        </is>
      </c>
      <c r="G72" s="63" t="n"/>
      <c r="K72" t="inlineStr">
        <is>
          <t>row|left|runs</t>
        </is>
      </c>
    </row>
    <row r="73" ht="18" customHeight="1">
      <c r="B73" s="88" t="inlineStr">
        <is>
          <t>Left out of Kept after losses</t>
        </is>
      </c>
      <c r="C73" s="89" t="inlineStr">
        <is>
          <t>1 x ORIG_BAL blank</t>
        </is>
      </c>
      <c r="E73" s="88" t="n"/>
      <c r="F73" s="89" t="inlineStr">
        <is>
          <t>your own in column D.</t>
        </is>
      </c>
      <c r="G73" s="63" t="n"/>
      <c r="K73" t="inlineStr">
        <is>
          <t>row|left|runs</t>
        </is>
      </c>
      <c r="N73" t="inlineStr">
        <is>
          <t>sp</t>
        </is>
      </c>
    </row>
    <row r="74" ht="18" customHeight="1">
      <c r="B74" s="88" t="inlineStr">
        <is>
          <t>Left out of Earned before losses</t>
        </is>
      </c>
      <c r="C74" s="89" t="inlineStr">
        <is>
          <t>1 x GCO_AMT not a number; 1 x ORIG_BAL blank</t>
        </is>
      </c>
      <c r="E74" s="88" t="n"/>
      <c r="F74" s="89" t="inlineStr">
        <is>
          <t>Control!C18: "How sure a difference must be before it counts" needs an answer. Pick one, or enter your</t>
        </is>
      </c>
      <c r="G74" s="63" t="n"/>
      <c r="K74" t="inlineStr">
        <is>
          <t>row|left|runs</t>
        </is>
      </c>
    </row>
    <row r="75" ht="18" customHeight="1">
      <c r="B75" s="88" t="inlineStr">
        <is>
          <t>Alone in its band</t>
        </is>
      </c>
      <c r="C75" s="89" t="inlineStr">
        <is>
          <t>8 pockets had no other pocket in its band, so they were compared with the rest of the book.</t>
        </is>
      </c>
      <c r="E75" s="88" t="n"/>
      <c r="F75" s="89" t="inlineStr">
        <is>
          <t>own in column D.</t>
        </is>
      </c>
      <c r="G75" s="63" t="n"/>
      <c r="K75" t="inlineStr">
        <is>
          <t>row|left|runs</t>
        </is>
      </c>
      <c r="N75" t="inlineStr">
        <is>
          <t>sp</t>
        </is>
      </c>
    </row>
    <row r="76" ht="18" customHeight="1">
      <c r="E76" s="88" t="n"/>
      <c r="F76" s="89" t="inlineStr">
        <is>
          <t>Control!C19: "Smallest excess loss worth reporting" needs an answer. Pick one, or enter your own in</t>
        </is>
      </c>
      <c r="G76" s="63" t="n"/>
      <c r="K76" t="inlineStr">
        <is>
          <t>row|left|runs</t>
        </is>
      </c>
    </row>
    <row r="77" ht="18" customHeight="1">
      <c r="E77" s="88" t="n"/>
      <c r="F77" s="89" t="inlineStr">
        <is>
          <t>column D.</t>
        </is>
      </c>
      <c r="G77" s="63" t="n"/>
      <c r="K77" t="inlineStr">
        <is>
          <t>row|left|runs</t>
        </is>
      </c>
      <c r="N77" t="inlineStr">
        <is>
          <t>sp</t>
        </is>
      </c>
    </row>
    <row r="78" ht="18" customHeight="1">
      <c r="E78" s="88" t="n"/>
      <c r="F78" s="89" t="inlineStr">
        <is>
          <t>Control!C16: "How much better than its comparison a pocket must be" needs an answer. Pick one, or enter</t>
        </is>
      </c>
      <c r="G78" s="63" t="n"/>
      <c r="K78" t="inlineStr">
        <is>
          <t>row|left|runs</t>
        </is>
      </c>
    </row>
    <row r="79" ht="18" customHeight="1">
      <c r="E79" s="88" t="n"/>
      <c r="F79" s="89" t="inlineStr">
        <is>
          <t>your own in column D.</t>
        </is>
      </c>
      <c r="G79" s="63" t="n"/>
      <c r="K79" t="inlineStr">
        <is>
          <t>row|left|runs</t>
        </is>
      </c>
      <c r="N79" t="inlineStr">
        <is>
          <t>sp</t>
        </is>
      </c>
    </row>
    <row r="80" ht="18" customHeight="1">
      <c r="E80" s="88" t="n"/>
      <c r="F80" s="89" t="inlineStr">
        <is>
          <t>Control!C17: "How far profit must move before it counts as more or less" needs an answer. Pick one, or</t>
        </is>
      </c>
      <c r="G80" s="63" t="n"/>
      <c r="K80" t="inlineStr">
        <is>
          <t>row|left|runs</t>
        </is>
      </c>
    </row>
    <row r="81" ht="18" customHeight="1">
      <c r="E81" s="88" t="n"/>
      <c r="F81" s="89" t="inlineStr">
        <is>
          <t>enter your own in column D.</t>
        </is>
      </c>
      <c r="G81" s="63" t="n"/>
      <c r="K81" t="inlineStr">
        <is>
          <t>row|left|runs</t>
        </is>
      </c>
      <c r="N81" t="inlineStr">
        <is>
          <t>sp</t>
        </is>
      </c>
    </row>
    <row r="82" ht="18" customHeight="1">
      <c r="E82" s="88" t="n"/>
      <c r="F82" s="89" t="inlineStr">
        <is>
          <t>Control!C20: "What a pocket is judged against" needs an answer. Pick one from the list.</t>
        </is>
      </c>
      <c r="G82" s="63" t="n"/>
      <c r="K82" t="inlineStr">
        <is>
          <t>row|left|runs</t>
        </is>
      </c>
    </row>
    <row r="83" ht="18" customHeight="1">
      <c r="E83" s="88" t="n"/>
      <c r="F83" s="89" t="inlineStr">
        <is>
          <t>Control!C24: "Fewest loans in a pocket for the usual test (smaller ones get the exact test)" needs an</t>
        </is>
      </c>
      <c r="G83" s="63" t="n"/>
      <c r="K83" t="inlineStr">
        <is>
          <t>row|left|runs</t>
        </is>
      </c>
    </row>
    <row r="84" ht="18" customHeight="1">
      <c r="E84" s="88" t="n"/>
      <c r="F84" s="89" t="inlineStr">
        <is>
          <t>answer. Pick one, or enter your own in column D.</t>
        </is>
      </c>
      <c r="G84" s="63" t="n"/>
      <c r="K84" t="inlineStr">
        <is>
          <t>row|left|runs</t>
        </is>
      </c>
      <c r="N84" t="inlineStr">
        <is>
          <t>sp</t>
        </is>
      </c>
    </row>
    <row r="85" ht="18" customHeight="1">
      <c r="E85" s="88" t="n"/>
      <c r="F85" s="89" t="inlineStr">
        <is>
          <t>Control!C25: "Fewest loans with a loss before a loss rate is tested" needs an answer. Pick one, or enter</t>
        </is>
      </c>
      <c r="G85" s="63" t="n"/>
      <c r="K85" t="inlineStr">
        <is>
          <t>row|left|runs</t>
        </is>
      </c>
    </row>
    <row r="86" ht="18" customHeight="1">
      <c r="E86" s="88" t="n"/>
      <c r="F86" s="89" t="inlineStr">
        <is>
          <t>your own in column D.</t>
        </is>
      </c>
      <c r="G86" s="63" t="n"/>
      <c r="K86" t="inlineStr">
        <is>
          <t>row|left|runs</t>
        </is>
      </c>
      <c r="N86" t="inlineStr">
        <is>
          <t>sp</t>
        </is>
      </c>
    </row>
    <row r="87" ht="18" customHeight="1">
      <c r="B87" s="87" t="n"/>
      <c r="C87" s="87" t="n"/>
      <c r="E87" s="82" t="n"/>
      <c r="F87" s="83" t="inlineStr">
        <is>
          <t>Columns!C3: set Checked every column to Yes once you've checked each column's meaning.</t>
        </is>
      </c>
      <c r="G87" s="87" t="n"/>
      <c r="K87" t="inlineStr">
        <is>
          <t>row|left|runs</t>
        </is>
      </c>
    </row>
  </sheetData>
  <mergeCells count="65">
    <mergeCell ref="F73:G73"/>
    <mergeCell ref="F69:G69"/>
    <mergeCell ref="F87:G87"/>
    <mergeCell ref="F78:G78"/>
    <mergeCell ref="F29:G29"/>
    <mergeCell ref="C6:G6"/>
    <mergeCell ref="F54:G54"/>
    <mergeCell ref="F25:G25"/>
    <mergeCell ref="F34:G34"/>
    <mergeCell ref="F63:G63"/>
    <mergeCell ref="F65:G65"/>
    <mergeCell ref="C5:G5"/>
    <mergeCell ref="F84:G84"/>
    <mergeCell ref="F40:G40"/>
    <mergeCell ref="F74:G74"/>
    <mergeCell ref="F83:G83"/>
    <mergeCell ref="F59:G59"/>
    <mergeCell ref="C4:G4"/>
    <mergeCell ref="F55:G55"/>
    <mergeCell ref="F24:G24"/>
    <mergeCell ref="F30:G30"/>
    <mergeCell ref="F53:G53"/>
    <mergeCell ref="F86:G86"/>
    <mergeCell ref="F51:G51"/>
    <mergeCell ref="F80:G80"/>
    <mergeCell ref="F76:G76"/>
    <mergeCell ref="F33:G33"/>
    <mergeCell ref="F45:G45"/>
    <mergeCell ref="F85:G85"/>
    <mergeCell ref="F36:G36"/>
    <mergeCell ref="F42:G42"/>
    <mergeCell ref="F32:G32"/>
    <mergeCell ref="F50:G50"/>
    <mergeCell ref="F26:G26"/>
    <mergeCell ref="F41:G41"/>
    <mergeCell ref="F70:G70"/>
    <mergeCell ref="F66:G66"/>
    <mergeCell ref="F35:G35"/>
    <mergeCell ref="F79:G79"/>
    <mergeCell ref="F75:G75"/>
    <mergeCell ref="F47:G47"/>
    <mergeCell ref="F62:G62"/>
    <mergeCell ref="F38:G38"/>
    <mergeCell ref="F72:G72"/>
    <mergeCell ref="F81:G81"/>
    <mergeCell ref="F31:G31"/>
    <mergeCell ref="F46:G46"/>
    <mergeCell ref="F28:G28"/>
    <mergeCell ref="F27:G27"/>
    <mergeCell ref="F56:G56"/>
    <mergeCell ref="F58:G58"/>
    <mergeCell ref="F52:G52"/>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/tmp/claude-0/-home-user-SATC/b4305bfc-8769-5da1-bd67-4db589c3cc31/scratchpad/credit3/Two-flag files/Two-flag book.csv</t>
        </is>
      </c>
    </row>
    <row r="2">
      <c r="A2" t="inlineStr">
        <is>
          <t>sha256</t>
        </is>
      </c>
      <c r="B2" t="inlineStr">
        <is>
          <t>2121857c69ac85983b4c7f59e64cd9dfa83c8fd9f277db9692e15cdac3c3652a</t>
        </is>
      </c>
    </row>
    <row r="3">
      <c r="A3" t="inlineStr">
        <is>
          <t>set up</t>
        </is>
      </c>
      <c r="B3" t="inlineStr">
        <is>
          <t>2026-09-30</t>
        </is>
      </c>
    </row>
    <row r="4">
      <c r="A4" t="inlineStr">
        <is>
          <t>extract name</t>
        </is>
      </c>
      <c r="B4" t="inlineStr">
        <is>
          <t>Two-flag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04:03</t>
        </is>
      </c>
      <c r="B4" t="inlineStr">
        <is>
          <t>Ran on 8,000 loans from Two-flag book.csv. What was run: Where the book bleeds.</t>
        </is>
      </c>
    </row>
    <row r="5"/>
    <row r="6">
      <c r="A6" t="inlineStr">
        <is>
          <t>2026-09-30 04:02</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 · SYS_FLAG N vs Y</t>
        </is>
      </c>
      <c r="O2" t="inlineStr">
        <is>
          <t>Bad loans</t>
        </is>
      </c>
      <c r="P2" t="inlineStr">
        <is>
          <t>outcome_loans</t>
        </is>
      </c>
    </row>
    <row r="3">
      <c r="A3" t="inlineStr">
        <is>
          <t>Bad dollars</t>
        </is>
      </c>
      <c r="B3" t="inlineStr">
        <is>
          <t>outcome_booked</t>
        </is>
      </c>
      <c r="C3" t="n">
        <v>0</v>
      </c>
      <c r="D3" t="n">
        <v>0</v>
      </c>
      <c r="E3" t="inlineStr">
        <is>
          <t>Split by SYS_FLAG</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N</t>
        </is>
      </c>
      <c r="N3" t="inlineStr">
        <is>
          <t>FICO x CHANNEL · SYS_FLAG Y vs N</t>
        </is>
      </c>
      <c r="O3" t="inlineStr">
        <is>
          <t>Bad dollars</t>
        </is>
      </c>
      <c r="P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M4" t="inlineStr">
        <is>
          <t>Y</t>
        </is>
      </c>
      <c r="N4" t="inlineStr">
        <is>
          <t>FICO x ASSET_CLASS · SYS_FLAG N vs Y</t>
        </is>
      </c>
      <c r="O4" t="inlineStr">
        <is>
          <t>Charge-offs</t>
        </is>
      </c>
      <c r="P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N5" t="inlineStr">
        <is>
          <t>FICO x ASSET_CLASS · SYS_FLAG Y vs N</t>
        </is>
      </c>
      <c r="O5" t="inlineStr">
        <is>
          <t>Kept after losses</t>
        </is>
      </c>
      <c r="P5" t="inlineStr">
        <is>
          <t>ranr_rate</t>
        </is>
      </c>
    </row>
    <row r="6">
      <c r="A6" t="inlineStr">
        <is>
          <t>Earned before losses</t>
        </is>
      </c>
      <c r="B6" t="inlineStr">
        <is>
          <t>contribution_rate</t>
        </is>
      </c>
      <c r="C6" t="n">
        <v>1</v>
      </c>
      <c r="D6" t="n">
        <v>0</v>
      </c>
      <c r="H6" t="inlineStr">
        <is>
          <t>FICO x CHANNEL / SYS_FLAG</t>
        </is>
      </c>
      <c r="I6" t="inlineStr">
        <is>
          <t>Earned before losses</t>
        </is>
      </c>
      <c r="J6" t="inlineStr">
        <is>
          <t>contribution_rate</t>
        </is>
      </c>
      <c r="K6" t="inlineStr">
        <is>
          <t>{these} earned {r} of {their} booked dollars before losses.</t>
        </is>
      </c>
      <c r="L6" t="inlineStr">
        <is>
          <t>Earned {pts} points {more} of their booked dollars than {against}.</t>
        </is>
      </c>
      <c r="N6" t="inlineStr">
        <is>
          <t>ORIG_BAL x CHANNEL · SYS_FLAG N vs Y</t>
        </is>
      </c>
      <c r="O6" t="inlineStr">
        <is>
          <t>Earned before losses</t>
        </is>
      </c>
      <c r="P6" t="inlineStr">
        <is>
          <t>contribution_rate</t>
        </is>
      </c>
    </row>
    <row r="7">
      <c r="H7" t="inlineStr">
        <is>
          <t>FICO x ASSET_CLASS / SYS_FLAG</t>
        </is>
      </c>
      <c r="I7" t="inlineStr">
        <is>
          <t>Loan size</t>
        </is>
      </c>
      <c r="J7" t="inlineStr">
        <is>
          <t>loan_size</t>
        </is>
      </c>
      <c r="K7" t="inlineStr">
        <is>
          <t>{these} averaged {r} booked, median {med}.</t>
        </is>
      </c>
      <c r="L7" t="inlineStr">
        <is>
          <t>{x}× the average loan of {against}.</t>
        </is>
      </c>
      <c r="N7" t="inlineStr">
        <is>
          <t>ORIG_BAL x CHANNEL · SYS_FLAG Y vs N</t>
        </is>
      </c>
    </row>
    <row r="8">
      <c r="H8" t="inlineStr">
        <is>
          <t>ORIG_BAL x CHANNEL / SYS_FLAG</t>
        </is>
      </c>
      <c r="N8" t="inlineStr">
        <is>
          <t>ORIG_BAL x ASSET_CLASS · SYS_FLAG N vs Y</t>
        </is>
      </c>
    </row>
    <row r="9">
      <c r="H9" t="inlineStr">
        <is>
          <t>ORIG_BAL x ASSET_CLASS / SYS_FLAG</t>
        </is>
      </c>
      <c r="N9" t="inlineStr">
        <is>
          <t>ORIG_BAL x ASSET_CLASS · SYS_FLAG Y vs 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949"/>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CHANNEL|heads</t>
        </is>
      </c>
      <c r="B81" t="inlineStr">
        <is>
          <t>Branch</t>
        </is>
      </c>
      <c r="C81" t="inlineStr">
        <is>
          <t>Broker</t>
        </is>
      </c>
      <c r="D81" t="inlineStr">
        <is>
          <t>Online</t>
        </is>
      </c>
      <c r="E81" t="inlineStr">
        <is>
          <t>All</t>
        </is>
      </c>
    </row>
    <row r="82">
      <c r="A82" t="inlineStr">
        <is>
          <t>G|FICO x CHANNEL|segs</t>
        </is>
      </c>
    </row>
    <row r="83">
      <c r="A83" t="inlineStr">
        <is>
          <t>G|FICO x CHANNEL|rows</t>
        </is>
      </c>
      <c r="B83" t="inlineStr">
        <is>
          <t>496 - 653</t>
        </is>
      </c>
      <c r="C83" t="inlineStr">
        <is>
          <t>654 - 685</t>
        </is>
      </c>
      <c r="D83" t="inlineStr">
        <is>
          <t>686 - 711</t>
        </is>
      </c>
      <c r="E83" t="inlineStr">
        <is>
          <t>712 - 745</t>
        </is>
      </c>
      <c r="F83" t="inlineStr">
        <is>
          <t>746 - 921</t>
        </is>
      </c>
      <c r="G83" t="inlineStr">
        <is>
          <t>(blank)</t>
        </is>
      </c>
      <c r="H83" t="inlineStr">
        <is>
          <t>(marked missing)</t>
        </is>
      </c>
      <c r="I83" t="inlineStr">
        <is>
          <t>All</t>
        </is>
      </c>
    </row>
    <row r="84">
      <c r="A84" t="inlineStr">
        <is>
          <t>G|FICO x CHANNEL|names</t>
        </is>
      </c>
      <c r="B84" t="inlineStr">
        <is>
          <t>FICO</t>
        </is>
      </c>
      <c r="C84" t="inlineStr">
        <is>
          <t>CHANNEL</t>
        </is>
      </c>
    </row>
    <row r="85">
      <c r="A85" t="inlineStr">
        <is>
          <t>G|FICO x CHANNEL|total</t>
        </is>
      </c>
      <c r="B85" t="n">
        <v>8000</v>
      </c>
    </row>
    <row r="86">
      <c r="A86" t="inlineStr">
        <is>
          <t>G|FICO x CHANNEL|loans|1</t>
        </is>
      </c>
      <c r="B86" t="n">
        <v>502</v>
      </c>
      <c r="C86" t="n">
        <v>523</v>
      </c>
      <c r="D86" t="n">
        <v>531</v>
      </c>
      <c r="E86" t="n">
        <v>1556</v>
      </c>
    </row>
    <row r="87">
      <c r="A87" t="inlineStr">
        <is>
          <t>G|FICO x CHANNEL|loans|2</t>
        </is>
      </c>
      <c r="B87" t="n">
        <v>503</v>
      </c>
      <c r="C87" t="n">
        <v>531</v>
      </c>
      <c r="D87" t="n">
        <v>505</v>
      </c>
      <c r="E87" t="n">
        <v>1539</v>
      </c>
    </row>
    <row r="88">
      <c r="A88" t="inlineStr">
        <is>
          <t>G|FICO x CHANNEL|loans|3</t>
        </is>
      </c>
      <c r="B88" t="n">
        <v>515</v>
      </c>
      <c r="C88" t="n">
        <v>501</v>
      </c>
      <c r="D88" t="n">
        <v>546</v>
      </c>
      <c r="E88" t="n">
        <v>1562</v>
      </c>
    </row>
    <row r="89">
      <c r="A89" t="inlineStr">
        <is>
          <t>G|FICO x CHANNEL|loans|4</t>
        </is>
      </c>
      <c r="B89" t="n">
        <v>538</v>
      </c>
      <c r="C89" t="n">
        <v>509</v>
      </c>
      <c r="D89" t="n">
        <v>564</v>
      </c>
      <c r="E89" t="n">
        <v>1611</v>
      </c>
    </row>
    <row r="90">
      <c r="A90" t="inlineStr">
        <is>
          <t>G|FICO x CHANNEL|loans|5</t>
        </is>
      </c>
      <c r="B90" t="n">
        <v>518</v>
      </c>
      <c r="C90" t="n">
        <v>536</v>
      </c>
      <c r="D90" t="n">
        <v>517</v>
      </c>
      <c r="E90" t="n">
        <v>1571</v>
      </c>
    </row>
    <row r="91">
      <c r="A91" t="inlineStr">
        <is>
          <t>G|FICO x CHANNEL|loans|6</t>
        </is>
      </c>
      <c r="C91" t="n">
        <v>1</v>
      </c>
      <c r="E91" t="n">
        <v>1</v>
      </c>
    </row>
    <row r="92">
      <c r="A92" t="inlineStr">
        <is>
          <t>G|FICO x CHANNEL|loans|7</t>
        </is>
      </c>
      <c r="B92" t="n">
        <v>51</v>
      </c>
      <c r="C92" t="n">
        <v>54</v>
      </c>
      <c r="D92" t="n">
        <v>55</v>
      </c>
      <c r="E92" t="n">
        <v>160</v>
      </c>
    </row>
    <row r="93">
      <c r="A93" t="inlineStr">
        <is>
          <t>G|FICO x CHANNEL|loans|8</t>
        </is>
      </c>
      <c r="B93" t="n">
        <v>2627</v>
      </c>
      <c r="C93" t="n">
        <v>2655</v>
      </c>
      <c r="D93" t="n">
        <v>2718</v>
      </c>
      <c r="E93" t="n">
        <v>8000</v>
      </c>
    </row>
    <row r="94">
      <c r="A94" t="inlineStr">
        <is>
          <t>G|FICO x CHANNEL|outcome_loans|rate|1</t>
        </is>
      </c>
      <c r="B94" t="n">
        <v>0.1017964071856287</v>
      </c>
      <c r="C94" t="n">
        <v>0.2447418738049713</v>
      </c>
      <c r="D94" t="n">
        <v>0.1035781544256121</v>
      </c>
      <c r="E94" t="n">
        <v>0.1504823151125402</v>
      </c>
    </row>
    <row r="95">
      <c r="A95" t="inlineStr">
        <is>
          <t>G|FICO x CHANNEL|outcome_loans|book|1</t>
        </is>
      </c>
      <c r="B95" t="n">
        <v>1.315459549398779</v>
      </c>
      <c r="C95" t="n">
        <v>3.162665991221269</v>
      </c>
      <c r="D95" t="n">
        <v>1.33848409895068</v>
      </c>
      <c r="E95" t="n">
        <v>1.944601031640079</v>
      </c>
    </row>
    <row r="96">
      <c r="A96" t="inlineStr">
        <is>
          <t>G|FICO x CHANNEL|outcome_loans|band|1</t>
        </is>
      </c>
      <c r="B96" t="n">
        <v>0.5863028042276104</v>
      </c>
      <c r="C96" t="n">
        <v>2.38276994119557</v>
      </c>
      <c r="D96" t="n">
        <v>0.5925364811833896</v>
      </c>
    </row>
    <row r="97">
      <c r="A97" t="inlineStr">
        <is>
          <t>G|FICO x CHANNEL|outcome_loans|rate|2</t>
        </is>
      </c>
      <c r="B97" t="n">
        <v>0.08946322067594434</v>
      </c>
      <c r="C97" t="n">
        <v>0.08097928436911488</v>
      </c>
      <c r="D97" t="n">
        <v>0.08316831683168317</v>
      </c>
      <c r="E97" t="n">
        <v>0.08447043534762833</v>
      </c>
    </row>
    <row r="98">
      <c r="A98" t="inlineStr">
        <is>
          <t>G|FICO x CHANNEL|outcome_loans|book|2</t>
        </is>
      </c>
      <c r="B98" t="n">
        <v>1.156084494647623</v>
      </c>
      <c r="C98" t="n">
        <v>1.046451204634168</v>
      </c>
      <c r="D98" t="n">
        <v>1.074738879380668</v>
      </c>
      <c r="E98" t="n">
        <v>1.091565448054409</v>
      </c>
    </row>
    <row r="99">
      <c r="A99" t="inlineStr">
        <is>
          <t>G|FICO x CHANNEL|outcome_loans|band|2</t>
        </is>
      </c>
      <c r="B99" t="n">
        <v>1.09039878376798</v>
      </c>
      <c r="C99" t="n">
        <v>0.938242743035262</v>
      </c>
      <c r="D99" t="n">
        <v>0.9772277227722773</v>
      </c>
    </row>
    <row r="100">
      <c r="A100" t="inlineStr">
        <is>
          <t>G|FICO x CHANNEL|outcome_loans|rate|3</t>
        </is>
      </c>
      <c r="B100" t="n">
        <v>0.05436893203883495</v>
      </c>
      <c r="C100" t="n">
        <v>0.05189620758483034</v>
      </c>
      <c r="D100" t="n">
        <v>0.07692307692307693</v>
      </c>
      <c r="E100" t="n">
        <v>0.06145966709346991</v>
      </c>
    </row>
    <row r="101">
      <c r="A101" t="inlineStr">
        <is>
          <t>G|FICO x CHANNEL|outcome_loans|book|3</t>
        </is>
      </c>
      <c r="B101" t="n">
        <v>0.7025801088507928</v>
      </c>
      <c r="C101" t="n">
        <v>0.6706264369483972</v>
      </c>
      <c r="D101" t="n">
        <v>0.9940350441158196</v>
      </c>
      <c r="E101" t="n">
        <v>0.7942098175778123</v>
      </c>
    </row>
    <row r="102">
      <c r="A102" t="inlineStr">
        <is>
          <t>G|FICO x CHANNEL|outcome_loans|band|3</t>
        </is>
      </c>
      <c r="B102" t="n">
        <v>0.8371216447744146</v>
      </c>
      <c r="C102" t="n">
        <v>0.7865982321072141</v>
      </c>
      <c r="D102" t="n">
        <v>1.447293447293447</v>
      </c>
    </row>
    <row r="103">
      <c r="A103" t="inlineStr">
        <is>
          <t>G|FICO x CHANNEL|outcome_loans|rate|4</t>
        </is>
      </c>
      <c r="B103" t="n">
        <v>0.04089219330855019</v>
      </c>
      <c r="C103" t="n">
        <v>0.03143418467583497</v>
      </c>
      <c r="D103" t="n">
        <v>0.08687943262411348</v>
      </c>
      <c r="E103" t="n">
        <v>0.05400372439478585</v>
      </c>
    </row>
    <row r="104">
      <c r="A104" t="inlineStr">
        <is>
          <t>G|FICO x CHANNEL|outcome_loans|book|4</t>
        </is>
      </c>
      <c r="B104" t="n">
        <v>0.5284275513329449</v>
      </c>
      <c r="C104" t="n">
        <v>0.4062068549628496</v>
      </c>
      <c r="D104" t="n">
        <v>1.122695608336484</v>
      </c>
      <c r="E104" t="n">
        <v>0.6978607292954636</v>
      </c>
    </row>
    <row r="105">
      <c r="A105" t="inlineStr">
        <is>
          <t>G|FICO x CHANNEL|outcome_loans|band|4</t>
        </is>
      </c>
      <c r="B105" t="n">
        <v>0.6750357449242208</v>
      </c>
      <c r="C105" t="n">
        <v>0.4878939649685934</v>
      </c>
      <c r="D105" t="n">
        <v>2.393756998880179</v>
      </c>
    </row>
    <row r="106">
      <c r="A106" t="inlineStr">
        <is>
          <t>G|FICO x CHANNEL|outcome_loans|rate|5</t>
        </is>
      </c>
      <c r="B106" t="n">
        <v>0.0444015444015444</v>
      </c>
      <c r="C106" t="n">
        <v>0.03731343283582089</v>
      </c>
      <c r="D106" t="n">
        <v>0.0367504835589942</v>
      </c>
      <c r="E106" t="n">
        <v>0.03946530872056015</v>
      </c>
    </row>
    <row r="107">
      <c r="A107" t="inlineStr">
        <is>
          <t>G|FICO x CHANNEL|outcome_loans|book|5</t>
        </is>
      </c>
      <c r="B107" t="n">
        <v>0.5737769849239962</v>
      </c>
      <c r="C107" t="n">
        <v>0.4821811781158826</v>
      </c>
      <c r="D107" t="n">
        <v>0.4749064910959525</v>
      </c>
      <c r="E107" t="n">
        <v>0.5099886986361238</v>
      </c>
    </row>
    <row r="108">
      <c r="A108" t="inlineStr">
        <is>
          <t>G|FICO x CHANNEL|outcome_loans|band|5</t>
        </is>
      </c>
      <c r="B108" t="n">
        <v>1.198841698841699</v>
      </c>
      <c r="C108" t="n">
        <v>0.9195095948827292</v>
      </c>
      <c r="D108" t="n">
        <v>0.9008141783995323</v>
      </c>
    </row>
    <row r="109">
      <c r="A109" t="inlineStr">
        <is>
          <t>G|FICO x CHANNEL|outcome_loans|rate|6</t>
        </is>
      </c>
      <c r="C109" t="n">
        <v>0</v>
      </c>
      <c r="E109" t="n">
        <v>0</v>
      </c>
    </row>
    <row r="110">
      <c r="A110" t="inlineStr">
        <is>
          <t>G|FICO x CHANNEL|outcome_loans|book|6</t>
        </is>
      </c>
    </row>
    <row r="111">
      <c r="A111" t="inlineStr">
        <is>
          <t>G|FICO x CHANNEL|outcome_loans|band|6</t>
        </is>
      </c>
    </row>
    <row r="112">
      <c r="A112" t="inlineStr">
        <is>
          <t>G|FICO x CHANNEL|outcome_loans|rate|7</t>
        </is>
      </c>
      <c r="B112" t="n">
        <v>0.0196078431372549</v>
      </c>
      <c r="C112" t="n">
        <v>0.1296296296296296</v>
      </c>
      <c r="D112" t="n">
        <v>0.03636363636363636</v>
      </c>
      <c r="E112" t="n">
        <v>0.0625</v>
      </c>
    </row>
    <row r="113">
      <c r="A113" t="inlineStr">
        <is>
          <t>G|FICO x CHANNEL|outcome_loans|book|7</t>
        </is>
      </c>
      <c r="E113" t="n">
        <v>0.8076534733441034</v>
      </c>
    </row>
    <row r="114">
      <c r="A114" t="inlineStr">
        <is>
          <t>G|FICO x CHANNEL|outcome_loans|band|7</t>
        </is>
      </c>
    </row>
    <row r="115">
      <c r="A115" t="inlineStr">
        <is>
          <t>G|FICO x CHANNEL|outcome_loans|rate|8</t>
        </is>
      </c>
      <c r="B115" t="n">
        <v>0.06473724295506474</v>
      </c>
      <c r="C115" t="n">
        <v>0.0903954802259887</v>
      </c>
      <c r="D115" t="n">
        <v>0.07689477557027226</v>
      </c>
      <c r="E115" t="n">
        <v>0.07738467308413552</v>
      </c>
    </row>
    <row r="116">
      <c r="A116" t="inlineStr">
        <is>
          <t>G|FICO x CHANNEL|outcome_loans|book|8</t>
        </is>
      </c>
      <c r="B116" t="n">
        <v>0.8365641460380659</v>
      </c>
      <c r="C116" t="n">
        <v>1.168131577266048</v>
      </c>
      <c r="D116" t="n">
        <v>0.9936693211415312</v>
      </c>
      <c r="E116" t="n">
        <v>1</v>
      </c>
    </row>
    <row r="117">
      <c r="A117" t="inlineStr">
        <is>
          <t>G|FICO x CHANNEL|outcome_loans|band|8</t>
        </is>
      </c>
    </row>
    <row r="118">
      <c r="A118" t="inlineStr">
        <is>
          <t>G|FICO x CHANNEL|outcome_loans|meta</t>
        </is>
      </c>
      <c r="B118" t="inlineStr">
        <is>
          <t>x</t>
        </is>
      </c>
      <c r="C118" t="n">
        <v>3.162665991221269</v>
      </c>
      <c r="D118" t="n">
        <v>10</v>
      </c>
      <c r="E118" t="n">
        <v>0.07738467308413552</v>
      </c>
      <c r="F118" t="n">
        <v>65</v>
      </c>
    </row>
    <row r="119">
      <c r="A119" t="inlineStr">
        <is>
          <t>G|FICO x CHANNEL|outcome_booked|rate|1</t>
        </is>
      </c>
      <c r="B119" t="n">
        <v>0.1032366130282964</v>
      </c>
      <c r="C119" t="n">
        <v>0.2452047977290487</v>
      </c>
      <c r="D119" t="n">
        <v>0.09804363285320282</v>
      </c>
      <c r="E119" t="n">
        <v>0.1491655756309188</v>
      </c>
    </row>
    <row r="120">
      <c r="A120" t="inlineStr">
        <is>
          <t>G|FICO x CHANNEL|outcome_booked|book|1</t>
        </is>
      </c>
      <c r="B120" t="n">
        <v>1.37963616176999</v>
      </c>
      <c r="C120" t="n">
        <v>3.276874318743562</v>
      </c>
      <c r="D120" t="n">
        <v>1.310238076858486</v>
      </c>
      <c r="E120" t="n">
        <v>1.993422839000397</v>
      </c>
    </row>
    <row r="121">
      <c r="A121" t="inlineStr">
        <is>
          <t>G|FICO x CHANNEL|outcome_booked|band|1</t>
        </is>
      </c>
      <c r="B121" t="n">
        <v>0.6039812851062788</v>
      </c>
      <c r="C121" t="n">
        <v>2.438440600661326</v>
      </c>
      <c r="D121" t="n">
        <v>0.5577235040008647</v>
      </c>
    </row>
    <row r="122">
      <c r="A122" t="inlineStr">
        <is>
          <t>G|FICO x CHANNEL|outcome_booked|rate|2</t>
        </is>
      </c>
      <c r="B122" t="n">
        <v>0.08626501981866973</v>
      </c>
      <c r="C122" t="n">
        <v>0.07651412632770158</v>
      </c>
      <c r="D122" t="n">
        <v>0.07697322210798571</v>
      </c>
      <c r="E122" t="n">
        <v>0.07985779590889652</v>
      </c>
    </row>
    <row r="123">
      <c r="A123" t="inlineStr">
        <is>
          <t>G|FICO x CHANNEL|outcome_booked|book|2</t>
        </is>
      </c>
      <c r="B123" t="n">
        <v>1.152830738499922</v>
      </c>
      <c r="C123" t="n">
        <v>1.022521491856776</v>
      </c>
      <c r="D123" t="n">
        <v>1.028656768108259</v>
      </c>
      <c r="E123" t="n">
        <v>1.067205711262177</v>
      </c>
    </row>
    <row r="124">
      <c r="A124" t="inlineStr">
        <is>
          <t>G|FICO x CHANNEL|outcome_booked|band|2</t>
        </is>
      </c>
      <c r="B124" t="n">
        <v>1.124215883183804</v>
      </c>
      <c r="C124" t="n">
        <v>0.9369131281724594</v>
      </c>
      <c r="D124" t="n">
        <v>0.9476799112696344</v>
      </c>
    </row>
    <row r="125">
      <c r="A125" t="inlineStr">
        <is>
          <t>G|FICO x CHANNEL|outcome_booked|rate|3</t>
        </is>
      </c>
      <c r="B125" t="n">
        <v>0.04502360615694115</v>
      </c>
      <c r="C125" t="n">
        <v>0.04625110965994935</v>
      </c>
      <c r="D125" t="n">
        <v>0.07807485876303806</v>
      </c>
      <c r="E125" t="n">
        <v>0.05686223568965074</v>
      </c>
    </row>
    <row r="126">
      <c r="A126" t="inlineStr">
        <is>
          <t>G|FICO x CHANNEL|outcome_booked|book|3</t>
        </is>
      </c>
      <c r="B126" t="n">
        <v>0.6016876509730165</v>
      </c>
      <c r="C126" t="n">
        <v>0.6180917945396528</v>
      </c>
      <c r="D126" t="n">
        <v>1.043378848984982</v>
      </c>
      <c r="E126" t="n">
        <v>0.7598970393868687</v>
      </c>
    </row>
    <row r="127">
      <c r="A127" t="inlineStr">
        <is>
          <t>G|FICO x CHANNEL|outcome_booked|band|3</t>
        </is>
      </c>
      <c r="B127" t="n">
        <v>0.718131796099021</v>
      </c>
      <c r="C127" t="n">
        <v>0.7466818259615715</v>
      </c>
      <c r="D127" t="n">
        <v>1.710989447132353</v>
      </c>
    </row>
    <row r="128">
      <c r="A128" t="inlineStr">
        <is>
          <t>G|FICO x CHANNEL|outcome_booked|rate|4</t>
        </is>
      </c>
      <c r="B128" t="n">
        <v>0.04121392727379864</v>
      </c>
      <c r="C128" t="n">
        <v>0.03545096557474654</v>
      </c>
      <c r="D128" t="n">
        <v>0.08332388471451478</v>
      </c>
      <c r="E128" t="n">
        <v>0.05451749193722224</v>
      </c>
    </row>
    <row r="129">
      <c r="A129" t="inlineStr">
        <is>
          <t>G|FICO x CHANNEL|outcome_booked|book|4</t>
        </is>
      </c>
      <c r="B129" t="n">
        <v>0.5507757642136718</v>
      </c>
      <c r="C129" t="n">
        <v>0.4737605452358035</v>
      </c>
      <c r="D129" t="n">
        <v>1.113525919915539</v>
      </c>
      <c r="E129" t="n">
        <v>0.7285622912191043</v>
      </c>
    </row>
    <row r="130">
      <c r="A130" t="inlineStr">
        <is>
          <t>G|FICO x CHANNEL|outcome_booked|band|4</t>
        </is>
      </c>
      <c r="B130" t="n">
        <v>0.6771166315286687</v>
      </c>
      <c r="C130" t="n">
        <v>0.5592595872783042</v>
      </c>
      <c r="D130" t="n">
        <v>2.172307734022388</v>
      </c>
    </row>
    <row r="131">
      <c r="A131" t="inlineStr">
        <is>
          <t>G|FICO x CHANNEL|outcome_booked|rate|5</t>
        </is>
      </c>
      <c r="B131" t="n">
        <v>0.04094877956620275</v>
      </c>
      <c r="C131" t="n">
        <v>0.03370544807318695</v>
      </c>
      <c r="D131" t="n">
        <v>0.0359906323755155</v>
      </c>
      <c r="E131" t="n">
        <v>0.03682990751373654</v>
      </c>
    </row>
    <row r="132">
      <c r="A132" t="inlineStr">
        <is>
          <t>G|FICO x CHANNEL|outcome_booked|book|5</t>
        </is>
      </c>
      <c r="B132" t="n">
        <v>0.5472323763120419</v>
      </c>
      <c r="C132" t="n">
        <v>0.4504337525843054</v>
      </c>
      <c r="D132" t="n">
        <v>0.4809725586078762</v>
      </c>
      <c r="E132" t="n">
        <v>0.4921884857523176</v>
      </c>
    </row>
    <row r="133">
      <c r="A133" t="inlineStr">
        <is>
          <t>G|FICO x CHANNEL|outcome_booked|band|5</t>
        </is>
      </c>
      <c r="B133" t="n">
        <v>1.175288487477193</v>
      </c>
      <c r="C133" t="n">
        <v>0.8769839649578951</v>
      </c>
      <c r="D133" t="n">
        <v>0.9661081622512918</v>
      </c>
    </row>
    <row r="134">
      <c r="A134" t="inlineStr">
        <is>
          <t>G|FICO x CHANNEL|outcome_booked|rate|6</t>
        </is>
      </c>
      <c r="C134" t="n">
        <v>0</v>
      </c>
      <c r="E134" t="n">
        <v>0</v>
      </c>
    </row>
    <row r="135">
      <c r="A135" t="inlineStr">
        <is>
          <t>G|FICO x CHANNEL|outcome_booked|book|6</t>
        </is>
      </c>
    </row>
    <row r="136">
      <c r="A136" t="inlineStr">
        <is>
          <t>G|FICO x CHANNEL|outcome_booked|band|6</t>
        </is>
      </c>
    </row>
    <row r="137">
      <c r="A137" t="inlineStr">
        <is>
          <t>G|FICO x CHANNEL|outcome_booked|rate|7</t>
        </is>
      </c>
      <c r="B137" t="n">
        <v>0.01600431583552905</v>
      </c>
      <c r="C137" t="n">
        <v>0.1031903128947965</v>
      </c>
      <c r="D137" t="n">
        <v>0.02927043551277416</v>
      </c>
      <c r="E137" t="n">
        <v>0.04815037624246446</v>
      </c>
    </row>
    <row r="138">
      <c r="A138" t="inlineStr">
        <is>
          <t>G|FICO x CHANNEL|outcome_booked|book|7</t>
        </is>
      </c>
      <c r="E138" t="n">
        <v>0.6434732631990415</v>
      </c>
    </row>
    <row r="139">
      <c r="A139" t="inlineStr">
        <is>
          <t>G|FICO x CHANNEL|outcome_booked|band|7</t>
        </is>
      </c>
    </row>
    <row r="140">
      <c r="A140" t="inlineStr">
        <is>
          <t>G|FICO x CHANNEL|outcome_booked|rate|8</t>
        </is>
      </c>
      <c r="B140" t="n">
        <v>0.06209402737287426</v>
      </c>
      <c r="C140" t="n">
        <v>0.08834961310910708</v>
      </c>
      <c r="D140" t="n">
        <v>0.07378839081032544</v>
      </c>
      <c r="E140" t="n">
        <v>0.07482886857347225</v>
      </c>
    </row>
    <row r="141">
      <c r="A141" t="inlineStr">
        <is>
          <t>G|FICO x CHANNEL|outcome_booked|book|8</t>
        </is>
      </c>
      <c r="B141" t="n">
        <v>0.8298137945505067</v>
      </c>
      <c r="C141" t="n">
        <v>1.180688881088174</v>
      </c>
      <c r="D141" t="n">
        <v>0.9860952359298967</v>
      </c>
      <c r="E141" t="n">
        <v>0.9999999999999987</v>
      </c>
    </row>
    <row r="142">
      <c r="A142" t="inlineStr">
        <is>
          <t>G|FICO x CHANNEL|outcome_booked|band|8</t>
        </is>
      </c>
    </row>
    <row r="143">
      <c r="A143" t="inlineStr">
        <is>
          <t>G|FICO x CHANNEL|outcome_booked|meta</t>
        </is>
      </c>
      <c r="B143" t="inlineStr">
        <is>
          <t>x</t>
        </is>
      </c>
      <c r="C143" t="n">
        <v>3.276874318743562</v>
      </c>
      <c r="D143" t="n">
        <v>10</v>
      </c>
      <c r="E143" t="n">
        <v>0.07482886857347235</v>
      </c>
      <c r="F143" t="n">
        <v>65</v>
      </c>
    </row>
    <row r="144">
      <c r="A144" t="inlineStr">
        <is>
          <t>G|FICO x CHANNEL|gco_rate|rate|1</t>
        </is>
      </c>
      <c r="B144" t="n">
        <v>0.05382250925935985</v>
      </c>
      <c r="C144" t="n">
        <v>0.1416885243252877</v>
      </c>
      <c r="D144" t="n">
        <v>0.05418720216775902</v>
      </c>
      <c r="E144" t="n">
        <v>0.08345255929305037</v>
      </c>
    </row>
    <row r="145">
      <c r="A145" t="inlineStr">
        <is>
          <t>G|FICO x CHANNEL|gco_rate|book|1</t>
        </is>
      </c>
      <c r="B145" t="n">
        <v>1.293646581223346</v>
      </c>
      <c r="C145" t="n">
        <v>3.405543101097873</v>
      </c>
      <c r="D145" t="n">
        <v>1.302412128215471</v>
      </c>
      <c r="E145" t="n">
        <v>2.005817259532897</v>
      </c>
    </row>
    <row r="146">
      <c r="A146" t="inlineStr">
        <is>
          <t>G|FICO x CHANNEL|gco_rate|band|1</t>
        </is>
      </c>
      <c r="B146" t="n">
        <v>0.5518943693761096</v>
      </c>
      <c r="C146" t="n">
        <v>2.623355637889496</v>
      </c>
      <c r="D146" t="n">
        <v>0.5491282604182235</v>
      </c>
    </row>
    <row r="147">
      <c r="A147" t="inlineStr">
        <is>
          <t>G|FICO x CHANNEL|gco_rate|rate|2</t>
        </is>
      </c>
      <c r="B147" t="n">
        <v>0.05005569466772698</v>
      </c>
      <c r="C147" t="n">
        <v>0.04225891257503112</v>
      </c>
      <c r="D147" t="n">
        <v>0.04350405077341554</v>
      </c>
      <c r="E147" t="n">
        <v>0.04521453740915432</v>
      </c>
    </row>
    <row r="148">
      <c r="A148" t="inlineStr">
        <is>
          <t>G|FICO x CHANNEL|gco_rate|book|2</t>
        </is>
      </c>
      <c r="B148" t="n">
        <v>1.203109612850385</v>
      </c>
      <c r="C148" t="n">
        <v>1.015710685569688</v>
      </c>
      <c r="D148" t="n">
        <v>1.045638104332879</v>
      </c>
      <c r="E148" t="n">
        <v>1.086750367937848</v>
      </c>
    </row>
    <row r="149">
      <c r="A149" t="inlineStr">
        <is>
          <t>G|FICO x CHANNEL|gco_rate|band|2</t>
        </is>
      </c>
      <c r="B149" t="n">
        <v>1.168054905981109</v>
      </c>
      <c r="C149" t="n">
        <v>0.9027162731903188</v>
      </c>
      <c r="D149" t="n">
        <v>0.9452479312942789</v>
      </c>
    </row>
    <row r="150">
      <c r="A150" t="inlineStr">
        <is>
          <t>G|FICO x CHANNEL|gco_rate|rate|3</t>
        </is>
      </c>
      <c r="B150" t="n">
        <v>0.02416902423541164</v>
      </c>
      <c r="C150" t="n">
        <v>0.02640479870989074</v>
      </c>
      <c r="D150" t="n">
        <v>0.0432990046008993</v>
      </c>
      <c r="E150" t="n">
        <v>0.03151500509362794</v>
      </c>
    </row>
    <row r="151">
      <c r="A151" t="inlineStr">
        <is>
          <t>G|FICO x CHANNEL|gco_rate|book|3</t>
        </is>
      </c>
      <c r="B151" t="n">
        <v>0.5809126330951804</v>
      </c>
      <c r="C151" t="n">
        <v>0.6346504101906126</v>
      </c>
      <c r="D151" t="n">
        <v>1.040709733587652</v>
      </c>
      <c r="E151" t="n">
        <v>0.7574763636557552</v>
      </c>
    </row>
    <row r="152">
      <c r="A152" t="inlineStr">
        <is>
          <t>G|FICO x CHANNEL|gco_rate|band|3</t>
        </is>
      </c>
      <c r="B152" t="n">
        <v>0.6878985196916947</v>
      </c>
      <c r="C152" t="n">
        <v>0.7774930635253152</v>
      </c>
      <c r="D152" t="n">
        <v>1.713043008488713</v>
      </c>
    </row>
    <row r="153">
      <c r="A153" t="inlineStr">
        <is>
          <t>G|FICO x CHANNEL|gco_rate|rate|4</t>
        </is>
      </c>
      <c r="B153" t="n">
        <v>0.02299567418454924</v>
      </c>
      <c r="C153" t="n">
        <v>0.02075932934058127</v>
      </c>
      <c r="D153" t="n">
        <v>0.04518040416451506</v>
      </c>
      <c r="E153" t="n">
        <v>0.03026397173122731</v>
      </c>
    </row>
    <row r="154">
      <c r="A154" t="inlineStr">
        <is>
          <t>G|FICO x CHANNEL|gco_rate|book|4</t>
        </is>
      </c>
      <c r="B154" t="n">
        <v>0.5527106725629815</v>
      </c>
      <c r="C154" t="n">
        <v>0.4989591863976923</v>
      </c>
      <c r="D154" t="n">
        <v>1.08592996108872</v>
      </c>
      <c r="E154" t="n">
        <v>0.7274072521532202</v>
      </c>
    </row>
    <row r="155">
      <c r="A155" t="inlineStr">
        <is>
          <t>G|FICO x CHANNEL|gco_rate|band|4</t>
        </is>
      </c>
      <c r="B155" t="n">
        <v>0.6818678243913163</v>
      </c>
      <c r="C155" t="n">
        <v>0.5983981658374574</v>
      </c>
      <c r="D155" t="n">
        <v>2.06437015854151</v>
      </c>
    </row>
    <row r="156">
      <c r="A156" t="inlineStr">
        <is>
          <t>G|FICO x CHANNEL|gco_rate|rate|5</t>
        </is>
      </c>
      <c r="B156" t="n">
        <v>0.02259516093848434</v>
      </c>
      <c r="C156" t="n">
        <v>0.01802270743101798</v>
      </c>
      <c r="D156" t="n">
        <v>0.0177152709979479</v>
      </c>
      <c r="E156" t="n">
        <v>0.01940834703954904</v>
      </c>
    </row>
    <row r="157">
      <c r="A157" t="inlineStr">
        <is>
          <t>G|FICO x CHANNEL|gco_rate|book|5</t>
        </is>
      </c>
      <c r="B157" t="n">
        <v>0.5430841687333329</v>
      </c>
      <c r="C157" t="n">
        <v>0.4331833311630761</v>
      </c>
      <c r="D157" t="n">
        <v>0.4257939675667393</v>
      </c>
      <c r="E157" t="n">
        <v>0.4664877602402493</v>
      </c>
    </row>
    <row r="158">
      <c r="A158" t="inlineStr">
        <is>
          <t>G|FICO x CHANNEL|gco_rate|band|5</t>
        </is>
      </c>
      <c r="B158" t="n">
        <v>1.264427615577086</v>
      </c>
      <c r="C158" t="n">
        <v>0.8957851944368566</v>
      </c>
      <c r="D158" t="n">
        <v>0.8742978867022101</v>
      </c>
    </row>
    <row r="159">
      <c r="A159" t="inlineStr">
        <is>
          <t>G|FICO x CHANNEL|gco_rate|rate|6</t>
        </is>
      </c>
      <c r="C159" t="n">
        <v>0</v>
      </c>
      <c r="E159" t="n">
        <v>0</v>
      </c>
    </row>
    <row r="160">
      <c r="A160" t="inlineStr">
        <is>
          <t>G|FICO x CHANNEL|gco_rate|book|6</t>
        </is>
      </c>
    </row>
    <row r="161">
      <c r="A161" t="inlineStr">
        <is>
          <t>G|FICO x CHANNEL|gco_rate|band|6</t>
        </is>
      </c>
    </row>
    <row r="162">
      <c r="A162" t="inlineStr">
        <is>
          <t>G|FICO x CHANNEL|gco_rate|rate|7</t>
        </is>
      </c>
      <c r="B162" t="n">
        <v>0.007777850065731658</v>
      </c>
      <c r="C162" t="n">
        <v>0.0521010838886127</v>
      </c>
      <c r="D162" t="n">
        <v>0.01850663107378558</v>
      </c>
      <c r="E162" t="n">
        <v>0.02551311188947889</v>
      </c>
    </row>
    <row r="163">
      <c r="A163" t="inlineStr">
        <is>
          <t>G|FICO x CHANNEL|gco_rate|book|7</t>
        </is>
      </c>
      <c r="E163" t="n">
        <v>0.6132183435214595</v>
      </c>
    </row>
    <row r="164">
      <c r="A164" t="inlineStr">
        <is>
          <t>G|FICO x CHANNEL|gco_rate|band|7</t>
        </is>
      </c>
    </row>
    <row r="165">
      <c r="A165" t="inlineStr">
        <is>
          <t>G|FICO x CHANNEL|gco_rate|rate|8</t>
        </is>
      </c>
      <c r="B165" t="n">
        <v>0.03403247368482893</v>
      </c>
      <c r="C165" t="n">
        <v>0.05021215552951191</v>
      </c>
      <c r="D165" t="n">
        <v>0.04043303389582082</v>
      </c>
      <c r="E165" t="n">
        <v>0.04160526533333563</v>
      </c>
    </row>
    <row r="166">
      <c r="A166" t="inlineStr">
        <is>
          <t>G|FICO x CHANNEL|gco_rate|book|8</t>
        </is>
      </c>
      <c r="B166" t="n">
        <v>0.8179847769787176</v>
      </c>
      <c r="C166" t="n">
        <v>1.206870215277299</v>
      </c>
      <c r="D166" t="n">
        <v>0.971824925808715</v>
      </c>
      <c r="E166" t="n">
        <v>0.9999999999999997</v>
      </c>
    </row>
    <row r="167">
      <c r="A167" t="inlineStr">
        <is>
          <t>G|FICO x CHANNEL|gco_rate|band|8</t>
        </is>
      </c>
    </row>
    <row r="168">
      <c r="A168" t="inlineStr">
        <is>
          <t>G|FICO x CHANNEL|gco_rate|meta</t>
        </is>
      </c>
      <c r="B168" t="inlineStr">
        <is>
          <t>x</t>
        </is>
      </c>
      <c r="C168" t="n">
        <v>3.405543101097873</v>
      </c>
      <c r="D168" t="n">
        <v>10</v>
      </c>
      <c r="E168" t="n">
        <v>0.04160526533333565</v>
      </c>
      <c r="F168" t="n">
        <v>65</v>
      </c>
    </row>
    <row r="169">
      <c r="A169" t="inlineStr">
        <is>
          <t>G|FICO x CHANNEL|ranr_rate|rate|1</t>
        </is>
      </c>
      <c r="B169" t="n">
        <v>0.2170734766287685</v>
      </c>
      <c r="C169" t="n">
        <v>0.1379488383901921</v>
      </c>
      <c r="D169" t="n">
        <v>0.2161038541582268</v>
      </c>
      <c r="E169" t="n">
        <v>0.1901717430158448</v>
      </c>
    </row>
    <row r="170">
      <c r="A170" t="inlineStr">
        <is>
          <t>G|FICO x CHANNEL|ranr_rate|book|1</t>
        </is>
      </c>
      <c r="B170" t="n">
        <v>8.908342698</v>
      </c>
      <c r="C170" t="n">
        <v>0.995878874</v>
      </c>
      <c r="D170" t="n">
        <v>8.811380451</v>
      </c>
      <c r="E170" t="n">
        <v>6.218169337</v>
      </c>
    </row>
    <row r="171">
      <c r="A171" t="inlineStr">
        <is>
          <t>G|FICO x CHANNEL|ranr_rate|band|1</t>
        </is>
      </c>
      <c r="B171" t="n">
        <v>3.967676562</v>
      </c>
      <c r="C171" t="n">
        <v>-7.862504873</v>
      </c>
      <c r="D171" t="n">
        <v>3.942393715</v>
      </c>
    </row>
    <row r="172">
      <c r="A172" t="inlineStr">
        <is>
          <t>G|FICO x CHANNEL|ranr_rate|rate|2</t>
        </is>
      </c>
      <c r="B172" t="n">
        <v>0.1503331012467687</v>
      </c>
      <c r="C172" t="n">
        <v>0.1579237894125024</v>
      </c>
      <c r="D172" t="n">
        <v>0.1817081086912193</v>
      </c>
      <c r="E172" t="n">
        <v>0.1630754408239561</v>
      </c>
    </row>
    <row r="173">
      <c r="A173" t="inlineStr">
        <is>
          <t>G|FICO x CHANNEL|ranr_rate|book|2</t>
        </is>
      </c>
      <c r="B173" t="n">
        <v>2.23430516</v>
      </c>
      <c r="C173" t="n">
        <v>2.993373976</v>
      </c>
      <c r="D173" t="n">
        <v>5.371805904</v>
      </c>
      <c r="E173" t="n">
        <v>3.508539118</v>
      </c>
    </row>
    <row r="174">
      <c r="A174" t="inlineStr">
        <is>
          <t>G|FICO x CHANNEL|ranr_rate|band|2</t>
        </is>
      </c>
      <c r="B174" t="n">
        <v>-1.89557693</v>
      </c>
      <c r="C174" t="n">
        <v>-0.793787777</v>
      </c>
      <c r="D174" t="n">
        <v>2.744984217</v>
      </c>
    </row>
    <row r="175">
      <c r="A175" t="inlineStr">
        <is>
          <t>G|FICO x CHANNEL|ranr_rate|rate|3</t>
        </is>
      </c>
      <c r="B175" t="n">
        <v>0.1298033696344339</v>
      </c>
      <c r="C175" t="n">
        <v>0.1268738832157217</v>
      </c>
      <c r="D175" t="n">
        <v>0.1675406164276845</v>
      </c>
      <c r="E175" t="n">
        <v>0.1419183148673722</v>
      </c>
    </row>
    <row r="176">
      <c r="A176" t="inlineStr">
        <is>
          <t>G|FICO x CHANNEL|ranr_rate|book|3</t>
        </is>
      </c>
      <c r="B176" t="n">
        <v>0.181331999</v>
      </c>
      <c r="C176" t="n">
        <v>-0.111616643</v>
      </c>
      <c r="D176" t="n">
        <v>3.955056678</v>
      </c>
      <c r="E176" t="n">
        <v>1.392826522</v>
      </c>
    </row>
    <row r="177">
      <c r="A177" t="inlineStr">
        <is>
          <t>G|FICO x CHANNEL|ranr_rate|band|3</t>
        </is>
      </c>
      <c r="B177" t="n">
        <v>-1.80843221</v>
      </c>
      <c r="C177" t="n">
        <v>-2.224678398</v>
      </c>
      <c r="D177" t="n">
        <v>3.9187792</v>
      </c>
    </row>
    <row r="178">
      <c r="A178" t="inlineStr">
        <is>
          <t>G|FICO x CHANNEL|ranr_rate|rate|4</t>
        </is>
      </c>
      <c r="B178" t="n">
        <v>0.08572381463720408</v>
      </c>
      <c r="C178" t="n">
        <v>0.0911555197398795</v>
      </c>
      <c r="D178" t="n">
        <v>0.1094328953856207</v>
      </c>
      <c r="E178" t="n">
        <v>0.09596924359374789</v>
      </c>
    </row>
    <row r="179">
      <c r="A179" t="inlineStr">
        <is>
          <t>G|FICO x CHANNEL|ranr_rate|book|4</t>
        </is>
      </c>
      <c r="B179" t="n">
        <v>-4.226623501</v>
      </c>
      <c r="C179" t="n">
        <v>-3.683452991</v>
      </c>
      <c r="D179" t="n">
        <v>-1.855715426</v>
      </c>
      <c r="E179" t="n">
        <v>-3.202080605</v>
      </c>
    </row>
    <row r="180">
      <c r="A180" t="inlineStr">
        <is>
          <t>G|FICO x CHANNEL|ranr_rate|band|4</t>
        </is>
      </c>
      <c r="B180" t="n">
        <v>-1.513520529</v>
      </c>
      <c r="C180" t="n">
        <v>-0.705353944</v>
      </c>
      <c r="D180" t="n">
        <v>2.101666415</v>
      </c>
    </row>
    <row r="181">
      <c r="A181" t="inlineStr">
        <is>
          <t>G|FICO x CHANNEL|ranr_rate|rate|5</t>
        </is>
      </c>
      <c r="B181" t="n">
        <v>0.04457648068932364</v>
      </c>
      <c r="C181" t="n">
        <v>0.04898207027874037</v>
      </c>
      <c r="D181" t="n">
        <v>0.04658320363935518</v>
      </c>
      <c r="E181" t="n">
        <v>0.04674341748455088</v>
      </c>
    </row>
    <row r="182">
      <c r="A182" t="inlineStr">
        <is>
          <t>G|FICO x CHANNEL|ranr_rate|book|5</t>
        </is>
      </c>
      <c r="B182" t="n">
        <v>-8.341356896000001</v>
      </c>
      <c r="C182" t="n">
        <v>-7.900797937</v>
      </c>
      <c r="D182" t="n">
        <v>-8.140684601</v>
      </c>
      <c r="E182" t="n">
        <v>-8.124663216</v>
      </c>
    </row>
    <row r="183">
      <c r="A183" t="inlineStr">
        <is>
          <t>G|FICO x CHANNEL|ranr_rate|band|5</t>
        </is>
      </c>
      <c r="B183" t="n">
        <v>-0.321305246</v>
      </c>
      <c r="C183" t="n">
        <v>0.338752124</v>
      </c>
      <c r="D183" t="n">
        <v>-0.02410208</v>
      </c>
    </row>
    <row r="184">
      <c r="A184" t="inlineStr">
        <is>
          <t>G|FICO x CHANNEL|ranr_rate|rate|6</t>
        </is>
      </c>
      <c r="C184" t="n">
        <v>0.140296941334961</v>
      </c>
      <c r="E184" t="n">
        <v>0.140296941334961</v>
      </c>
    </row>
    <row r="185">
      <c r="A185" t="inlineStr">
        <is>
          <t>G|FICO x CHANNEL|ranr_rate|book|6</t>
        </is>
      </c>
      <c r="C185" t="n">
        <v>1.230689169</v>
      </c>
      <c r="E185" t="n">
        <v>1.230689169</v>
      </c>
    </row>
    <row r="186">
      <c r="A186" t="inlineStr">
        <is>
          <t>G|FICO x CHANNEL|ranr_rate|band|6</t>
        </is>
      </c>
    </row>
    <row r="187">
      <c r="A187" t="inlineStr">
        <is>
          <t>G|FICO x CHANNEL|ranr_rate|rate|7</t>
        </is>
      </c>
      <c r="B187" t="n">
        <v>0.1469454487933999</v>
      </c>
      <c r="C187" t="n">
        <v>0.1256885776789557</v>
      </c>
      <c r="D187" t="n">
        <v>0.1896654103875157</v>
      </c>
      <c r="E187" t="n">
        <v>0.1551731988462655</v>
      </c>
    </row>
    <row r="188">
      <c r="A188" t="inlineStr">
        <is>
          <t>G|FICO x CHANNEL|ranr_rate|book|7</t>
        </is>
      </c>
      <c r="B188" t="n">
        <v>1.895539915</v>
      </c>
      <c r="C188" t="n">
        <v>-0.230147197</v>
      </c>
      <c r="D188" t="n">
        <v>6.167536074</v>
      </c>
      <c r="E188" t="n">
        <v>2.71831492</v>
      </c>
    </row>
    <row r="189">
      <c r="A189" t="inlineStr">
        <is>
          <t>G|FICO x CHANNEL|ranr_rate|band|7</t>
        </is>
      </c>
      <c r="B189" t="n">
        <v>-1.237059432</v>
      </c>
      <c r="C189" t="n">
        <v>-4.307550993</v>
      </c>
      <c r="D189" t="n">
        <v>5.303168205</v>
      </c>
    </row>
    <row r="190">
      <c r="A190" t="inlineStr">
        <is>
          <t>G|FICO x CHANNEL|ranr_rate|rate|8</t>
        </is>
      </c>
      <c r="B190" t="n">
        <v>0.1257424641427197</v>
      </c>
      <c r="C190" t="n">
        <v>0.1130333511764385</v>
      </c>
      <c r="D190" t="n">
        <v>0.1447377923020619</v>
      </c>
      <c r="E190" t="n">
        <v>0.1279900496481476</v>
      </c>
    </row>
    <row r="191">
      <c r="A191" t="inlineStr">
        <is>
          <t>G|FICO x CHANNEL|ranr_rate|book|8</t>
        </is>
      </c>
      <c r="B191" t="n">
        <v>-0.224758551</v>
      </c>
      <c r="C191" t="n">
        <v>-1.495669847</v>
      </c>
      <c r="D191" t="n">
        <v>1.674774265</v>
      </c>
      <c r="E191" t="n">
        <v>0</v>
      </c>
    </row>
    <row r="192">
      <c r="A192" t="inlineStr">
        <is>
          <t>G|FICO x CHANNEL|ranr_rate|band|8</t>
        </is>
      </c>
    </row>
    <row r="193">
      <c r="A193" t="inlineStr">
        <is>
          <t>G|FICO x CHANNEL|ranr_rate|meta</t>
        </is>
      </c>
      <c r="B193" t="inlineStr">
        <is>
          <t>pts</t>
        </is>
      </c>
      <c r="C193" t="n">
        <v>8.908342698</v>
      </c>
      <c r="D193" t="n">
        <v>10</v>
      </c>
      <c r="E193" t="n">
        <v>0.1279900496481481</v>
      </c>
      <c r="F193" t="n">
        <v>65</v>
      </c>
    </row>
    <row r="194">
      <c r="A194" t="inlineStr">
        <is>
          <t>G|FICO x CHANNEL|contribution_rate|rate|1</t>
        </is>
      </c>
      <c r="B194" t="n">
        <v>0.2708959858881283</v>
      </c>
      <c r="C194" t="n">
        <v>0.2796373627154796</v>
      </c>
      <c r="D194" t="n">
        <v>0.2702910563259856</v>
      </c>
      <c r="E194" t="n">
        <v>0.273624302308895</v>
      </c>
    </row>
    <row r="195">
      <c r="A195" t="inlineStr">
        <is>
          <t>G|FICO x CHANNEL|contribution_rate|book|1</t>
        </is>
      </c>
      <c r="B195" t="n">
        <v>10.130353015</v>
      </c>
      <c r="C195" t="n">
        <v>11.004490698</v>
      </c>
      <c r="D195" t="n">
        <v>10.069860059</v>
      </c>
      <c r="E195" t="n">
        <v>10.403184657</v>
      </c>
    </row>
    <row r="196">
      <c r="A196" t="inlineStr">
        <is>
          <t>G|FICO x CHANNEL|contribution_rate|band|1</t>
        </is>
      </c>
      <c r="B196" t="n">
        <v>-0.402393291</v>
      </c>
      <c r="C196" t="n">
        <v>0.90530615</v>
      </c>
      <c r="D196" t="n">
        <v>-0.506745014</v>
      </c>
    </row>
    <row r="197">
      <c r="A197" t="inlineStr">
        <is>
          <t>G|FICO x CHANNEL|contribution_rate|rate|2</t>
        </is>
      </c>
      <c r="B197" t="n">
        <v>0.2003887959144957</v>
      </c>
      <c r="C197" t="n">
        <v>0.2001827019875337</v>
      </c>
      <c r="D197" t="n">
        <v>0.2252121594646349</v>
      </c>
      <c r="E197" t="n">
        <v>0.2082899782331105</v>
      </c>
    </row>
    <row r="198">
      <c r="A198" t="inlineStr">
        <is>
          <t>G|FICO x CHANNEL|contribution_rate|book|2</t>
        </is>
      </c>
      <c r="B198" t="n">
        <v>3.079634018</v>
      </c>
      <c r="C198" t="n">
        <v>3.059024625</v>
      </c>
      <c r="D198" t="n">
        <v>5.561970373</v>
      </c>
      <c r="E198" t="n">
        <v>3.86975225</v>
      </c>
    </row>
    <row r="199">
      <c r="A199" t="inlineStr">
        <is>
          <t>G|FICO x CHANNEL|contribution_rate|band|2</t>
        </is>
      </c>
      <c r="B199" t="n">
        <v>-1.17539631</v>
      </c>
      <c r="C199" t="n">
        <v>-1.249202687</v>
      </c>
      <c r="D199" t="n">
        <v>2.492993527</v>
      </c>
    </row>
    <row r="200">
      <c r="A200" t="inlineStr">
        <is>
          <t>G|FICO x CHANNEL|contribution_rate|rate|3</t>
        </is>
      </c>
      <c r="B200" t="n">
        <v>0.1539723938698455</v>
      </c>
      <c r="C200" t="n">
        <v>0.1532786819256124</v>
      </c>
      <c r="D200" t="n">
        <v>0.2108396210285837</v>
      </c>
      <c r="E200" t="n">
        <v>0.1734333199610001</v>
      </c>
    </row>
    <row r="201">
      <c r="A201" t="inlineStr">
        <is>
          <t>G|FICO x CHANNEL|contribution_rate|book|3</t>
        </is>
      </c>
      <c r="B201" t="n">
        <v>-1.562006187</v>
      </c>
      <c r="C201" t="n">
        <v>-1.631377381</v>
      </c>
      <c r="D201" t="n">
        <v>4.124716529</v>
      </c>
      <c r="E201" t="n">
        <v>0.384086423</v>
      </c>
    </row>
    <row r="202">
      <c r="A202" t="inlineStr">
        <is>
          <t>G|FICO x CHANNEL|contribution_rate|band|3</t>
        </is>
      </c>
      <c r="B202" t="n">
        <v>-2.904987592</v>
      </c>
      <c r="C202" t="n">
        <v>-2.980344415</v>
      </c>
      <c r="D202" t="n">
        <v>5.7210721</v>
      </c>
    </row>
    <row r="203">
      <c r="A203" t="inlineStr">
        <is>
          <t>G|FICO x CHANNEL|contribution_rate|rate|4</t>
        </is>
      </c>
      <c r="B203" t="n">
        <v>0.1085728838543854</v>
      </c>
      <c r="C203" t="n">
        <v>0.1119148490804608</v>
      </c>
      <c r="D203" t="n">
        <v>0.1546132995501358</v>
      </c>
      <c r="E203" t="n">
        <v>0.126193889200492</v>
      </c>
    </row>
    <row r="204">
      <c r="A204" t="inlineStr">
        <is>
          <t>G|FICO x CHANNEL|contribution_rate|book|4</t>
        </is>
      </c>
      <c r="B204" t="n">
        <v>-6.101957188</v>
      </c>
      <c r="C204" t="n">
        <v>-5.767760665</v>
      </c>
      <c r="D204" t="n">
        <v>-1.497915618</v>
      </c>
      <c r="E204" t="n">
        <v>-4.339856653</v>
      </c>
    </row>
    <row r="205">
      <c r="A205" t="inlineStr">
        <is>
          <t>G|FICO x CHANNEL|contribution_rate|band|4</t>
        </is>
      </c>
      <c r="B205" t="n">
        <v>-2.601066942</v>
      </c>
      <c r="C205" t="n">
        <v>-2.093061481</v>
      </c>
      <c r="D205" t="n">
        <v>4.438184237</v>
      </c>
    </row>
    <row r="206">
      <c r="A206" t="inlineStr">
        <is>
          <t>G|FICO x CHANNEL|contribution_rate|rate|5</t>
        </is>
      </c>
      <c r="B206" t="n">
        <v>0.067171641627808</v>
      </c>
      <c r="C206" t="n">
        <v>0.06700477770975828</v>
      </c>
      <c r="D206" t="n">
        <v>0.06429847463730305</v>
      </c>
      <c r="E206" t="n">
        <v>0.0661517645240999</v>
      </c>
    </row>
    <row r="207">
      <c r="A207" t="inlineStr">
        <is>
          <t>G|FICO x CHANNEL|contribution_rate|book|5</t>
        </is>
      </c>
      <c r="B207" t="n">
        <v>-10.242081411</v>
      </c>
      <c r="C207" t="n">
        <v>-10.258767803</v>
      </c>
      <c r="D207" t="n">
        <v>-10.52939811</v>
      </c>
      <c r="E207" t="n">
        <v>-10.344069121</v>
      </c>
    </row>
    <row r="208">
      <c r="A208" t="inlineStr">
        <is>
          <t>G|FICO x CHANNEL|contribution_rate|band|5</t>
        </is>
      </c>
      <c r="B208" t="n">
        <v>0.151223545</v>
      </c>
      <c r="C208" t="n">
        <v>0.129077644</v>
      </c>
      <c r="D208" t="n">
        <v>-0.278803257</v>
      </c>
    </row>
    <row r="209">
      <c r="A209" t="inlineStr">
        <is>
          <t>G|FICO x CHANNEL|contribution_rate|rate|6</t>
        </is>
      </c>
      <c r="C209" t="n">
        <v>0.140296941334961</v>
      </c>
      <c r="E209" t="n">
        <v>0.140296941334961</v>
      </c>
    </row>
    <row r="210">
      <c r="A210" t="inlineStr">
        <is>
          <t>G|FICO x CHANNEL|contribution_rate|book|6</t>
        </is>
      </c>
      <c r="C210" t="n">
        <v>-2.92955144</v>
      </c>
      <c r="E210" t="n">
        <v>-2.92955144</v>
      </c>
    </row>
    <row r="211">
      <c r="A211" t="inlineStr">
        <is>
          <t>G|FICO x CHANNEL|contribution_rate|band|6</t>
        </is>
      </c>
    </row>
    <row r="212">
      <c r="A212" t="inlineStr">
        <is>
          <t>G|FICO x CHANNEL|contribution_rate|rate|7</t>
        </is>
      </c>
      <c r="B212" t="n">
        <v>0.1547232988591316</v>
      </c>
      <c r="C212" t="n">
        <v>0.1777896615675683</v>
      </c>
      <c r="D212" t="n">
        <v>0.2081720414613012</v>
      </c>
      <c r="E212" t="n">
        <v>0.1806863107357444</v>
      </c>
    </row>
    <row r="213">
      <c r="A213" t="inlineStr">
        <is>
          <t>G|FICO x CHANNEL|contribution_rate|book|7</t>
        </is>
      </c>
      <c r="B213" t="n">
        <v>-1.486915688</v>
      </c>
      <c r="C213" t="n">
        <v>0.8197205829999999</v>
      </c>
      <c r="D213" t="n">
        <v>3.857958573</v>
      </c>
      <c r="E213" t="n">
        <v>1.1093855</v>
      </c>
    </row>
    <row r="214">
      <c r="A214" t="inlineStr">
        <is>
          <t>G|FICO x CHANNEL|contribution_rate|band|7</t>
        </is>
      </c>
      <c r="B214" t="n">
        <v>-3.903593148</v>
      </c>
      <c r="C214" t="n">
        <v>-0.423185495</v>
      </c>
      <c r="D214" t="n">
        <v>4.225923673</v>
      </c>
    </row>
    <row r="215">
      <c r="A215" t="inlineStr">
        <is>
          <t>G|FICO x CHANNEL|contribution_rate|rate|8</t>
        </is>
      </c>
      <c r="B215" t="n">
        <v>0.1597650989343295</v>
      </c>
      <c r="C215" t="n">
        <v>0.1632455067059504</v>
      </c>
      <c r="D215" t="n">
        <v>0.1851708261978826</v>
      </c>
      <c r="E215" t="n">
        <v>0.1695924557349811</v>
      </c>
    </row>
    <row r="216">
      <c r="A216" t="inlineStr">
        <is>
          <t>G|FICO x CHANNEL|contribution_rate|book|8</t>
        </is>
      </c>
      <c r="B216" t="n">
        <v>-0.98273568</v>
      </c>
      <c r="C216" t="n">
        <v>-0.634694903</v>
      </c>
      <c r="D216" t="n">
        <v>1.557837046</v>
      </c>
      <c r="E216" t="n">
        <v>0</v>
      </c>
    </row>
    <row r="217">
      <c r="A217" t="inlineStr">
        <is>
          <t>G|FICO x CHANNEL|contribution_rate|band|8</t>
        </is>
      </c>
    </row>
    <row r="218">
      <c r="A218" t="inlineStr">
        <is>
          <t>G|FICO x CHANNEL|contribution_rate|meta</t>
        </is>
      </c>
      <c r="B218" t="inlineStr">
        <is>
          <t>pts</t>
        </is>
      </c>
      <c r="C218" t="n">
        <v>11.004490698</v>
      </c>
      <c r="D218" t="n">
        <v>10</v>
      </c>
      <c r="E218" t="n">
        <v>0.1695924557349815</v>
      </c>
      <c r="F218" t="n">
        <v>65</v>
      </c>
    </row>
    <row r="219">
      <c r="A219" t="inlineStr">
        <is>
          <t>G|FICO x CHANNEL|loan_size|rate|1</t>
        </is>
      </c>
      <c r="B219" t="n">
        <v>32549.21671314741</v>
      </c>
      <c r="C219" t="n">
        <v>32583.30282982791</v>
      </c>
      <c r="D219" t="n">
        <v>32706.55041431262</v>
      </c>
      <c r="E219" t="n">
        <v>32614.36532133676</v>
      </c>
    </row>
    <row r="220">
      <c r="A220" t="inlineStr">
        <is>
          <t>G|FICO x CHANNEL|loan_size|median|1</t>
        </is>
      </c>
      <c r="B220" t="n">
        <v>31733</v>
      </c>
      <c r="C220" t="n">
        <v>32270.57</v>
      </c>
      <c r="D220" t="n">
        <v>33127.26</v>
      </c>
      <c r="E220" t="n">
        <v>32375.37</v>
      </c>
    </row>
    <row r="221">
      <c r="A221" t="inlineStr">
        <is>
          <t>G|FICO x CHANNEL|loan_size|book|1</t>
        </is>
      </c>
      <c r="B221" t="n">
        <v>1.008884226234305</v>
      </c>
      <c r="C221" t="n">
        <v>1.009940747678603</v>
      </c>
      <c r="D221" t="n">
        <v>1.013760887038758</v>
      </c>
      <c r="E221" t="n">
        <v>1.010903549886318</v>
      </c>
    </row>
    <row r="222">
      <c r="A222" t="inlineStr">
        <is>
          <t>G|FICO x CHANNEL|loan_size|band|1</t>
        </is>
      </c>
      <c r="B222" t="n">
        <v>0.9970538679776419</v>
      </c>
      <c r="C222" t="n">
        <v>0.9985660722816204</v>
      </c>
      <c r="D222" t="n">
        <v>1.004297084421707</v>
      </c>
    </row>
    <row r="223">
      <c r="A223" t="inlineStr">
        <is>
          <t>G|FICO x CHANNEL|loan_size|rate|2</t>
        </is>
      </c>
      <c r="B223" t="n">
        <v>32159.22616302187</v>
      </c>
      <c r="C223" t="n">
        <v>32621.28516007533</v>
      </c>
      <c r="D223" t="n">
        <v>31389.31188118812</v>
      </c>
      <c r="E223" t="n">
        <v>32066.01408706952</v>
      </c>
    </row>
    <row r="224">
      <c r="A224" t="inlineStr">
        <is>
          <t>G|FICO x CHANNEL|loan_size|median|2</t>
        </is>
      </c>
      <c r="B224" t="n">
        <v>32486.61</v>
      </c>
      <c r="C224" t="n">
        <v>33949.56</v>
      </c>
      <c r="D224" t="n">
        <v>30881.45</v>
      </c>
      <c r="E224" t="n">
        <v>32343.46</v>
      </c>
    </row>
    <row r="225">
      <c r="A225" t="inlineStr">
        <is>
          <t>G|FICO x CHANNEL|loan_size|book|2</t>
        </is>
      </c>
      <c r="B225" t="n">
        <v>0.9967962144744655</v>
      </c>
      <c r="C225" t="n">
        <v>1.011118034806584</v>
      </c>
      <c r="D225" t="n">
        <v>0.9729322185651312</v>
      </c>
      <c r="E225" t="n">
        <v>0.9939070453140634</v>
      </c>
    </row>
    <row r="226">
      <c r="A226" t="inlineStr">
        <is>
          <t>G|FICO x CHANNEL|loan_size|band|2</t>
        </is>
      </c>
      <c r="B226" t="n">
        <v>1.004324336100047</v>
      </c>
      <c r="C226" t="n">
        <v>1.02668197720075</v>
      </c>
      <c r="D226" t="n">
        <v>0.9689102362265307</v>
      </c>
    </row>
    <row r="227">
      <c r="A227" t="inlineStr">
        <is>
          <t>G|FICO x CHANNEL|loan_size|rate|3</t>
        </is>
      </c>
      <c r="B227" t="n">
        <v>32698.63159223301</v>
      </c>
      <c r="C227" t="n">
        <v>32967.00101796407</v>
      </c>
      <c r="D227" t="n">
        <v>32344.62388278388</v>
      </c>
      <c r="E227" t="n">
        <v>32660.96505761844</v>
      </c>
    </row>
    <row r="228">
      <c r="A228" t="inlineStr">
        <is>
          <t>G|FICO x CHANNEL|loan_size|median|3</t>
        </is>
      </c>
      <c r="B228" t="n">
        <v>33544.5</v>
      </c>
      <c r="C228" t="n">
        <v>33142.91</v>
      </c>
      <c r="D228" t="n">
        <v>31877.675</v>
      </c>
      <c r="E228" t="n">
        <v>32657.185</v>
      </c>
    </row>
    <row r="229">
      <c r="A229" t="inlineStr">
        <is>
          <t>G|FICO x CHANNEL|loan_size|book|3</t>
        </is>
      </c>
      <c r="B229" t="n">
        <v>1.013515437977514</v>
      </c>
      <c r="C229" t="n">
        <v>1.021833723569753</v>
      </c>
      <c r="D229" t="n">
        <v>1.002542737860761</v>
      </c>
      <c r="E229" t="n">
        <v>1.012347939141384</v>
      </c>
    </row>
    <row r="230">
      <c r="A230" t="inlineStr">
        <is>
          <t>G|FICO x CHANNEL|loan_size|band|3</t>
        </is>
      </c>
      <c r="B230" t="n">
        <v>1.001721501604071</v>
      </c>
      <c r="C230" t="n">
        <v>1.013855905088206</v>
      </c>
      <c r="D230" t="n">
        <v>0.9851864425475193</v>
      </c>
    </row>
    <row r="231">
      <c r="A231" t="inlineStr">
        <is>
          <t>G|FICO x CHANNEL|loan_size|rate|4</t>
        </is>
      </c>
      <c r="B231" t="n">
        <v>30750.5847858473</v>
      </c>
      <c r="C231" t="n">
        <v>31887.05186640472</v>
      </c>
      <c r="D231" t="n">
        <v>32568.99023049645</v>
      </c>
      <c r="E231" t="n">
        <v>31746.88442236025</v>
      </c>
    </row>
    <row r="232">
      <c r="A232" t="inlineStr">
        <is>
          <t>G|FICO x CHANNEL|loan_size|median|4</t>
        </is>
      </c>
      <c r="B232" t="n">
        <v>29741.11</v>
      </c>
      <c r="C232" t="n">
        <v>32085.88</v>
      </c>
      <c r="D232" t="n">
        <v>32413.01</v>
      </c>
      <c r="E232" t="n">
        <v>31495.24</v>
      </c>
    </row>
    <row r="233">
      <c r="A233" t="inlineStr">
        <is>
          <t>G|FICO x CHANNEL|loan_size|book|4</t>
        </is>
      </c>
      <c r="B233" t="n">
        <v>0.9531344551646523</v>
      </c>
      <c r="C233" t="n">
        <v>0.9883599944245819</v>
      </c>
      <c r="D233" t="n">
        <v>1.009497119316386</v>
      </c>
      <c r="E233" t="n">
        <v>0.9840154129689267</v>
      </c>
    </row>
    <row r="234">
      <c r="A234" t="inlineStr">
        <is>
          <t>G|FICO x CHANNEL|loan_size|band|4</t>
        </is>
      </c>
      <c r="B234" t="n">
        <v>0.9536396153494627</v>
      </c>
      <c r="C234" t="n">
        <v>1.006469518655895</v>
      </c>
      <c r="D234" t="n">
        <v>1.040422904785542</v>
      </c>
    </row>
    <row r="235">
      <c r="A235" t="inlineStr">
        <is>
          <t>G|FICO x CHANNEL|loan_size|rate|5</t>
        </is>
      </c>
      <c r="B235" t="n">
        <v>31757.3934942085</v>
      </c>
      <c r="C235" t="n">
        <v>31969.52664179105</v>
      </c>
      <c r="D235" t="n">
        <v>32765.47040618955</v>
      </c>
      <c r="E235" t="n">
        <v>32161.51770210057</v>
      </c>
    </row>
    <row r="236">
      <c r="A236" t="inlineStr">
        <is>
          <t>G|FICO x CHANNEL|loan_size|median|5</t>
        </is>
      </c>
      <c r="B236" t="n">
        <v>30929.315</v>
      </c>
      <c r="C236" t="n">
        <v>31061.645</v>
      </c>
      <c r="D236" t="n">
        <v>33869.94</v>
      </c>
      <c r="E236" t="n">
        <v>31538.61</v>
      </c>
    </row>
    <row r="237">
      <c r="A237" t="inlineStr">
        <is>
          <t>G|FICO x CHANNEL|loan_size|book|5</t>
        </is>
      </c>
      <c r="B237" t="n">
        <v>0.9843411485131488</v>
      </c>
      <c r="C237" t="n">
        <v>0.9909163539426245</v>
      </c>
      <c r="D237" t="n">
        <v>1.015587150660963</v>
      </c>
      <c r="E237" t="n">
        <v>0.9968672422245548</v>
      </c>
    </row>
    <row r="238">
      <c r="A238" t="inlineStr">
        <is>
          <t>G|FICO x CHANNEL|loan_size|band|5</t>
        </is>
      </c>
      <c r="B238" t="n">
        <v>0.9813684106184214</v>
      </c>
      <c r="C238" t="n">
        <v>0.9909668388472985</v>
      </c>
      <c r="D238" t="n">
        <v>1.028250158042545</v>
      </c>
    </row>
    <row r="239">
      <c r="A239" t="inlineStr">
        <is>
          <t>G|FICO x CHANNEL|loan_size|rate|6</t>
        </is>
      </c>
      <c r="C239" t="n">
        <v>27999.47</v>
      </c>
      <c r="E239" t="n">
        <v>27999.47</v>
      </c>
    </row>
    <row r="240">
      <c r="A240" t="inlineStr">
        <is>
          <t>G|FICO x CHANNEL|loan_size|median|6</t>
        </is>
      </c>
      <c r="C240" t="n">
        <v>27999.47</v>
      </c>
      <c r="E240" t="n">
        <v>27999.47</v>
      </c>
    </row>
    <row r="241">
      <c r="A241" t="inlineStr">
        <is>
          <t>G|FICO x CHANNEL|loan_size|book|6</t>
        </is>
      </c>
      <c r="C241" t="n">
        <v>0.8678618559355534</v>
      </c>
      <c r="E241" t="n">
        <v>0.8678618559355534</v>
      </c>
    </row>
    <row r="242">
      <c r="A242" t="inlineStr">
        <is>
          <t>G|FICO x CHANNEL|loan_size|band|6</t>
        </is>
      </c>
    </row>
    <row r="243">
      <c r="A243" t="inlineStr">
        <is>
          <t>G|FICO x CHANNEL|loan_size|rate|7</t>
        </is>
      </c>
      <c r="B243" t="n">
        <v>34725.55960784314</v>
      </c>
      <c r="C243" t="n">
        <v>30898.33351851852</v>
      </c>
      <c r="D243" t="n">
        <v>33613.25890909091</v>
      </c>
      <c r="E243" t="n">
        <v>33051.5174375</v>
      </c>
    </row>
    <row r="244">
      <c r="A244" t="inlineStr">
        <is>
          <t>G|FICO x CHANNEL|loan_size|median|7</t>
        </is>
      </c>
      <c r="B244" t="n">
        <v>34982.22</v>
      </c>
      <c r="C244" t="n">
        <v>30178.235</v>
      </c>
      <c r="D244" t="n">
        <v>36736.09</v>
      </c>
      <c r="E244" t="n">
        <v>33153.41</v>
      </c>
    </row>
    <row r="245">
      <c r="A245" t="inlineStr">
        <is>
          <t>G|FICO x CHANNEL|loan_size|book|7</t>
        </is>
      </c>
      <c r="B245" t="n">
        <v>1.076341395378678</v>
      </c>
      <c r="C245" t="n">
        <v>0.9577140236117754</v>
      </c>
      <c r="D245" t="n">
        <v>1.04186490890313</v>
      </c>
      <c r="E245" t="n">
        <v>1.024453365181379</v>
      </c>
    </row>
    <row r="246">
      <c r="A246" t="inlineStr">
        <is>
          <t>G|FICO x CHANNEL|loan_size|band|7</t>
        </is>
      </c>
      <c r="B246" t="n">
        <v>1.07615255267463</v>
      </c>
      <c r="C246" t="n">
        <v>0.9048246243643882</v>
      </c>
      <c r="D246" t="n">
        <v>1.026131205517288</v>
      </c>
    </row>
    <row r="247">
      <c r="A247" t="inlineStr">
        <is>
          <t>G|FICO x CHANNEL|loan_size|rate|8</t>
        </is>
      </c>
      <c r="B247" t="n">
        <v>32022.08309977152</v>
      </c>
      <c r="C247" t="n">
        <v>32369.91430131827</v>
      </c>
      <c r="D247" t="n">
        <v>32390.11528329654</v>
      </c>
      <c r="E247" t="n">
        <v>32262.58857732217</v>
      </c>
    </row>
    <row r="248">
      <c r="A248" t="inlineStr">
        <is>
          <t>G|FICO x CHANNEL|loan_size|median|8</t>
        </is>
      </c>
      <c r="B248" t="n">
        <v>31587.98</v>
      </c>
      <c r="C248" t="n">
        <v>32609.4</v>
      </c>
      <c r="D248" t="n">
        <v>32036.465</v>
      </c>
      <c r="E248" t="n">
        <v>32112.83</v>
      </c>
    </row>
    <row r="249">
      <c r="A249" t="inlineStr">
        <is>
          <t>G|FICO x CHANNEL|loan_size|book|8</t>
        </is>
      </c>
      <c r="B249" t="n">
        <v>0.9925453756764048</v>
      </c>
      <c r="C249" t="n">
        <v>1.003326630897545</v>
      </c>
      <c r="D249" t="n">
        <v>1.003952773524937</v>
      </c>
      <c r="E249" t="n">
        <v>1</v>
      </c>
    </row>
    <row r="250">
      <c r="A250" t="inlineStr">
        <is>
          <t>G|FICO x CHANNEL|loan_size|band|8</t>
        </is>
      </c>
    </row>
    <row r="251">
      <c r="A251" t="inlineStr">
        <is>
          <t>G|FICO x CHANNEL|loan_size|meta</t>
        </is>
      </c>
      <c r="B251" t="inlineStr">
        <is>
          <t>size</t>
        </is>
      </c>
      <c r="C251" t="n">
        <v>1</v>
      </c>
      <c r="E251" t="n">
        <v>32262.58857732217</v>
      </c>
      <c r="F251" t="n">
        <v>65</v>
      </c>
    </row>
    <row r="252">
      <c r="A252" t="inlineStr">
        <is>
          <t>G|FICO x CHANNEL|where N|cols</t>
        </is>
      </c>
      <c r="B252" t="inlineStr">
        <is>
          <t>Branch</t>
        </is>
      </c>
      <c r="C252" t="inlineStr">
        <is>
          <t>Broker</t>
        </is>
      </c>
      <c r="D252" t="inlineStr">
        <is>
          <t>Online</t>
        </is>
      </c>
      <c r="E252" t="inlineStr">
        <is>
          <t>All</t>
        </is>
      </c>
    </row>
    <row r="253">
      <c r="A253" t="inlineStr">
        <is>
          <t>G|FICO x CHANNEL|where N|heads</t>
        </is>
      </c>
      <c r="B253" t="inlineStr">
        <is>
          <t>Branch</t>
        </is>
      </c>
      <c r="C253" t="inlineStr">
        <is>
          <t>Broker</t>
        </is>
      </c>
      <c r="D253" t="inlineStr">
        <is>
          <t>Online</t>
        </is>
      </c>
      <c r="E253" t="inlineStr">
        <is>
          <t>All</t>
        </is>
      </c>
    </row>
    <row r="254">
      <c r="A254" t="inlineStr">
        <is>
          <t>G|FICO x CHANNEL|where N|segs</t>
        </is>
      </c>
    </row>
    <row r="255">
      <c r="A255" t="inlineStr">
        <is>
          <t>G|FICO x CHANNEL|where N|rows</t>
        </is>
      </c>
      <c r="B255" t="inlineStr">
        <is>
          <t>496 - 653</t>
        </is>
      </c>
      <c r="C255" t="inlineStr">
        <is>
          <t>654 - 685</t>
        </is>
      </c>
      <c r="D255" t="inlineStr">
        <is>
          <t>686 - 711</t>
        </is>
      </c>
      <c r="E255" t="inlineStr">
        <is>
          <t>712 - 745</t>
        </is>
      </c>
      <c r="F255" t="inlineStr">
        <is>
          <t>746 - 921</t>
        </is>
      </c>
      <c r="G255" t="inlineStr">
        <is>
          <t>(blank)</t>
        </is>
      </c>
      <c r="H255" t="inlineStr">
        <is>
          <t>(marked missing)</t>
        </is>
      </c>
      <c r="I255" t="inlineStr">
        <is>
          <t>All</t>
        </is>
      </c>
    </row>
    <row r="256">
      <c r="A256" t="inlineStr">
        <is>
          <t>G|FICO x CHANNEL|where N|names</t>
        </is>
      </c>
      <c r="B256" t="inlineStr">
        <is>
          <t>FICO</t>
        </is>
      </c>
      <c r="C256" t="inlineStr">
        <is>
          <t>CHANNEL</t>
        </is>
      </c>
    </row>
    <row r="257">
      <c r="A257" t="inlineStr">
        <is>
          <t>G|FICO x CHANNEL|where N|total</t>
        </is>
      </c>
      <c r="B257" t="n">
        <v>4329</v>
      </c>
    </row>
    <row r="258">
      <c r="A258" t="inlineStr">
        <is>
          <t>G|FICO x CHANNEL|where N|loans|1</t>
        </is>
      </c>
      <c r="B258" t="n">
        <v>271</v>
      </c>
      <c r="C258" t="n">
        <v>258</v>
      </c>
      <c r="D258" t="n">
        <v>305</v>
      </c>
      <c r="E258" t="n">
        <v>834</v>
      </c>
    </row>
    <row r="259">
      <c r="A259" t="inlineStr">
        <is>
          <t>G|FICO x CHANNEL|where N|loans|2</t>
        </is>
      </c>
      <c r="B259" t="n">
        <v>249</v>
      </c>
      <c r="C259" t="n">
        <v>287</v>
      </c>
      <c r="D259" t="n">
        <v>269</v>
      </c>
      <c r="E259" t="n">
        <v>805</v>
      </c>
    </row>
    <row r="260">
      <c r="A260" t="inlineStr">
        <is>
          <t>G|FICO x CHANNEL|where N|loans|3</t>
        </is>
      </c>
      <c r="B260" t="n">
        <v>280</v>
      </c>
      <c r="C260" t="n">
        <v>271</v>
      </c>
      <c r="D260" t="n">
        <v>297</v>
      </c>
      <c r="E260" t="n">
        <v>848</v>
      </c>
    </row>
    <row r="261">
      <c r="A261" t="inlineStr">
        <is>
          <t>G|FICO x CHANNEL|where N|loans|4</t>
        </is>
      </c>
      <c r="B261" t="n">
        <v>307</v>
      </c>
      <c r="C261" t="n">
        <v>291</v>
      </c>
      <c r="D261" t="n">
        <v>286</v>
      </c>
      <c r="E261" t="n">
        <v>884</v>
      </c>
    </row>
    <row r="262">
      <c r="A262" t="inlineStr">
        <is>
          <t>G|FICO x CHANNEL|where N|loans|5</t>
        </is>
      </c>
      <c r="B262" t="n">
        <v>279</v>
      </c>
      <c r="C262" t="n">
        <v>299</v>
      </c>
      <c r="D262" t="n">
        <v>292</v>
      </c>
      <c r="E262" t="n">
        <v>870</v>
      </c>
    </row>
    <row r="263">
      <c r="A263" t="inlineStr">
        <is>
          <t>G|FICO x CHANNEL|where N|loans|6</t>
        </is>
      </c>
    </row>
    <row r="264">
      <c r="A264" t="inlineStr">
        <is>
          <t>G|FICO x CHANNEL|where N|loans|7</t>
        </is>
      </c>
      <c r="B264" t="n">
        <v>29</v>
      </c>
      <c r="C264" t="n">
        <v>29</v>
      </c>
      <c r="D264" t="n">
        <v>30</v>
      </c>
      <c r="E264" t="n">
        <v>88</v>
      </c>
    </row>
    <row r="265">
      <c r="A265" t="inlineStr">
        <is>
          <t>G|FICO x CHANNEL|where N|loans|8</t>
        </is>
      </c>
      <c r="B265" t="n">
        <v>1415</v>
      </c>
      <c r="C265" t="n">
        <v>1435</v>
      </c>
      <c r="D265" t="n">
        <v>1479</v>
      </c>
      <c r="E265" t="n">
        <v>4329</v>
      </c>
    </row>
    <row r="266">
      <c r="A266" t="inlineStr">
        <is>
          <t>G|FICO x CHANNEL|where N|outcome_loans|rate|1</t>
        </is>
      </c>
      <c r="B266" t="n">
        <v>0.08518518518518518</v>
      </c>
      <c r="C266" t="n">
        <v>0.1937984496124031</v>
      </c>
      <c r="D266" t="n">
        <v>0.07540983606557378</v>
      </c>
      <c r="E266" t="n">
        <v>0.1152460984393757</v>
      </c>
    </row>
    <row r="267">
      <c r="A267" t="inlineStr">
        <is>
          <t>G|FICO x CHANNEL|where N|outcome_loans|book|1</t>
        </is>
      </c>
      <c r="B267" t="n">
        <v>1.100801771076408</v>
      </c>
      <c r="C267" t="n">
        <v>2.504351855330553</v>
      </c>
      <c r="D267" t="n">
        <v>0.9744802563627215</v>
      </c>
      <c r="E267" t="n">
        <v>1.489262587102692</v>
      </c>
    </row>
    <row r="268">
      <c r="A268" t="inlineStr">
        <is>
          <t>G|FICO x CHANNEL|where N|outcome_loans|band|1</t>
        </is>
      </c>
      <c r="B268" t="n">
        <v>0.6569761542364282</v>
      </c>
      <c r="C268" t="n">
        <v>2.422480620155039</v>
      </c>
      <c r="D268" t="n">
        <v>0.5454300471592186</v>
      </c>
    </row>
    <row r="269">
      <c r="A269" t="inlineStr">
        <is>
          <t>G|FICO x CHANNEL|where N|outcome_loans|rate|2</t>
        </is>
      </c>
      <c r="B269" t="n">
        <v>0.06425702811244979</v>
      </c>
      <c r="C269" t="n">
        <v>0.0627177700348432</v>
      </c>
      <c r="D269" t="n">
        <v>0.0483271375464684</v>
      </c>
      <c r="E269" t="n">
        <v>0.05838509316770187</v>
      </c>
    </row>
    <row r="270">
      <c r="A270" t="inlineStr">
        <is>
          <t>G|FICO x CHANNEL|where N|outcome_loans|book|2</t>
        </is>
      </c>
      <c r="B270" t="n">
        <v>0.8303585910686363</v>
      </c>
      <c r="C270" t="n">
        <v>0.8104675969446055</v>
      </c>
      <c r="D270" t="n">
        <v>0.624505287938935</v>
      </c>
      <c r="E270" t="n">
        <v>0.7544787726146158</v>
      </c>
    </row>
    <row r="271">
      <c r="A271" t="inlineStr">
        <is>
          <t>G|FICO x CHANNEL|where N|outcome_loans|band|2</t>
        </is>
      </c>
      <c r="B271" t="n">
        <v>1.152480891307164</v>
      </c>
      <c r="C271" t="n">
        <v>1.12026913372582</v>
      </c>
      <c r="D271" t="n">
        <v>0.7618631095560902</v>
      </c>
    </row>
    <row r="272">
      <c r="A272" t="inlineStr">
        <is>
          <t>G|FICO x CHANNEL|where N|outcome_loans|rate|3</t>
        </is>
      </c>
      <c r="B272" t="n">
        <v>0.06071428571428571</v>
      </c>
      <c r="C272" t="n">
        <v>0.04059040590405904</v>
      </c>
      <c r="D272" t="n">
        <v>0.05387205387205387</v>
      </c>
      <c r="E272" t="n">
        <v>0.05188679245283019</v>
      </c>
    </row>
    <row r="273">
      <c r="A273" t="inlineStr">
        <is>
          <t>G|FICO x CHANNEL|where N|outcome_loans|book|3</t>
        </is>
      </c>
      <c r="B273" t="n">
        <v>0.7845776598199862</v>
      </c>
      <c r="C273" t="n">
        <v>0.5245277170057645</v>
      </c>
      <c r="D273" t="n">
        <v>0.6961592228151193</v>
      </c>
      <c r="E273" t="n">
        <v>0.6705047703234066</v>
      </c>
    </row>
    <row r="274">
      <c r="A274" t="inlineStr">
        <is>
          <t>G|FICO x CHANNEL|where N|outcome_loans|band|3</t>
        </is>
      </c>
      <c r="B274" t="n">
        <v>1.277248677248677</v>
      </c>
      <c r="C274" t="n">
        <v>0.7097170971709716</v>
      </c>
      <c r="D274" t="n">
        <v>1.06012506012506</v>
      </c>
    </row>
    <row r="275">
      <c r="A275" t="inlineStr">
        <is>
          <t>G|FICO x CHANNEL|where N|outcome_loans|rate|4</t>
        </is>
      </c>
      <c r="B275" t="n">
        <v>0.03257328990228013</v>
      </c>
      <c r="C275" t="n">
        <v>0.03092783505154639</v>
      </c>
      <c r="D275" t="n">
        <v>0.05594405594405594</v>
      </c>
      <c r="E275" t="n">
        <v>0.03959276018099547</v>
      </c>
    </row>
    <row r="276">
      <c r="A276" t="inlineStr">
        <is>
          <t>G|FICO x CHANNEL|where N|outcome_loans|book|4</t>
        </is>
      </c>
      <c r="B276" t="n">
        <v>0.4209268916451353</v>
      </c>
      <c r="D276" t="n">
        <v>0.7229345775387779</v>
      </c>
      <c r="E276" t="n">
        <v>0.5116356844713776</v>
      </c>
    </row>
    <row r="277">
      <c r="A277" t="inlineStr">
        <is>
          <t>G|FICO x CHANNEL|where N|outcome_loans|band|4</t>
        </is>
      </c>
      <c r="B277" t="n">
        <v>0.7517915309446254</v>
      </c>
      <c r="D277" t="n">
        <v>1.760765550239235</v>
      </c>
    </row>
    <row r="278">
      <c r="A278" t="inlineStr">
        <is>
          <t>G|FICO x CHANNEL|where N|outcome_loans|rate|5</t>
        </is>
      </c>
      <c r="B278" t="n">
        <v>0.03225806451612903</v>
      </c>
      <c r="C278" t="n">
        <v>0.02675585284280936</v>
      </c>
      <c r="D278" t="n">
        <v>0.0273972602739726</v>
      </c>
      <c r="E278" t="n">
        <v>0.02873563218390805</v>
      </c>
    </row>
    <row r="279">
      <c r="A279" t="inlineStr">
        <is>
          <t>G|FICO x CHANNEL|where N|outcome_loans|book|5</t>
        </is>
      </c>
      <c r="E279" t="n">
        <v>0.371334930273151</v>
      </c>
    </row>
    <row r="280">
      <c r="A280" t="inlineStr">
        <is>
          <t>G|FICO x CHANNEL|where N|outcome_loans|band|5</t>
        </is>
      </c>
    </row>
    <row r="281">
      <c r="A281" t="inlineStr">
        <is>
          <t>G|FICO x CHANNEL|where N|outcome_loans|rate|6</t>
        </is>
      </c>
    </row>
    <row r="282">
      <c r="A282" t="inlineStr">
        <is>
          <t>G|FICO x CHANNEL|where N|outcome_loans|book|6</t>
        </is>
      </c>
    </row>
    <row r="283">
      <c r="A283" t="inlineStr">
        <is>
          <t>G|FICO x CHANNEL|where N|outcome_loans|band|6</t>
        </is>
      </c>
    </row>
    <row r="284">
      <c r="A284" t="inlineStr">
        <is>
          <t>G|FICO x CHANNEL|where N|outcome_loans|rate|7</t>
        </is>
      </c>
      <c r="B284" t="n">
        <v>0</v>
      </c>
      <c r="C284" t="n">
        <v>0.06896551724137931</v>
      </c>
      <c r="D284" t="n">
        <v>0</v>
      </c>
      <c r="E284" t="n">
        <v>0.02272727272727273</v>
      </c>
    </row>
    <row r="285">
      <c r="A285" t="inlineStr">
        <is>
          <t>G|FICO x CHANNEL|where N|outcome_loans|book|7</t>
        </is>
      </c>
    </row>
    <row r="286">
      <c r="A286" t="inlineStr">
        <is>
          <t>G|FICO x CHANNEL|where N|outcome_loans|band|7</t>
        </is>
      </c>
    </row>
    <row r="287">
      <c r="A287" t="inlineStr">
        <is>
          <t>G|FICO x CHANNEL|where N|outcome_loans|rate|8</t>
        </is>
      </c>
      <c r="B287" t="n">
        <v>0.05304101838755304</v>
      </c>
      <c r="C287" t="n">
        <v>0.06829268292682927</v>
      </c>
      <c r="D287" t="n">
        <v>0.05138607167004733</v>
      </c>
      <c r="E287" t="n">
        <v>0.05753234750462107</v>
      </c>
    </row>
    <row r="288">
      <c r="A288" t="inlineStr">
        <is>
          <t>G|FICO x CHANNEL|where N|outcome_loans|book|8</t>
        </is>
      </c>
      <c r="B288" t="n">
        <v>0.6854202036866507</v>
      </c>
      <c r="C288" t="n">
        <v>0.8825091611174594</v>
      </c>
      <c r="D288" t="n">
        <v>0.664034228253164</v>
      </c>
      <c r="E288" t="n">
        <v>0.7434592046679547</v>
      </c>
    </row>
    <row r="289">
      <c r="A289" t="inlineStr">
        <is>
          <t>G|FICO x CHANNEL|where N|outcome_loans|band|8</t>
        </is>
      </c>
    </row>
    <row r="290">
      <c r="A290" t="inlineStr">
        <is>
          <t>G|FICO x CHANNEL|where N|outcome_loans|meta</t>
        </is>
      </c>
      <c r="B290" t="inlineStr">
        <is>
          <t>x</t>
        </is>
      </c>
      <c r="C290" t="n">
        <v>2.504351855330553</v>
      </c>
      <c r="D290" t="n">
        <v>10</v>
      </c>
      <c r="E290" t="n">
        <v>0.07738467308413552</v>
      </c>
      <c r="F290" t="n">
        <v>65</v>
      </c>
    </row>
    <row r="291">
      <c r="A291" t="inlineStr">
        <is>
          <t>G|FICO x CHANNEL|where N|outcome_booked|rate|1</t>
        </is>
      </c>
      <c r="B291" t="n">
        <v>0.0794138438647022</v>
      </c>
      <c r="C291" t="n">
        <v>0.1885605093407791</v>
      </c>
      <c r="D291" t="n">
        <v>0.06258124234792066</v>
      </c>
      <c r="E291" t="n">
        <v>0.1076058652304739</v>
      </c>
    </row>
    <row r="292">
      <c r="A292" t="inlineStr">
        <is>
          <t>G|FICO x CHANNEL|where N|outcome_booked|book|1</t>
        </is>
      </c>
      <c r="B292" t="n">
        <v>1.061272813268959</v>
      </c>
      <c r="C292" t="n">
        <v>2.51988988922954</v>
      </c>
      <c r="D292" t="n">
        <v>0.8363248508357962</v>
      </c>
      <c r="E292" t="n">
        <v>1.438026089153262</v>
      </c>
    </row>
    <row r="293">
      <c r="A293" t="inlineStr">
        <is>
          <t>G|FICO x CHANNEL|where N|outcome_booked|band|1</t>
        </is>
      </c>
      <c r="B293" t="n">
        <v>0.657790534493558</v>
      </c>
      <c r="C293" t="n">
        <v>2.678959861510621</v>
      </c>
      <c r="D293" t="n">
        <v>0.4678710164136167</v>
      </c>
    </row>
    <row r="294">
      <c r="A294" t="inlineStr">
        <is>
          <t>G|FICO x CHANNEL|where N|outcome_booked|rate|2</t>
        </is>
      </c>
      <c r="B294" t="n">
        <v>0.05554172519848109</v>
      </c>
      <c r="C294" t="n">
        <v>0.06705098669680558</v>
      </c>
      <c r="D294" t="n">
        <v>0.03296595839017977</v>
      </c>
      <c r="E294" t="n">
        <v>0.05222245695205571</v>
      </c>
    </row>
    <row r="295">
      <c r="A295" t="inlineStr">
        <is>
          <t>G|FICO x CHANNEL|where N|outcome_booked|book|2</t>
        </is>
      </c>
      <c r="B295" t="n">
        <v>0.7422499665880453</v>
      </c>
      <c r="C295" t="n">
        <v>0.896057737809708</v>
      </c>
      <c r="D295" t="n">
        <v>0.440551340928153</v>
      </c>
      <c r="E295" t="n">
        <v>0.6978918423813927</v>
      </c>
    </row>
    <row r="296">
      <c r="A296" t="inlineStr">
        <is>
          <t>G|FICO x CHANNEL|where N|outcome_booked|band|2</t>
        </is>
      </c>
      <c r="B296" t="n">
        <v>1.094413305410449</v>
      </c>
      <c r="C296" t="n">
        <v>1.529833694269024</v>
      </c>
      <c r="D296" t="n">
        <v>0.5337521236109746</v>
      </c>
    </row>
    <row r="297">
      <c r="A297" t="inlineStr">
        <is>
          <t>G|FICO x CHANNEL|where N|outcome_booked|rate|3</t>
        </is>
      </c>
      <c r="B297" t="n">
        <v>0.0465855873059688</v>
      </c>
      <c r="C297" t="n">
        <v>0.03474561944677844</v>
      </c>
      <c r="D297" t="n">
        <v>0.04588747108465464</v>
      </c>
      <c r="E297" t="n">
        <v>0.04253798364971029</v>
      </c>
    </row>
    <row r="298">
      <c r="A298" t="inlineStr">
        <is>
          <t>G|FICO x CHANNEL|where N|outcome_booked|book|3</t>
        </is>
      </c>
      <c r="B298" t="n">
        <v>0.6225616956940587</v>
      </c>
      <c r="C298" t="n">
        <v>0.4643344221176176</v>
      </c>
      <c r="D298" t="n">
        <v>0.6132321917923834</v>
      </c>
      <c r="E298" t="n">
        <v>0.5684702236001797</v>
      </c>
    </row>
    <row r="299">
      <c r="A299" t="inlineStr">
        <is>
          <t>G|FICO x CHANNEL|where N|outcome_booked|band|3</t>
        </is>
      </c>
      <c r="B299" t="n">
        <v>1.151980836501827</v>
      </c>
      <c r="C299" t="n">
        <v>0.7514347432289585</v>
      </c>
      <c r="D299" t="n">
        <v>1.123623469409468</v>
      </c>
    </row>
    <row r="300">
      <c r="A300" t="inlineStr">
        <is>
          <t>G|FICO x CHANNEL|where N|outcome_booked|rate|4</t>
        </is>
      </c>
      <c r="B300" t="n">
        <v>0.02849745236496489</v>
      </c>
      <c r="C300" t="n">
        <v>0.03368630898356112</v>
      </c>
      <c r="D300" t="n">
        <v>0.05542665693547472</v>
      </c>
      <c r="E300" t="n">
        <v>0.03906092651164253</v>
      </c>
    </row>
    <row r="301">
      <c r="A301" t="inlineStr">
        <is>
          <t>G|FICO x CHANNEL|where N|outcome_booked|book|4</t>
        </is>
      </c>
      <c r="B301" t="n">
        <v>0.3808350026966404</v>
      </c>
      <c r="D301" t="n">
        <v>0.7407122143114172</v>
      </c>
      <c r="E301" t="n">
        <v>0.5220034360574317</v>
      </c>
    </row>
    <row r="302">
      <c r="A302" t="inlineStr">
        <is>
          <t>G|FICO x CHANNEL|where N|outcome_booked|band|4</t>
        </is>
      </c>
      <c r="B302" t="n">
        <v>0.640724681193516</v>
      </c>
      <c r="D302" t="n">
        <v>1.783998257482173</v>
      </c>
    </row>
    <row r="303">
      <c r="A303" t="inlineStr">
        <is>
          <t>G|FICO x CHANNEL|where N|outcome_booked|rate|5</t>
        </is>
      </c>
      <c r="B303" t="n">
        <v>0.03251089888143482</v>
      </c>
      <c r="C303" t="n">
        <v>0.02158220810953489</v>
      </c>
      <c r="D303" t="n">
        <v>0.02591971942483821</v>
      </c>
      <c r="E303" t="n">
        <v>0.02658532782159514</v>
      </c>
    </row>
    <row r="304">
      <c r="A304" t="inlineStr">
        <is>
          <t>G|FICO x CHANNEL|where N|outcome_booked|book|5</t>
        </is>
      </c>
      <c r="E304" t="n">
        <v>0.3552817024821344</v>
      </c>
    </row>
    <row r="305">
      <c r="A305" t="inlineStr">
        <is>
          <t>G|FICO x CHANNEL|where N|outcome_booked|band|5</t>
        </is>
      </c>
    </row>
    <row r="306">
      <c r="A306" t="inlineStr">
        <is>
          <t>G|FICO x CHANNEL|where N|outcome_booked|rate|6</t>
        </is>
      </c>
    </row>
    <row r="307">
      <c r="A307" t="inlineStr">
        <is>
          <t>G|FICO x CHANNEL|where N|outcome_booked|book|6</t>
        </is>
      </c>
    </row>
    <row r="308">
      <c r="A308" t="inlineStr">
        <is>
          <t>G|FICO x CHANNEL|where N|outcome_booked|band|6</t>
        </is>
      </c>
    </row>
    <row r="309">
      <c r="A309" t="inlineStr">
        <is>
          <t>G|FICO x CHANNEL|where N|outcome_booked|rate|7</t>
        </is>
      </c>
      <c r="B309" t="n">
        <v>0</v>
      </c>
      <c r="C309" t="n">
        <v>0.05448545483256266</v>
      </c>
      <c r="D309" t="n">
        <v>0</v>
      </c>
      <c r="E309" t="n">
        <v>0.01627439978445307</v>
      </c>
    </row>
    <row r="310">
      <c r="A310" t="inlineStr">
        <is>
          <t>G|FICO x CHANNEL|where N|outcome_booked|book|7</t>
        </is>
      </c>
    </row>
    <row r="311">
      <c r="A311" t="inlineStr">
        <is>
          <t>G|FICO x CHANNEL|where N|outcome_booked|band|7</t>
        </is>
      </c>
    </row>
    <row r="312">
      <c r="A312" t="inlineStr">
        <is>
          <t>G|FICO x CHANNEL|where N|outcome_booked|rate|8</t>
        </is>
      </c>
      <c r="B312" t="n">
        <v>0.04681040497767674</v>
      </c>
      <c r="C312" t="n">
        <v>0.0672028877166804</v>
      </c>
      <c r="D312" t="n">
        <v>0.04388565607070746</v>
      </c>
      <c r="E312" t="n">
        <v>0.05260097895035092</v>
      </c>
    </row>
    <row r="313">
      <c r="A313" t="inlineStr">
        <is>
          <t>G|FICO x CHANNEL|where N|outcome_booked|book|8</t>
        </is>
      </c>
      <c r="B313" t="n">
        <v>0.6255661200024016</v>
      </c>
      <c r="C313" t="n">
        <v>0.8980877166503699</v>
      </c>
      <c r="D313" t="n">
        <v>0.5864802837105225</v>
      </c>
      <c r="E313" t="n">
        <v>0.702950344608024</v>
      </c>
    </row>
    <row r="314">
      <c r="A314" t="inlineStr">
        <is>
          <t>G|FICO x CHANNEL|where N|outcome_booked|band|8</t>
        </is>
      </c>
    </row>
    <row r="315">
      <c r="A315" t="inlineStr">
        <is>
          <t>G|FICO x CHANNEL|where N|outcome_booked|meta</t>
        </is>
      </c>
      <c r="B315" t="inlineStr">
        <is>
          <t>x</t>
        </is>
      </c>
      <c r="C315" t="n">
        <v>2.678959861510621</v>
      </c>
      <c r="D315" t="n">
        <v>10</v>
      </c>
      <c r="E315" t="n">
        <v>0.07482886857347235</v>
      </c>
      <c r="F315" t="n">
        <v>65</v>
      </c>
    </row>
    <row r="316">
      <c r="A316" t="inlineStr">
        <is>
          <t>G|FICO x CHANNEL|where N|gco_rate|rate|1</t>
        </is>
      </c>
      <c r="B316" t="n">
        <v>0.04319626527506609</v>
      </c>
      <c r="C316" t="n">
        <v>0.1169959507496203</v>
      </c>
      <c r="D316" t="n">
        <v>0.03659446658543245</v>
      </c>
      <c r="E316" t="n">
        <v>0.06398599687243824</v>
      </c>
    </row>
    <row r="317">
      <c r="A317" t="inlineStr">
        <is>
          <t>G|FICO x CHANNEL|where N|gco_rate|book|1</t>
        </is>
      </c>
      <c r="B317" t="n">
        <v>1.038240350806168</v>
      </c>
      <c r="C317" t="n">
        <v>2.812046740052369</v>
      </c>
      <c r="D317" t="n">
        <v>0.8795633507500225</v>
      </c>
      <c r="E317" t="n">
        <v>1.537930268195414</v>
      </c>
    </row>
    <row r="318">
      <c r="A318" t="inlineStr">
        <is>
          <t>G|FICO x CHANNEL|where N|gco_rate|band|1</t>
        </is>
      </c>
      <c r="B318" t="n">
        <v>0.5860733945360893</v>
      </c>
      <c r="C318" t="n">
        <v>2.949789911128721</v>
      </c>
      <c r="D318" t="n">
        <v>0.4582245563988476</v>
      </c>
    </row>
    <row r="319">
      <c r="A319" t="inlineStr">
        <is>
          <t>G|FICO x CHANNEL|where N|gco_rate|rate|2</t>
        </is>
      </c>
      <c r="B319" t="n">
        <v>0.02970099079695886</v>
      </c>
      <c r="C319" t="n">
        <v>0.03737148876027075</v>
      </c>
      <c r="D319" t="n">
        <v>0.01961302687332925</v>
      </c>
      <c r="E319" t="n">
        <v>0.02913136709315743</v>
      </c>
    </row>
    <row r="320">
      <c r="A320" t="inlineStr">
        <is>
          <t>G|FICO x CHANNEL|where N|gco_rate|book|2</t>
        </is>
      </c>
      <c r="B320" t="n">
        <v>0.7138757693046449</v>
      </c>
      <c r="C320" t="n">
        <v>0.8982394045766933</v>
      </c>
      <c r="D320" t="n">
        <v>0.4714073258803275</v>
      </c>
      <c r="E320" t="n">
        <v>0.7001846247046121</v>
      </c>
    </row>
    <row r="321">
      <c r="A321" t="inlineStr">
        <is>
          <t>G|FICO x CHANNEL|where N|gco_rate|band|2</t>
        </is>
      </c>
      <c r="B321" t="n">
        <v>1.028473379968778</v>
      </c>
      <c r="C321" t="n">
        <v>1.527415428618876</v>
      </c>
      <c r="D321" t="n">
        <v>0.5794609046786873</v>
      </c>
    </row>
    <row r="322">
      <c r="A322" t="inlineStr">
        <is>
          <t>G|FICO x CHANNEL|where N|gco_rate|rate|3</t>
        </is>
      </c>
      <c r="B322" t="n">
        <v>0.02691725048729523</v>
      </c>
      <c r="C322" t="n">
        <v>0.02262848139283763</v>
      </c>
      <c r="D322" t="n">
        <v>0.0236069982955354</v>
      </c>
      <c r="E322" t="n">
        <v>0.02442211605269864</v>
      </c>
    </row>
    <row r="323">
      <c r="A323" t="inlineStr">
        <is>
          <t>G|FICO x CHANNEL|where N|gco_rate|book|3</t>
        </is>
      </c>
      <c r="B323" t="n">
        <v>0.6469674035638983</v>
      </c>
      <c r="C323" t="n">
        <v>0.5438850398270835</v>
      </c>
      <c r="D323" t="n">
        <v>0.5674041039373116</v>
      </c>
      <c r="E323" t="n">
        <v>0.586995801061044</v>
      </c>
    </row>
    <row r="324">
      <c r="A324" t="inlineStr">
        <is>
          <t>G|FICO x CHANNEL|where N|gco_rate|band|3</t>
        </is>
      </c>
      <c r="B324" t="n">
        <v>1.163810921627219</v>
      </c>
      <c r="C324" t="n">
        <v>0.8953258005730408</v>
      </c>
      <c r="D324" t="n">
        <v>0.9505300649409053</v>
      </c>
    </row>
    <row r="325">
      <c r="A325" t="inlineStr">
        <is>
          <t>G|FICO x CHANNEL|where N|gco_rate|rate|4</t>
        </is>
      </c>
      <c r="B325" t="n">
        <v>0.01506038913704331</v>
      </c>
      <c r="C325" t="n">
        <v>0.02198945898126834</v>
      </c>
      <c r="D325" t="n">
        <v>0.02908921838201917</v>
      </c>
      <c r="E325" t="n">
        <v>0.02198043227016772</v>
      </c>
    </row>
    <row r="326">
      <c r="A326" t="inlineStr">
        <is>
          <t>G|FICO x CHANNEL|where N|gco_rate|book|4</t>
        </is>
      </c>
      <c r="B326" t="n">
        <v>0.3619827686803953</v>
      </c>
      <c r="D326" t="n">
        <v>0.6991715627567897</v>
      </c>
      <c r="E326" t="n">
        <v>0.5283089073958195</v>
      </c>
    </row>
    <row r="327">
      <c r="A327" t="inlineStr">
        <is>
          <t>G|FICO x CHANNEL|where N|gco_rate|band|4</t>
        </is>
      </c>
      <c r="B327" t="n">
        <v>0.5902944205173536</v>
      </c>
      <c r="D327" t="n">
        <v>1.572267627531265</v>
      </c>
    </row>
    <row r="328">
      <c r="A328" t="inlineStr">
        <is>
          <t>G|FICO x CHANNEL|where N|gco_rate|rate|5</t>
        </is>
      </c>
      <c r="B328" t="n">
        <v>0.02067336794603068</v>
      </c>
      <c r="C328" t="n">
        <v>0.01081308268443443</v>
      </c>
      <c r="D328" t="n">
        <v>0.01271956349460758</v>
      </c>
      <c r="E328" t="n">
        <v>0.01464447203535513</v>
      </c>
    </row>
    <row r="329">
      <c r="A329" t="inlineStr">
        <is>
          <t>G|FICO x CHANNEL|where N|gco_rate|book|5</t>
        </is>
      </c>
      <c r="E329" t="n">
        <v>0.3519860267210325</v>
      </c>
    </row>
    <row r="330">
      <c r="A330" t="inlineStr">
        <is>
          <t>G|FICO x CHANNEL|where N|gco_rate|band|5</t>
        </is>
      </c>
    </row>
    <row r="331">
      <c r="A331" t="inlineStr">
        <is>
          <t>G|FICO x CHANNEL|where N|gco_rate|rate|6</t>
        </is>
      </c>
    </row>
    <row r="332">
      <c r="A332" t="inlineStr">
        <is>
          <t>G|FICO x CHANNEL|where N|gco_rate|book|6</t>
        </is>
      </c>
    </row>
    <row r="333">
      <c r="A333" t="inlineStr">
        <is>
          <t>G|FICO x CHANNEL|where N|gco_rate|band|6</t>
        </is>
      </c>
    </row>
    <row r="334">
      <c r="A334" t="inlineStr">
        <is>
          <t>G|FICO x CHANNEL|where N|gco_rate|rate|7</t>
        </is>
      </c>
      <c r="B334" t="n">
        <v>0</v>
      </c>
      <c r="C334" t="n">
        <v>0.02790195897030846</v>
      </c>
      <c r="D334" t="n">
        <v>0</v>
      </c>
      <c r="E334" t="n">
        <v>0.008334107450284619</v>
      </c>
    </row>
    <row r="335">
      <c r="A335" t="inlineStr">
        <is>
          <t>G|FICO x CHANNEL|where N|gco_rate|book|7</t>
        </is>
      </c>
    </row>
    <row r="336">
      <c r="A336" t="inlineStr">
        <is>
          <t>G|FICO x CHANNEL|where N|gco_rate|band|7</t>
        </is>
      </c>
    </row>
    <row r="337">
      <c r="A337" t="inlineStr">
        <is>
          <t>G|FICO x CHANNEL|where N|gco_rate|rate|8</t>
        </is>
      </c>
      <c r="B337" t="n">
        <v>0.02622043264014382</v>
      </c>
      <c r="C337" t="n">
        <v>0.04061260621028653</v>
      </c>
      <c r="D337" t="n">
        <v>0.0239758495628505</v>
      </c>
      <c r="E337" t="n">
        <v>0.03024578450313006</v>
      </c>
    </row>
    <row r="338">
      <c r="A338" t="inlineStr">
        <is>
          <t>G|FICO x CHANNEL|where N|gco_rate|book|8</t>
        </is>
      </c>
      <c r="B338" t="n">
        <v>0.6302190943879177</v>
      </c>
      <c r="C338" t="n">
        <v>0.9761410216929018</v>
      </c>
      <c r="D338" t="n">
        <v>0.5762695988298429</v>
      </c>
      <c r="E338" t="n">
        <v>0.7269701144988503</v>
      </c>
    </row>
    <row r="339">
      <c r="A339" t="inlineStr">
        <is>
          <t>G|FICO x CHANNEL|where N|gco_rate|band|8</t>
        </is>
      </c>
    </row>
    <row r="340">
      <c r="A340" t="inlineStr">
        <is>
          <t>G|FICO x CHANNEL|where N|gco_rate|meta</t>
        </is>
      </c>
      <c r="B340" t="inlineStr">
        <is>
          <t>x</t>
        </is>
      </c>
      <c r="C340" t="n">
        <v>2.949789911128721</v>
      </c>
      <c r="D340" t="n">
        <v>10</v>
      </c>
      <c r="E340" t="n">
        <v>0.04160526533333565</v>
      </c>
      <c r="F340" t="n">
        <v>65</v>
      </c>
    </row>
    <row r="341">
      <c r="A341" t="inlineStr">
        <is>
          <t>G|FICO x CHANNEL|where N|ranr_rate|rate|1</t>
        </is>
      </c>
      <c r="B341" t="n">
        <v>0.2339664016596976</v>
      </c>
      <c r="C341" t="n">
        <v>0.1614995387459972</v>
      </c>
      <c r="D341" t="n">
        <v>0.2328439819088634</v>
      </c>
      <c r="E341" t="n">
        <v>0.2107617244538728</v>
      </c>
    </row>
    <row r="342">
      <c r="A342" t="inlineStr">
        <is>
          <t>G|FICO x CHANNEL|where N|ranr_rate|book|1</t>
        </is>
      </c>
      <c r="B342" t="n">
        <v>10.597635201</v>
      </c>
      <c r="C342" t="n">
        <v>3.35094891</v>
      </c>
      <c r="D342" t="n">
        <v>10.485393226</v>
      </c>
      <c r="E342" t="n">
        <v>8.277167480999999</v>
      </c>
    </row>
    <row r="343">
      <c r="A343" t="inlineStr">
        <is>
          <t>G|FICO x CHANNEL|where N|ranr_rate|band|1</t>
        </is>
      </c>
      <c r="B343" t="n">
        <v>3.405212225</v>
      </c>
      <c r="C343" t="n">
        <v>-7.186605653</v>
      </c>
      <c r="D343" t="n">
        <v>3.488056823</v>
      </c>
    </row>
    <row r="344">
      <c r="A344" t="inlineStr">
        <is>
          <t>G|FICO x CHANNEL|where N|ranr_rate|rate|2</t>
        </is>
      </c>
      <c r="B344" t="n">
        <v>0.169913038378118</v>
      </c>
      <c r="C344" t="n">
        <v>0.1664321553512761</v>
      </c>
      <c r="D344" t="n">
        <v>0.2075501460230495</v>
      </c>
      <c r="E344" t="n">
        <v>0.1811238843240996</v>
      </c>
    </row>
    <row r="345">
      <c r="A345" t="inlineStr">
        <is>
          <t>G|FICO x CHANNEL|where N|ranr_rate|book|2</t>
        </is>
      </c>
      <c r="B345" t="n">
        <v>4.192298873</v>
      </c>
      <c r="C345" t="n">
        <v>3.84421057</v>
      </c>
      <c r="D345" t="n">
        <v>7.956009637</v>
      </c>
      <c r="E345" t="n">
        <v>5.313383468</v>
      </c>
    </row>
    <row r="346">
      <c r="A346" t="inlineStr">
        <is>
          <t>G|FICO x CHANNEL|where N|ranr_rate|band|2</t>
        </is>
      </c>
      <c r="B346" t="n">
        <v>-1.618330566</v>
      </c>
      <c r="C346" t="n">
        <v>-2.300781306</v>
      </c>
      <c r="D346" t="n">
        <v>3.951858327</v>
      </c>
    </row>
    <row r="347">
      <c r="A347" t="inlineStr">
        <is>
          <t>G|FICO x CHANNEL|where N|ranr_rate|rate|3</t>
        </is>
      </c>
      <c r="B347" t="n">
        <v>0.1281026202552597</v>
      </c>
      <c r="C347" t="n">
        <v>0.1396611030012643</v>
      </c>
      <c r="D347" t="n">
        <v>0.1948979666056128</v>
      </c>
      <c r="E347" t="n">
        <v>0.1543050177520467</v>
      </c>
    </row>
    <row r="348">
      <c r="A348" t="inlineStr">
        <is>
          <t>G|FICO x CHANNEL|where N|ranr_rate|book|3</t>
        </is>
      </c>
      <c r="B348" t="n">
        <v>0.011257061</v>
      </c>
      <c r="C348" t="n">
        <v>1.167105335</v>
      </c>
      <c r="D348" t="n">
        <v>6.690791696</v>
      </c>
      <c r="E348" t="n">
        <v>2.63149681</v>
      </c>
    </row>
    <row r="349">
      <c r="A349" t="inlineStr">
        <is>
          <t>G|FICO x CHANNEL|where N|ranr_rate|band|3</t>
        </is>
      </c>
      <c r="B349" t="n">
        <v>-3.978672592</v>
      </c>
      <c r="C349" t="n">
        <v>-2.159917494</v>
      </c>
      <c r="D349" t="n">
        <v>6.11852161</v>
      </c>
    </row>
    <row r="350">
      <c r="A350" t="inlineStr">
        <is>
          <t>G|FICO x CHANNEL|where N|ranr_rate|rate|4</t>
        </is>
      </c>
      <c r="B350" t="n">
        <v>0.0943049164055508</v>
      </c>
      <c r="C350" t="n">
        <v>0.08741398711430745</v>
      </c>
      <c r="D350" t="n">
        <v>0.1256660315638293</v>
      </c>
      <c r="E350" t="n">
        <v>0.1023005624670756</v>
      </c>
    </row>
    <row r="351">
      <c r="A351" t="inlineStr">
        <is>
          <t>G|FICO x CHANNEL|where N|ranr_rate|book|4</t>
        </is>
      </c>
      <c r="B351" t="n">
        <v>-3.368513324</v>
      </c>
      <c r="C351" t="n">
        <v>-4.057606253</v>
      </c>
      <c r="D351" t="n">
        <v>-0.232401808</v>
      </c>
      <c r="E351" t="n">
        <v>-2.568948718</v>
      </c>
    </row>
    <row r="352">
      <c r="A352" t="inlineStr">
        <is>
          <t>G|FICO x CHANNEL|where N|ranr_rate|band|4</t>
        </is>
      </c>
      <c r="B352" t="n">
        <v>-1.209508023</v>
      </c>
      <c r="C352" t="n">
        <v>-2.231711999</v>
      </c>
      <c r="D352" t="n">
        <v>3.477590716</v>
      </c>
    </row>
    <row r="353">
      <c r="A353" t="inlineStr">
        <is>
          <t>G|FICO x CHANNEL|where N|ranr_rate|rate|5</t>
        </is>
      </c>
      <c r="B353" t="n">
        <v>0.04741689160388554</v>
      </c>
      <c r="C353" t="n">
        <v>0.05699302560560132</v>
      </c>
      <c r="D353" t="n">
        <v>0.05243045064662431</v>
      </c>
      <c r="E353" t="n">
        <v>0.05234997022076705</v>
      </c>
    </row>
    <row r="354">
      <c r="A354" t="inlineStr">
        <is>
          <t>G|FICO x CHANNEL|where N|ranr_rate|book|5</t>
        </is>
      </c>
      <c r="B354" t="n">
        <v>-8.057315804</v>
      </c>
      <c r="C354" t="n">
        <v>-7.099702404</v>
      </c>
      <c r="D354" t="n">
        <v>-7.5559599</v>
      </c>
      <c r="E354" t="n">
        <v>-7.564007943</v>
      </c>
    </row>
    <row r="355">
      <c r="A355" t="inlineStr">
        <is>
          <t>G|FICO x CHANNEL|where N|ranr_rate|band|5</t>
        </is>
      </c>
      <c r="B355" t="n">
        <v>-0.728458393</v>
      </c>
      <c r="C355" t="n">
        <v>0.700388113</v>
      </c>
      <c r="D355" t="n">
        <v>0.012196228</v>
      </c>
    </row>
    <row r="356">
      <c r="A356" t="inlineStr">
        <is>
          <t>G|FICO x CHANNEL|where N|ranr_rate|rate|6</t>
        </is>
      </c>
    </row>
    <row r="357">
      <c r="A357" t="inlineStr">
        <is>
          <t>G|FICO x CHANNEL|where N|ranr_rate|book|6</t>
        </is>
      </c>
    </row>
    <row r="358">
      <c r="A358" t="inlineStr">
        <is>
          <t>G|FICO x CHANNEL|where N|ranr_rate|band|6</t>
        </is>
      </c>
    </row>
    <row r="359">
      <c r="A359" t="inlineStr">
        <is>
          <t>G|FICO x CHANNEL|where N|ranr_rate|rate|7</t>
        </is>
      </c>
      <c r="B359" t="n">
        <v>0.1550315661198207</v>
      </c>
      <c r="C359" t="n">
        <v>0.1539214881301053</v>
      </c>
      <c r="D359" t="n">
        <v>0.229985150313889</v>
      </c>
      <c r="E359" t="n">
        <v>0.1804053356286097</v>
      </c>
    </row>
    <row r="360">
      <c r="A360" t="inlineStr">
        <is>
          <t>G|FICO x CHANNEL|where N|ranr_rate|book|7</t>
        </is>
      </c>
      <c r="B360" t="n">
        <v>2.704151647</v>
      </c>
      <c r="C360" t="n">
        <v>2.593143848</v>
      </c>
      <c r="D360" t="n">
        <v>10.199510067</v>
      </c>
      <c r="E360" t="n">
        <v>5.241528598</v>
      </c>
    </row>
    <row r="361">
      <c r="A361" t="inlineStr">
        <is>
          <t>G|FICO x CHANNEL|where N|ranr_rate|band|7</t>
        </is>
      </c>
      <c r="B361" t="n">
        <v>-3.954501469</v>
      </c>
      <c r="C361" t="n">
        <v>-3.7763534</v>
      </c>
      <c r="D361" t="n">
        <v>7.545822174</v>
      </c>
    </row>
    <row r="362">
      <c r="A362" t="inlineStr">
        <is>
          <t>G|FICO x CHANNEL|where N|ranr_rate|rate|8</t>
        </is>
      </c>
      <c r="B362" t="n">
        <v>0.1332692091964859</v>
      </c>
      <c r="C362" t="n">
        <v>0.1222096812820414</v>
      </c>
      <c r="D362" t="n">
        <v>0.1640539804937369</v>
      </c>
      <c r="E362" t="n">
        <v>0.1400760724959788</v>
      </c>
    </row>
    <row r="363">
      <c r="A363" t="inlineStr">
        <is>
          <t>G|FICO x CHANNEL|where N|ranr_rate|book|8</t>
        </is>
      </c>
      <c r="B363" t="n">
        <v>0.527915955</v>
      </c>
      <c r="C363" t="n">
        <v>-0.578036837</v>
      </c>
      <c r="D363" t="n">
        <v>3.606393085</v>
      </c>
      <c r="E363" t="n">
        <v>1.208602285</v>
      </c>
    </row>
    <row r="364">
      <c r="A364" t="inlineStr">
        <is>
          <t>G|FICO x CHANNEL|where N|ranr_rate|band|8</t>
        </is>
      </c>
    </row>
    <row r="365">
      <c r="A365" t="inlineStr">
        <is>
          <t>G|FICO x CHANNEL|where N|ranr_rate|meta</t>
        </is>
      </c>
      <c r="B365" t="inlineStr">
        <is>
          <t>pts</t>
        </is>
      </c>
      <c r="C365" t="n">
        <v>10.597635201</v>
      </c>
      <c r="D365" t="n">
        <v>10</v>
      </c>
      <c r="E365" t="n">
        <v>0.1279900496481481</v>
      </c>
      <c r="F365" t="n">
        <v>65</v>
      </c>
    </row>
    <row r="366">
      <c r="A366" t="inlineStr">
        <is>
          <t>G|FICO x CHANNEL|where N|contribution_rate|rate|1</t>
        </is>
      </c>
      <c r="B366" t="n">
        <v>0.2771626669347637</v>
      </c>
      <c r="C366" t="n">
        <v>0.2784954894956177</v>
      </c>
      <c r="D366" t="n">
        <v>0.2694384484942957</v>
      </c>
      <c r="E366" t="n">
        <v>0.274747721326311</v>
      </c>
    </row>
    <row r="367">
      <c r="A367" t="inlineStr">
        <is>
          <t>G|FICO x CHANNEL|where N|contribution_rate|book|1</t>
        </is>
      </c>
      <c r="B367" t="n">
        <v>10.75702112</v>
      </c>
      <c r="C367" t="n">
        <v>10.890303376</v>
      </c>
      <c r="D367" t="n">
        <v>9.984599276000001</v>
      </c>
      <c r="E367" t="n">
        <v>10.515526559</v>
      </c>
    </row>
    <row r="368">
      <c r="A368" t="inlineStr">
        <is>
          <t>G|FICO x CHANNEL|where N|contribution_rate|band|1</t>
        </is>
      </c>
      <c r="B368" t="n">
        <v>0.354385551</v>
      </c>
      <c r="C368" t="n">
        <v>0.546742527</v>
      </c>
      <c r="D368" t="n">
        <v>-0.838639137</v>
      </c>
    </row>
    <row r="369">
      <c r="A369" t="inlineStr">
        <is>
          <t>G|FICO x CHANNEL|where N|contribution_rate|rate|2</t>
        </is>
      </c>
      <c r="B369" t="n">
        <v>0.1996140291750769</v>
      </c>
      <c r="C369" t="n">
        <v>0.2038036441115468</v>
      </c>
      <c r="D369" t="n">
        <v>0.2271631728963787</v>
      </c>
      <c r="E369" t="n">
        <v>0.210255251417257</v>
      </c>
    </row>
    <row r="370">
      <c r="A370" t="inlineStr">
        <is>
          <t>G|FICO x CHANNEL|where N|contribution_rate|book|2</t>
        </is>
      </c>
      <c r="B370" t="n">
        <v>3.002157344</v>
      </c>
      <c r="C370" t="n">
        <v>3.421118838</v>
      </c>
      <c r="D370" t="n">
        <v>5.757071716</v>
      </c>
      <c r="E370" t="n">
        <v>4.066279568</v>
      </c>
    </row>
    <row r="371">
      <c r="A371" t="inlineStr">
        <is>
          <t>G|FICO x CHANNEL|where N|contribution_rate|band|2</t>
        </is>
      </c>
      <c r="B371" t="n">
        <v>-1.536103101</v>
      </c>
      <c r="C371" t="n">
        <v>-1.010346536</v>
      </c>
      <c r="D371" t="n">
        <v>2.528458662</v>
      </c>
    </row>
    <row r="372">
      <c r="A372" t="inlineStr">
        <is>
          <t>G|FICO x CHANNEL|where N|contribution_rate|rate|3</t>
        </is>
      </c>
      <c r="B372" t="n">
        <v>0.155019870742555</v>
      </c>
      <c r="C372" t="n">
        <v>0.1622895843941019</v>
      </c>
      <c r="D372" t="n">
        <v>0.2185049649011482</v>
      </c>
      <c r="E372" t="n">
        <v>0.1787271338047453</v>
      </c>
    </row>
    <row r="373">
      <c r="A373" t="inlineStr">
        <is>
          <t>G|FICO x CHANNEL|where N|contribution_rate|book|3</t>
        </is>
      </c>
      <c r="B373" t="n">
        <v>-1.457258499</v>
      </c>
      <c r="C373" t="n">
        <v>-0.730287134</v>
      </c>
      <c r="D373" t="n">
        <v>4.891250917</v>
      </c>
      <c r="E373" t="n">
        <v>0.913467807</v>
      </c>
    </row>
    <row r="374">
      <c r="A374" t="inlineStr">
        <is>
          <t>G|FICO x CHANNEL|where N|contribution_rate|band|3</t>
        </is>
      </c>
      <c r="B374" t="n">
        <v>-3.599801804</v>
      </c>
      <c r="C374" t="n">
        <v>-2.424471265</v>
      </c>
      <c r="D374" t="n">
        <v>5.995659986</v>
      </c>
    </row>
    <row r="375">
      <c r="A375" t="inlineStr">
        <is>
          <t>G|FICO x CHANNEL|where N|contribution_rate|rate|4</t>
        </is>
      </c>
      <c r="B375" t="n">
        <v>0.1091426988572596</v>
      </c>
      <c r="C375" t="n">
        <v>0.1094034460955758</v>
      </c>
      <c r="D375" t="n">
        <v>0.1547552499458483</v>
      </c>
      <c r="E375" t="n">
        <v>0.1242172651261385</v>
      </c>
    </row>
    <row r="376">
      <c r="A376" t="inlineStr">
        <is>
          <t>G|FICO x CHANNEL|where N|contribution_rate|book|4</t>
        </is>
      </c>
      <c r="B376" t="n">
        <v>-6.044975688</v>
      </c>
      <c r="C376" t="n">
        <v>-6.018900964</v>
      </c>
      <c r="D376" t="n">
        <v>-1.483720579</v>
      </c>
      <c r="E376" t="n">
        <v>-4.537519061</v>
      </c>
    </row>
    <row r="377">
      <c r="A377" t="inlineStr">
        <is>
          <t>G|FICO x CHANNEL|where N|contribution_rate|band|4</t>
        </is>
      </c>
      <c r="B377" t="n">
        <v>-2.277064945</v>
      </c>
      <c r="C377" t="n">
        <v>-2.222401314</v>
      </c>
      <c r="D377" t="n">
        <v>4.548306112</v>
      </c>
    </row>
    <row r="378">
      <c r="A378" t="inlineStr">
        <is>
          <t>G|FICO x CHANNEL|where N|contribution_rate|rate|5</t>
        </is>
      </c>
      <c r="B378" t="n">
        <v>0.06809025954991622</v>
      </c>
      <c r="C378" t="n">
        <v>0.06780610829003578</v>
      </c>
      <c r="D378" t="n">
        <v>0.06515001414123189</v>
      </c>
      <c r="E378" t="n">
        <v>0.06699444225612218</v>
      </c>
    </row>
    <row r="379">
      <c r="A379" t="inlineStr">
        <is>
          <t>G|FICO x CHANNEL|where N|contribution_rate|book|5</t>
        </is>
      </c>
      <c r="B379" t="n">
        <v>-10.150219619</v>
      </c>
      <c r="C379" t="n">
        <v>-10.178634744</v>
      </c>
      <c r="D379" t="n">
        <v>-10.444244159</v>
      </c>
      <c r="E379" t="n">
        <v>-10.259801348</v>
      </c>
    </row>
    <row r="380">
      <c r="A380" t="inlineStr">
        <is>
          <t>G|FICO x CHANNEL|where N|contribution_rate|band|5</t>
        </is>
      </c>
      <c r="B380" t="n">
        <v>0.161817268</v>
      </c>
      <c r="C380" t="n">
        <v>0.122436886</v>
      </c>
      <c r="D380" t="n">
        <v>-0.279509775</v>
      </c>
    </row>
    <row r="381">
      <c r="A381" t="inlineStr">
        <is>
          <t>G|FICO x CHANNEL|where N|contribution_rate|rate|6</t>
        </is>
      </c>
    </row>
    <row r="382">
      <c r="A382" t="inlineStr">
        <is>
          <t>G|FICO x CHANNEL|where N|contribution_rate|book|6</t>
        </is>
      </c>
    </row>
    <row r="383">
      <c r="A383" t="inlineStr">
        <is>
          <t>G|FICO x CHANNEL|where N|contribution_rate|band|6</t>
        </is>
      </c>
    </row>
    <row r="384">
      <c r="A384" t="inlineStr">
        <is>
          <t>G|FICO x CHANNEL|where N|contribution_rate|rate|7</t>
        </is>
      </c>
      <c r="B384" t="n">
        <v>0.1550315661198207</v>
      </c>
      <c r="C384" t="n">
        <v>0.1818234471004137</v>
      </c>
      <c r="D384" t="n">
        <v>0.229985150313889</v>
      </c>
      <c r="E384" t="n">
        <v>0.1887394430788944</v>
      </c>
    </row>
    <row r="385">
      <c r="A385" t="inlineStr">
        <is>
          <t>G|FICO x CHANNEL|where N|contribution_rate|book|7</t>
        </is>
      </c>
      <c r="B385" t="n">
        <v>-1.456088962</v>
      </c>
      <c r="C385" t="n">
        <v>1.223099137</v>
      </c>
      <c r="D385" t="n">
        <v>6.039269458</v>
      </c>
      <c r="E385" t="n">
        <v>1.914698734</v>
      </c>
    </row>
    <row r="386">
      <c r="A386" t="inlineStr">
        <is>
          <t>G|FICO x CHANNEL|where N|contribution_rate|band|7</t>
        </is>
      </c>
      <c r="B386" t="n">
        <v>-5.253371948</v>
      </c>
      <c r="C386" t="n">
        <v>-0.986157503</v>
      </c>
      <c r="D386" t="n">
        <v>6.277408946</v>
      </c>
    </row>
    <row r="387">
      <c r="A387" t="inlineStr">
        <is>
          <t>G|FICO x CHANNEL|where N|contribution_rate|rate|8</t>
        </is>
      </c>
      <c r="B387" t="n">
        <v>0.159477974501621</v>
      </c>
      <c r="C387" t="n">
        <v>0.1628222874923279</v>
      </c>
      <c r="D387" t="n">
        <v>0.1880298300565874</v>
      </c>
      <c r="E387" t="n">
        <v>0.1703199959681274</v>
      </c>
    </row>
    <row r="388">
      <c r="A388" t="inlineStr">
        <is>
          <t>G|FICO x CHANNEL|where N|contribution_rate|book|8</t>
        </is>
      </c>
      <c r="B388" t="n">
        <v>-1.011448123</v>
      </c>
      <c r="C388" t="n">
        <v>-0.677016824</v>
      </c>
      <c r="D388" t="n">
        <v>1.843737432</v>
      </c>
      <c r="E388" t="n">
        <v>0.072754023</v>
      </c>
    </row>
    <row r="389">
      <c r="A389" t="inlineStr">
        <is>
          <t>G|FICO x CHANNEL|where N|contribution_rate|band|8</t>
        </is>
      </c>
    </row>
    <row r="390">
      <c r="A390" t="inlineStr">
        <is>
          <t>G|FICO x CHANNEL|where N|contribution_rate|meta</t>
        </is>
      </c>
      <c r="B390" t="inlineStr">
        <is>
          <t>pts</t>
        </is>
      </c>
      <c r="C390" t="n">
        <v>10.890303376</v>
      </c>
      <c r="D390" t="n">
        <v>10</v>
      </c>
      <c r="E390" t="n">
        <v>0.1695924557349815</v>
      </c>
      <c r="F390" t="n">
        <v>65</v>
      </c>
    </row>
    <row r="391">
      <c r="A391" t="inlineStr">
        <is>
          <t>G|FICO x CHANNEL|where N|loan_size|rate|1</t>
        </is>
      </c>
      <c r="B391" t="n">
        <v>31796.94051660517</v>
      </c>
      <c r="C391" t="n">
        <v>32976.96220930233</v>
      </c>
      <c r="D391" t="n">
        <v>32541.72806557377</v>
      </c>
      <c r="E391" t="n">
        <v>32434.35754196643</v>
      </c>
    </row>
    <row r="392">
      <c r="A392" t="inlineStr">
        <is>
          <t>G|FICO x CHANNEL|where N|loan_size|median|1</t>
        </is>
      </c>
      <c r="B392" t="n">
        <v>30132.9</v>
      </c>
      <c r="C392" t="n">
        <v>32234.175</v>
      </c>
      <c r="D392" t="n">
        <v>33158.86</v>
      </c>
      <c r="E392" t="n">
        <v>31951.38</v>
      </c>
    </row>
    <row r="393">
      <c r="A393" t="inlineStr">
        <is>
          <t>G|FICO x CHANNEL|where N|loan_size|book|1</t>
        </is>
      </c>
      <c r="B393" t="n">
        <v>0.985566934296019</v>
      </c>
      <c r="C393" t="n">
        <v>1.022142477199809</v>
      </c>
      <c r="D393" t="n">
        <v>1.008652110712772</v>
      </c>
      <c r="E393" t="n">
        <v>1.005324091222023</v>
      </c>
    </row>
    <row r="394">
      <c r="A394" t="inlineStr">
        <is>
          <t>G|FICO x CHANNEL|where N|loan_size|band|1</t>
        </is>
      </c>
      <c r="B394" t="n">
        <v>0.9711605474612927</v>
      </c>
      <c r="C394" t="n">
        <v>1.024405536712663</v>
      </c>
      <c r="D394" t="n">
        <v>1.005229014588342</v>
      </c>
    </row>
    <row r="395">
      <c r="A395" t="inlineStr">
        <is>
          <t>G|FICO x CHANNEL|where N|loan_size|rate|2</t>
        </is>
      </c>
      <c r="B395" t="n">
        <v>32383.70325301205</v>
      </c>
      <c r="C395" t="n">
        <v>33050.91268292683</v>
      </c>
      <c r="D395" t="n">
        <v>32321.0036802974</v>
      </c>
      <c r="E395" t="n">
        <v>32600.62613664596</v>
      </c>
    </row>
    <row r="396">
      <c r="A396" t="inlineStr">
        <is>
          <t>G|FICO x CHANNEL|where N|loan_size|median|2</t>
        </is>
      </c>
      <c r="B396" t="n">
        <v>33060.93</v>
      </c>
      <c r="C396" t="n">
        <v>34004.87</v>
      </c>
      <c r="D396" t="n">
        <v>31585.87</v>
      </c>
      <c r="E396" t="n">
        <v>33094.18</v>
      </c>
    </row>
    <row r="397">
      <c r="A397" t="inlineStr">
        <is>
          <t>G|FICO x CHANNEL|where N|loan_size|book|2</t>
        </is>
      </c>
      <c r="B397" t="n">
        <v>1.003754028459298</v>
      </c>
      <c r="C397" t="n">
        <v>1.024434620418486</v>
      </c>
      <c r="D397" t="n">
        <v>1.001810614261011</v>
      </c>
      <c r="E397" t="n">
        <v>1.01047769488532</v>
      </c>
    </row>
    <row r="398">
      <c r="A398" t="inlineStr">
        <is>
          <t>G|FICO x CHANNEL|where N|loan_size|band|2</t>
        </is>
      </c>
      <c r="B398" t="n">
        <v>0.9903947586910431</v>
      </c>
      <c r="C398" t="n">
        <v>1.021630445380186</v>
      </c>
      <c r="D398" t="n">
        <v>0.9871733944143825</v>
      </c>
    </row>
    <row r="399">
      <c r="A399" t="inlineStr">
        <is>
          <t>G|FICO x CHANNEL|where N|loan_size|rate|3</t>
        </is>
      </c>
      <c r="B399" t="n">
        <v>33035.83674999999</v>
      </c>
      <c r="C399" t="n">
        <v>32192.17354243542</v>
      </c>
      <c r="D399" t="n">
        <v>30700.43932659933</v>
      </c>
      <c r="E399" t="n">
        <v>31948.28278301887</v>
      </c>
    </row>
    <row r="400">
      <c r="A400" t="inlineStr">
        <is>
          <t>G|FICO x CHANNEL|where N|loan_size|median|3</t>
        </is>
      </c>
      <c r="B400" t="n">
        <v>33818.765</v>
      </c>
      <c r="C400" t="n">
        <v>31941.63</v>
      </c>
      <c r="D400" t="n">
        <v>28911.33</v>
      </c>
      <c r="E400" t="n">
        <v>31000.41</v>
      </c>
    </row>
    <row r="401">
      <c r="A401" t="inlineStr">
        <is>
          <t>G|FICO x CHANNEL|where N|loan_size|book|3</t>
        </is>
      </c>
      <c r="B401" t="n">
        <v>1.023967332033033</v>
      </c>
      <c r="C401" t="n">
        <v>0.997817440013594</v>
      </c>
      <c r="D401" t="n">
        <v>0.9515801639109362</v>
      </c>
      <c r="E401" t="n">
        <v>0.9902578866680205</v>
      </c>
    </row>
    <row r="402">
      <c r="A402" t="inlineStr">
        <is>
          <t>G|FICO x CHANNEL|where N|loan_size|band|3</t>
        </is>
      </c>
      <c r="B402" t="n">
        <v>1.051689278304401</v>
      </c>
      <c r="C402" t="n">
        <v>1.01125972532082</v>
      </c>
      <c r="D402" t="n">
        <v>0.941128041633835</v>
      </c>
    </row>
    <row r="403">
      <c r="A403" t="inlineStr">
        <is>
          <t>G|FICO x CHANNEL|where N|loan_size|rate|4</t>
        </is>
      </c>
      <c r="B403" t="n">
        <v>30485.35954397394</v>
      </c>
      <c r="C403" t="n">
        <v>31593.95852233677</v>
      </c>
      <c r="D403" t="n">
        <v>31679.06468531469</v>
      </c>
      <c r="E403" t="n">
        <v>31236.49299773755</v>
      </c>
    </row>
    <row r="404">
      <c r="A404" t="inlineStr">
        <is>
          <t>G|FICO x CHANNEL|where N|loan_size|median|4</t>
        </is>
      </c>
      <c r="B404" t="n">
        <v>29347.76</v>
      </c>
      <c r="C404" t="n">
        <v>30925.17</v>
      </c>
      <c r="D404" t="n">
        <v>30466.17</v>
      </c>
      <c r="E404" t="n">
        <v>30298.59</v>
      </c>
    </row>
    <row r="405">
      <c r="A405" t="inlineStr">
        <is>
          <t>G|FICO x CHANNEL|where N|loan_size|book|4</t>
        </is>
      </c>
      <c r="B405" t="n">
        <v>0.944913625604194</v>
      </c>
      <c r="C405" t="n">
        <v>0.9792753748390981</v>
      </c>
      <c r="D405" t="n">
        <v>0.9819132959338034</v>
      </c>
      <c r="E405" t="n">
        <v>0.9681954974838606</v>
      </c>
    </row>
    <row r="406">
      <c r="A406" t="inlineStr">
        <is>
          <t>G|FICO x CHANNEL|where N|loan_size|band|4</t>
        </is>
      </c>
      <c r="B406" t="n">
        <v>0.9636244114602963</v>
      </c>
      <c r="C406" t="n">
        <v>1.017155968608679</v>
      </c>
      <c r="D406" t="n">
        <v>1.021087511004702</v>
      </c>
    </row>
    <row r="407">
      <c r="A407" t="inlineStr">
        <is>
          <t>G|FICO x CHANNEL|where N|loan_size|rate|5</t>
        </is>
      </c>
      <c r="B407" t="n">
        <v>32271.98100358423</v>
      </c>
      <c r="C407" t="n">
        <v>31444.34795986622</v>
      </c>
      <c r="D407" t="n">
        <v>32489.15284246576</v>
      </c>
      <c r="E407" t="n">
        <v>32060.43145977012</v>
      </c>
    </row>
    <row r="408">
      <c r="A408" t="inlineStr">
        <is>
          <t>G|FICO x CHANNEL|where N|loan_size|median|5</t>
        </is>
      </c>
      <c r="B408" t="n">
        <v>31469.9</v>
      </c>
      <c r="C408" t="n">
        <v>30854.9</v>
      </c>
      <c r="D408" t="n">
        <v>32291.67</v>
      </c>
      <c r="E408" t="n">
        <v>31425.52</v>
      </c>
    </row>
    <row r="409">
      <c r="A409" t="inlineStr">
        <is>
          <t>G|FICO x CHANNEL|where N|loan_size|book|5</t>
        </is>
      </c>
      <c r="B409" t="n">
        <v>1.000291124385123</v>
      </c>
      <c r="C409" t="n">
        <v>0.9746380977615943</v>
      </c>
      <c r="D409" t="n">
        <v>1.00702250734161</v>
      </c>
      <c r="E409" t="n">
        <v>0.9937340081355359</v>
      </c>
    </row>
    <row r="410">
      <c r="A410" t="inlineStr">
        <is>
          <t>G|FICO x CHANNEL|where N|loan_size|band|5</t>
        </is>
      </c>
      <c r="B410" t="n">
        <v>1.009743824325682</v>
      </c>
      <c r="C410" t="n">
        <v>0.971012876714035</v>
      </c>
      <c r="D410" t="n">
        <v>1.020264740641768</v>
      </c>
    </row>
    <row r="411">
      <c r="A411" t="inlineStr">
        <is>
          <t>G|FICO x CHANNEL|where N|loan_size|rate|6</t>
        </is>
      </c>
    </row>
    <row r="412">
      <c r="A412" t="inlineStr">
        <is>
          <t>G|FICO x CHANNEL|where N|loan_size|median|6</t>
        </is>
      </c>
    </row>
    <row r="413">
      <c r="A413" t="inlineStr">
        <is>
          <t>G|FICO x CHANNEL|where N|loan_size|book|6</t>
        </is>
      </c>
    </row>
    <row r="414">
      <c r="A414" t="inlineStr">
        <is>
          <t>G|FICO x CHANNEL|where N|loan_size|band|6</t>
        </is>
      </c>
    </row>
    <row r="415">
      <c r="A415" t="inlineStr">
        <is>
          <t>G|FICO x CHANNEL|where N|loan_size|rate|7</t>
        </is>
      </c>
      <c r="B415" t="n">
        <v>35300.61517241379</v>
      </c>
      <c r="C415" t="n">
        <v>29423.23379310345</v>
      </c>
      <c r="D415" t="n">
        <v>32656.807</v>
      </c>
      <c r="E415" t="n">
        <v>32462.45261363636</v>
      </c>
    </row>
    <row r="416">
      <c r="A416" t="inlineStr">
        <is>
          <t>G|FICO x CHANNEL|where N|loan_size|median|7</t>
        </is>
      </c>
      <c r="B416" t="n">
        <v>33165.97</v>
      </c>
      <c r="C416" t="n">
        <v>27433.47</v>
      </c>
      <c r="D416" t="n">
        <v>33919.78</v>
      </c>
      <c r="E416" t="n">
        <v>31235.955</v>
      </c>
    </row>
    <row r="417">
      <c r="A417" t="inlineStr">
        <is>
          <t>G|FICO x CHANNEL|where N|loan_size|book|7</t>
        </is>
      </c>
      <c r="B417" t="n">
        <v>1.094165618106264</v>
      </c>
      <c r="C417" t="n">
        <v>0.9119923444018209</v>
      </c>
      <c r="D417" t="n">
        <v>1.012219057430343</v>
      </c>
      <c r="E417" t="n">
        <v>1.006194916314145</v>
      </c>
    </row>
    <row r="418">
      <c r="A418" t="inlineStr">
        <is>
          <t>G|FICO x CHANNEL|where N|loan_size|band|7</t>
        </is>
      </c>
      <c r="B418" t="n">
        <v>1.136258212883622</v>
      </c>
      <c r="C418" t="n">
        <v>0.866502788962068</v>
      </c>
      <c r="D418" t="n">
        <v>1.009112020436191</v>
      </c>
    </row>
    <row r="419">
      <c r="A419" t="inlineStr">
        <is>
          <t>G|FICO x CHANNEL|where N|loan_size|rate|8</t>
        </is>
      </c>
      <c r="B419" t="n">
        <v>32026.25667844523</v>
      </c>
      <c r="C419" t="n">
        <v>32171.93238327526</v>
      </c>
      <c r="D419" t="n">
        <v>31956.96881000676</v>
      </c>
      <c r="E419" t="n">
        <v>32050.87388311388</v>
      </c>
    </row>
    <row r="420">
      <c r="A420" t="inlineStr">
        <is>
          <t>G|FICO x CHANNEL|where N|loan_size|median|8</t>
        </is>
      </c>
      <c r="B420" t="n">
        <v>31141.73</v>
      </c>
      <c r="C420" t="n">
        <v>31928.12</v>
      </c>
      <c r="D420" t="n">
        <v>31263.76</v>
      </c>
      <c r="E420" t="n">
        <v>31561.19</v>
      </c>
    </row>
    <row r="421">
      <c r="A421" t="inlineStr">
        <is>
          <t>G|FICO x CHANNEL|where N|loan_size|book|8</t>
        </is>
      </c>
      <c r="B421" t="n">
        <v>0.9926747384726886</v>
      </c>
      <c r="C421" t="n">
        <v>0.9971900520682141</v>
      </c>
      <c r="D421" t="n">
        <v>0.9905271157463715</v>
      </c>
      <c r="E421" t="n">
        <v>0.9934377648061041</v>
      </c>
    </row>
    <row r="422">
      <c r="A422" t="inlineStr">
        <is>
          <t>G|FICO x CHANNEL|where N|loan_size|band|8</t>
        </is>
      </c>
    </row>
    <row r="423">
      <c r="A423" t="inlineStr">
        <is>
          <t>G|FICO x CHANNEL|where N|loan_size|meta</t>
        </is>
      </c>
      <c r="B423" t="inlineStr">
        <is>
          <t>size</t>
        </is>
      </c>
      <c r="C423" t="n">
        <v>1</v>
      </c>
      <c r="E423" t="n">
        <v>32262.58857732217</v>
      </c>
      <c r="F423" t="n">
        <v>65</v>
      </c>
    </row>
    <row r="424">
      <c r="A424" t="inlineStr">
        <is>
          <t>G|FICO x CHANNEL|where Y|cols</t>
        </is>
      </c>
      <c r="B424" t="inlineStr">
        <is>
          <t>Branch</t>
        </is>
      </c>
      <c r="C424" t="inlineStr">
        <is>
          <t>Broker</t>
        </is>
      </c>
      <c r="D424" t="inlineStr">
        <is>
          <t>Online</t>
        </is>
      </c>
      <c r="E424" t="inlineStr">
        <is>
          <t>All</t>
        </is>
      </c>
    </row>
    <row r="425">
      <c r="A425" t="inlineStr">
        <is>
          <t>G|FICO x CHANNEL|where Y|heads</t>
        </is>
      </c>
      <c r="B425" t="inlineStr">
        <is>
          <t>Branch</t>
        </is>
      </c>
      <c r="C425" t="inlineStr">
        <is>
          <t>Broker</t>
        </is>
      </c>
      <c r="D425" t="inlineStr">
        <is>
          <t>Online</t>
        </is>
      </c>
      <c r="E425" t="inlineStr">
        <is>
          <t>All</t>
        </is>
      </c>
    </row>
    <row r="426">
      <c r="A426" t="inlineStr">
        <is>
          <t>G|FICO x CHANNEL|where Y|segs</t>
        </is>
      </c>
    </row>
    <row r="427">
      <c r="A427" t="inlineStr">
        <is>
          <t>G|FICO x CHANNEL|where Y|rows</t>
        </is>
      </c>
      <c r="B427" t="inlineStr">
        <is>
          <t>496 - 653</t>
        </is>
      </c>
      <c r="C427" t="inlineStr">
        <is>
          <t>654 - 685</t>
        </is>
      </c>
      <c r="D427" t="inlineStr">
        <is>
          <t>686 - 711</t>
        </is>
      </c>
      <c r="E427" t="inlineStr">
        <is>
          <t>712 - 745</t>
        </is>
      </c>
      <c r="F427" t="inlineStr">
        <is>
          <t>746 - 921</t>
        </is>
      </c>
      <c r="G427" t="inlineStr">
        <is>
          <t>(blank)</t>
        </is>
      </c>
      <c r="H427" t="inlineStr">
        <is>
          <t>(marked missing)</t>
        </is>
      </c>
      <c r="I427" t="inlineStr">
        <is>
          <t>All</t>
        </is>
      </c>
    </row>
    <row r="428">
      <c r="A428" t="inlineStr">
        <is>
          <t>G|FICO x CHANNEL|where Y|names</t>
        </is>
      </c>
      <c r="B428" t="inlineStr">
        <is>
          <t>FICO</t>
        </is>
      </c>
      <c r="C428" t="inlineStr">
        <is>
          <t>CHANNEL</t>
        </is>
      </c>
    </row>
    <row r="429">
      <c r="A429" t="inlineStr">
        <is>
          <t>G|FICO x CHANNEL|where Y|total</t>
        </is>
      </c>
      <c r="B429" t="n">
        <v>3671</v>
      </c>
    </row>
    <row r="430">
      <c r="A430" t="inlineStr">
        <is>
          <t>G|FICO x CHANNEL|where Y|loans|1</t>
        </is>
      </c>
      <c r="B430" t="n">
        <v>231</v>
      </c>
      <c r="C430" t="n">
        <v>265</v>
      </c>
      <c r="D430" t="n">
        <v>226</v>
      </c>
      <c r="E430" t="n">
        <v>722</v>
      </c>
    </row>
    <row r="431">
      <c r="A431" t="inlineStr">
        <is>
          <t>G|FICO x CHANNEL|where Y|loans|2</t>
        </is>
      </c>
      <c r="B431" t="n">
        <v>254</v>
      </c>
      <c r="C431" t="n">
        <v>244</v>
      </c>
      <c r="D431" t="n">
        <v>236</v>
      </c>
      <c r="E431" t="n">
        <v>734</v>
      </c>
    </row>
    <row r="432">
      <c r="A432" t="inlineStr">
        <is>
          <t>G|FICO x CHANNEL|where Y|loans|3</t>
        </is>
      </c>
      <c r="B432" t="n">
        <v>235</v>
      </c>
      <c r="C432" t="n">
        <v>230</v>
      </c>
      <c r="D432" t="n">
        <v>249</v>
      </c>
      <c r="E432" t="n">
        <v>714</v>
      </c>
    </row>
    <row r="433">
      <c r="A433" t="inlineStr">
        <is>
          <t>G|FICO x CHANNEL|where Y|loans|4</t>
        </is>
      </c>
      <c r="B433" t="n">
        <v>231</v>
      </c>
      <c r="C433" t="n">
        <v>218</v>
      </c>
      <c r="D433" t="n">
        <v>278</v>
      </c>
      <c r="E433" t="n">
        <v>727</v>
      </c>
    </row>
    <row r="434">
      <c r="A434" t="inlineStr">
        <is>
          <t>G|FICO x CHANNEL|where Y|loans|5</t>
        </is>
      </c>
      <c r="B434" t="n">
        <v>239</v>
      </c>
      <c r="C434" t="n">
        <v>237</v>
      </c>
      <c r="D434" t="n">
        <v>225</v>
      </c>
      <c r="E434" t="n">
        <v>701</v>
      </c>
    </row>
    <row r="435">
      <c r="A435" t="inlineStr">
        <is>
          <t>G|FICO x CHANNEL|where Y|loans|6</t>
        </is>
      </c>
      <c r="C435" t="n">
        <v>1</v>
      </c>
      <c r="E435" t="n">
        <v>1</v>
      </c>
    </row>
    <row r="436">
      <c r="A436" t="inlineStr">
        <is>
          <t>G|FICO x CHANNEL|where Y|loans|7</t>
        </is>
      </c>
      <c r="B436" t="n">
        <v>22</v>
      </c>
      <c r="C436" t="n">
        <v>25</v>
      </c>
      <c r="D436" t="n">
        <v>25</v>
      </c>
      <c r="E436" t="n">
        <v>72</v>
      </c>
    </row>
    <row r="437">
      <c r="A437" t="inlineStr">
        <is>
          <t>G|FICO x CHANNEL|where Y|loans|8</t>
        </is>
      </c>
      <c r="B437" t="n">
        <v>1212</v>
      </c>
      <c r="C437" t="n">
        <v>1220</v>
      </c>
      <c r="D437" t="n">
        <v>1239</v>
      </c>
      <c r="E437" t="n">
        <v>3671</v>
      </c>
    </row>
    <row r="438">
      <c r="A438" t="inlineStr">
        <is>
          <t>G|FICO x CHANNEL|where Y|outcome_loans|rate|1</t>
        </is>
      </c>
      <c r="B438" t="n">
        <v>0.1212121212121212</v>
      </c>
      <c r="C438" t="n">
        <v>0.2943396226415094</v>
      </c>
      <c r="D438" t="n">
        <v>0.1415929203539823</v>
      </c>
      <c r="E438" t="n">
        <v>0.1911357340720222</v>
      </c>
    </row>
    <row r="439">
      <c r="A439" t="inlineStr">
        <is>
          <t>G|FICO x CHANNEL|where Y|outcome_loans|book|1</t>
        </is>
      </c>
      <c r="B439" t="n">
        <v>1.566358251334019</v>
      </c>
      <c r="C439" t="n">
        <v>3.803590697107325</v>
      </c>
      <c r="D439" t="n">
        <v>1.829728222797261</v>
      </c>
      <c r="E439" t="n">
        <v>2.469943032055097</v>
      </c>
    </row>
    <row r="440">
      <c r="A440" t="inlineStr">
        <is>
          <t>G|FICO x CHANNEL|where Y|outcome_loans|band|1</t>
        </is>
      </c>
      <c r="B440" t="n">
        <v>0.5410468319559228</v>
      </c>
      <c r="C440" t="n">
        <v>2.241886792452831</v>
      </c>
      <c r="D440" t="n">
        <v>0.6625480046752379</v>
      </c>
    </row>
    <row r="441">
      <c r="A441" t="inlineStr">
        <is>
          <t>G|FICO x CHANNEL|where Y|outcome_loans|rate|2</t>
        </is>
      </c>
      <c r="B441" t="n">
        <v>0.1141732283464567</v>
      </c>
      <c r="C441" t="n">
        <v>0.1024590163934426</v>
      </c>
      <c r="D441" t="n">
        <v>0.1228813559322034</v>
      </c>
      <c r="E441" t="n">
        <v>0.1130790190735695</v>
      </c>
    </row>
    <row r="442">
      <c r="A442" t="inlineStr">
        <is>
          <t>G|FICO x CHANNEL|where Y|outcome_loans|book|2</t>
        </is>
      </c>
      <c r="B442" t="n">
        <v>1.475398470990803</v>
      </c>
      <c r="C442" t="n">
        <v>1.32402208744935</v>
      </c>
      <c r="D442" t="n">
        <v>1.587928862846034</v>
      </c>
      <c r="E442" t="n">
        <v>1.4612586002738</v>
      </c>
    </row>
    <row r="443">
      <c r="A443" t="inlineStr">
        <is>
          <t>G|FICO x CHANNEL|where Y|outcome_loans|band|2</t>
        </is>
      </c>
      <c r="B443" t="n">
        <v>1.014873140857393</v>
      </c>
      <c r="C443" t="n">
        <v>0.8656020350480498</v>
      </c>
      <c r="D443" t="n">
        <v>1.133239171374765</v>
      </c>
    </row>
    <row r="444">
      <c r="A444" t="inlineStr">
        <is>
          <t>G|FICO x CHANNEL|where Y|outcome_loans|rate|3</t>
        </is>
      </c>
      <c r="B444" t="n">
        <v>0.04680851063829787</v>
      </c>
      <c r="C444" t="n">
        <v>0.06521739130434782</v>
      </c>
      <c r="D444" t="n">
        <v>0.1044176706827309</v>
      </c>
      <c r="E444" t="n">
        <v>0.07282913165266107</v>
      </c>
    </row>
    <row r="445">
      <c r="A445" t="inlineStr">
        <is>
          <t>G|FICO x CHANNEL|where Y|outcome_loans|book|3</t>
        </is>
      </c>
      <c r="B445" t="n">
        <v>0.604880899185371</v>
      </c>
      <c r="C445" t="n">
        <v>0.8427688417503687</v>
      </c>
      <c r="D445" t="n">
        <v>1.349332710486534</v>
      </c>
      <c r="E445" t="n">
        <v>0.9411312182385071</v>
      </c>
    </row>
    <row r="446">
      <c r="A446" t="inlineStr">
        <is>
          <t>G|FICO x CHANNEL|where Y|outcome_loans|band|3</t>
        </is>
      </c>
      <c r="B446" t="n">
        <v>0.5468604047742606</v>
      </c>
      <c r="C446" t="n">
        <v>0.8531139835487662</v>
      </c>
      <c r="D446" t="n">
        <v>1.867469879518072</v>
      </c>
    </row>
    <row r="447">
      <c r="A447" t="inlineStr">
        <is>
          <t>G|FICO x CHANNEL|where Y|outcome_loans|rate|4</t>
        </is>
      </c>
      <c r="B447" t="n">
        <v>0.05194805194805195</v>
      </c>
      <c r="C447" t="n">
        <v>0.03211009174311927</v>
      </c>
      <c r="D447" t="n">
        <v>0.118705035971223</v>
      </c>
      <c r="E447" t="n">
        <v>0.07152682255845942</v>
      </c>
    </row>
    <row r="448">
      <c r="A448" t="inlineStr">
        <is>
          <t>G|FICO x CHANNEL|where Y|outcome_loans|book|4</t>
        </is>
      </c>
      <c r="B448" t="n">
        <v>0.6712963934288652</v>
      </c>
      <c r="D448" t="n">
        <v>1.53396055368952</v>
      </c>
      <c r="E448" t="n">
        <v>0.9243021868257139</v>
      </c>
    </row>
    <row r="449">
      <c r="A449" t="inlineStr">
        <is>
          <t>G|FICO x CHANNEL|where Y|outcome_loans|band|4</t>
        </is>
      </c>
      <c r="B449" t="n">
        <v>0.6441558441558443</v>
      </c>
      <c r="D449" t="n">
        <v>2.805187429004165</v>
      </c>
    </row>
    <row r="450">
      <c r="A450" t="inlineStr">
        <is>
          <t>G|FICO x CHANNEL|where Y|outcome_loans|rate|5</t>
        </is>
      </c>
      <c r="B450" t="n">
        <v>0.05857740585774059</v>
      </c>
      <c r="C450" t="n">
        <v>0.05063291139240506</v>
      </c>
      <c r="D450" t="n">
        <v>0.04888888888888889</v>
      </c>
      <c r="E450" t="n">
        <v>0.05278174037089872</v>
      </c>
    </row>
    <row r="451">
      <c r="A451" t="inlineStr">
        <is>
          <t>G|FICO x CHANNEL|where Y|outcome_loans|book|5</t>
        </is>
      </c>
      <c r="B451" t="n">
        <v>0.7569639248078626</v>
      </c>
      <c r="C451" t="n">
        <v>0.6543015480256027</v>
      </c>
      <c r="D451" t="n">
        <v>0.6317644947047208</v>
      </c>
      <c r="E451" t="n">
        <v>0.6820696950352485</v>
      </c>
    </row>
    <row r="452">
      <c r="A452" t="inlineStr">
        <is>
          <t>G|FICO x CHANNEL|where Y|outcome_loans|band|5</t>
        </is>
      </c>
      <c r="B452" t="n">
        <v>1.176641804620702</v>
      </c>
      <c r="C452" t="n">
        <v>0.9397468354430381</v>
      </c>
      <c r="D452" t="n">
        <v>0.8950427350427351</v>
      </c>
    </row>
    <row r="453">
      <c r="A453" t="inlineStr">
        <is>
          <t>G|FICO x CHANNEL|where Y|outcome_loans|rate|6</t>
        </is>
      </c>
      <c r="C453" t="n">
        <v>0</v>
      </c>
      <c r="E453" t="n">
        <v>0</v>
      </c>
    </row>
    <row r="454">
      <c r="A454" t="inlineStr">
        <is>
          <t>G|FICO x CHANNEL|where Y|outcome_loans|book|6</t>
        </is>
      </c>
    </row>
    <row r="455">
      <c r="A455" t="inlineStr">
        <is>
          <t>G|FICO x CHANNEL|where Y|outcome_loans|band|6</t>
        </is>
      </c>
    </row>
    <row r="456">
      <c r="A456" t="inlineStr">
        <is>
          <t>G|FICO x CHANNEL|where Y|outcome_loans|rate|7</t>
        </is>
      </c>
      <c r="B456" t="n">
        <v>0.04545454545454546</v>
      </c>
      <c r="C456" t="n">
        <v>0.2</v>
      </c>
      <c r="D456" t="n">
        <v>0.08</v>
      </c>
      <c r="E456" t="n">
        <v>0.1111111111111111</v>
      </c>
    </row>
    <row r="457">
      <c r="A457" t="inlineStr">
        <is>
          <t>G|FICO x CHANNEL|where Y|outcome_loans|book|7</t>
        </is>
      </c>
    </row>
    <row r="458">
      <c r="A458" t="inlineStr">
        <is>
          <t>G|FICO x CHANNEL|where Y|outcome_loans|band|7</t>
        </is>
      </c>
    </row>
    <row r="459">
      <c r="A459" t="inlineStr">
        <is>
          <t>G|FICO x CHANNEL|where Y|outcome_loans|rate|8</t>
        </is>
      </c>
      <c r="B459" t="n">
        <v>0.07838283828382839</v>
      </c>
      <c r="C459" t="n">
        <v>0.1163934426229508</v>
      </c>
      <c r="D459" t="n">
        <v>0.1073446327683616</v>
      </c>
      <c r="E459" t="n">
        <v>0.1007899754835195</v>
      </c>
    </row>
    <row r="460">
      <c r="A460" t="inlineStr">
        <is>
          <t>G|FICO x CHANNEL|where Y|outcome_loans|book|8</t>
        </is>
      </c>
      <c r="B460" t="n">
        <v>1.01289874544805</v>
      </c>
      <c r="C460" t="n">
        <v>1.504089091342461</v>
      </c>
      <c r="D460" t="n">
        <v>1.387156248003432</v>
      </c>
      <c r="E460" t="n">
        <v>1.302453980440504</v>
      </c>
    </row>
    <row r="461">
      <c r="A461" t="inlineStr">
        <is>
          <t>G|FICO x CHANNEL|where Y|outcome_loans|band|8</t>
        </is>
      </c>
    </row>
    <row r="462">
      <c r="A462" t="inlineStr">
        <is>
          <t>G|FICO x CHANNEL|where Y|outcome_loans|meta</t>
        </is>
      </c>
      <c r="B462" t="inlineStr">
        <is>
          <t>x</t>
        </is>
      </c>
      <c r="C462" t="n">
        <v>3.803590697107325</v>
      </c>
      <c r="D462" t="n">
        <v>10</v>
      </c>
      <c r="E462" t="n">
        <v>0.07738467308413552</v>
      </c>
      <c r="F462" t="n">
        <v>65</v>
      </c>
    </row>
    <row r="463">
      <c r="A463" t="inlineStr">
        <is>
          <t>G|FICO x CHANNEL|where Y|outcome_booked|rate|1</t>
        </is>
      </c>
      <c r="B463" t="n">
        <v>0.1297037813636696</v>
      </c>
      <c r="C463" t="n">
        <v>0.3016834293054531</v>
      </c>
      <c r="D463" t="n">
        <v>0.1453393309736574</v>
      </c>
      <c r="E463" t="n">
        <v>0.1965399453932198</v>
      </c>
    </row>
    <row r="464">
      <c r="A464" t="inlineStr">
        <is>
          <t>G|FICO x CHANNEL|where Y|outcome_booked|book|1</t>
        </is>
      </c>
      <c r="B464" t="n">
        <v>1.733338801405464</v>
      </c>
      <c r="C464" t="n">
        <v>4.031644939402481</v>
      </c>
      <c r="D464" t="n">
        <v>1.94228957011361</v>
      </c>
      <c r="E464" t="n">
        <v>2.626525686409955</v>
      </c>
    </row>
    <row r="465">
      <c r="A465" t="inlineStr">
        <is>
          <t>G|FICO x CHANNEL|where Y|outcome_booked|band|1</t>
        </is>
      </c>
      <c r="B465" t="n">
        <v>0.5667623490551597</v>
      </c>
      <c r="C465" t="n">
        <v>2.196028871708946</v>
      </c>
      <c r="D465" t="n">
        <v>0.6606939628098145</v>
      </c>
    </row>
    <row r="466">
      <c r="A466" t="inlineStr">
        <is>
          <t>G|FICO x CHANNEL|where Y|outcome_booked|rate|2</t>
        </is>
      </c>
      <c r="B466" t="n">
        <v>0.1168027201907751</v>
      </c>
      <c r="C466" t="n">
        <v>0.08796899397226021</v>
      </c>
      <c r="D466" t="n">
        <v>0.1304315222490313</v>
      </c>
      <c r="E466" t="n">
        <v>0.1112455416540537</v>
      </c>
    </row>
    <row r="467">
      <c r="A467" t="inlineStr">
        <is>
          <t>G|FICO x CHANNEL|where Y|outcome_booked|book|2</t>
        </is>
      </c>
      <c r="B467" t="n">
        <v>1.560931261122702</v>
      </c>
      <c r="C467" t="n">
        <v>1.175602353066263</v>
      </c>
      <c r="D467" t="n">
        <v>1.743064204170938</v>
      </c>
      <c r="E467" t="n">
        <v>1.486666092576621</v>
      </c>
    </row>
    <row r="468">
      <c r="A468" t="inlineStr">
        <is>
          <t>G|FICO x CHANNEL|where Y|outcome_booked|band|2</t>
        </is>
      </c>
      <c r="B468" t="n">
        <v>1.079121391492311</v>
      </c>
      <c r="C468" t="n">
        <v>0.7140873403971778</v>
      </c>
      <c r="D468" t="n">
        <v>1.270821711137292</v>
      </c>
    </row>
    <row r="469">
      <c r="A469" t="inlineStr">
        <is>
          <t>G|FICO x CHANNEL|where Y|outcome_booked|rate|3</t>
        </is>
      </c>
      <c r="B469" t="n">
        <v>0.04311993893646963</v>
      </c>
      <c r="C469" t="n">
        <v>0.05913224439241509</v>
      </c>
      <c r="D469" t="n">
        <v>0.1124322659900719</v>
      </c>
      <c r="E469" t="n">
        <v>0.07308318935570284</v>
      </c>
    </row>
    <row r="470">
      <c r="A470" t="inlineStr">
        <is>
          <t>G|FICO x CHANNEL|where Y|outcome_booked|book|3</t>
        </is>
      </c>
      <c r="B470" t="n">
        <v>0.5762473729524774</v>
      </c>
      <c r="C470" t="n">
        <v>0.7902330413342388</v>
      </c>
      <c r="D470" t="n">
        <v>1.502525270439949</v>
      </c>
      <c r="E470" t="n">
        <v>0.9766710462011666</v>
      </c>
    </row>
    <row r="471">
      <c r="A471" t="inlineStr">
        <is>
          <t>G|FICO x CHANNEL|where Y|outcome_booked|band|3</t>
        </is>
      </c>
      <c r="B471" t="n">
        <v>0.4956002868302926</v>
      </c>
      <c r="C471" t="n">
        <v>0.7408005346875587</v>
      </c>
      <c r="D471" t="n">
        <v>2.194590111579341</v>
      </c>
    </row>
    <row r="472">
      <c r="A472" t="inlineStr">
        <is>
          <t>G|FICO x CHANNEL|where Y|outcome_booked|rate|4</t>
        </is>
      </c>
      <c r="B472" t="n">
        <v>0.05784973680639313</v>
      </c>
      <c r="C472" t="n">
        <v>0.03775659872129783</v>
      </c>
      <c r="D472" t="n">
        <v>0.1104764265748834</v>
      </c>
      <c r="E472" t="n">
        <v>0.0726797695979793</v>
      </c>
    </row>
    <row r="473">
      <c r="A473" t="inlineStr">
        <is>
          <t>G|FICO x CHANNEL|where Y|outcome_booked|book|4</t>
        </is>
      </c>
      <c r="B473" t="n">
        <v>0.7730938327577693</v>
      </c>
      <c r="D473" t="n">
        <v>1.476387772272805</v>
      </c>
      <c r="E473" t="n">
        <v>0.9712798146428887</v>
      </c>
    </row>
    <row r="474">
      <c r="A474" t="inlineStr">
        <is>
          <t>G|FICO x CHANNEL|where Y|outcome_booked|band|4</t>
        </is>
      </c>
      <c r="B474" t="n">
        <v>0.7306972533539001</v>
      </c>
      <c r="D474" t="n">
        <v>2.307058175971916</v>
      </c>
    </row>
    <row r="475">
      <c r="A475" t="inlineStr">
        <is>
          <t>G|FICO x CHANNEL|where Y|outcome_booked|rate|5</t>
        </is>
      </c>
      <c r="B475" t="n">
        <v>0.05115145563384937</v>
      </c>
      <c r="C475" t="n">
        <v>0.04844346992587698</v>
      </c>
      <c r="D475" t="n">
        <v>0.04880991963256601</v>
      </c>
      <c r="E475" t="n">
        <v>0.0494550821834673</v>
      </c>
    </row>
    <row r="476">
      <c r="A476" t="inlineStr">
        <is>
          <t>G|FICO x CHANNEL|where Y|outcome_booked|book|5</t>
        </is>
      </c>
      <c r="B476" t="n">
        <v>0.6835791668241677</v>
      </c>
      <c r="C476" t="n">
        <v>0.6473901162665812</v>
      </c>
      <c r="D476" t="n">
        <v>0.6522872864854415</v>
      </c>
      <c r="E476" t="n">
        <v>0.660909126735075</v>
      </c>
    </row>
    <row r="477">
      <c r="A477" t="inlineStr">
        <is>
          <t>G|FICO x CHANNEL|where Y|outcome_booked|band|5</t>
        </is>
      </c>
      <c r="B477" t="n">
        <v>1.051994608345256</v>
      </c>
      <c r="C477" t="n">
        <v>0.9692536231847209</v>
      </c>
      <c r="D477" t="n">
        <v>0.9806735597270573</v>
      </c>
    </row>
    <row r="478">
      <c r="A478" t="inlineStr">
        <is>
          <t>G|FICO x CHANNEL|where Y|outcome_booked|rate|6</t>
        </is>
      </c>
      <c r="C478" t="n">
        <v>0</v>
      </c>
      <c r="E478" t="n">
        <v>0</v>
      </c>
    </row>
    <row r="479">
      <c r="A479" t="inlineStr">
        <is>
          <t>G|FICO x CHANNEL|where Y|outcome_booked|book|6</t>
        </is>
      </c>
    </row>
    <row r="480">
      <c r="A480" t="inlineStr">
        <is>
          <t>G|FICO x CHANNEL|where Y|outcome_booked|band|6</t>
        </is>
      </c>
    </row>
    <row r="481">
      <c r="A481" t="inlineStr">
        <is>
          <t>G|FICO x CHANNEL|where Y|outcome_booked|rate|7</t>
        </is>
      </c>
      <c r="B481" t="n">
        <v>0.03792886709862105</v>
      </c>
      <c r="C481" t="n">
        <v>0.1541676576370998</v>
      </c>
      <c r="D481" t="n">
        <v>0.06226875881814359</v>
      </c>
      <c r="E481" t="n">
        <v>0.08559977389867067</v>
      </c>
    </row>
    <row r="482">
      <c r="A482" t="inlineStr">
        <is>
          <t>G|FICO x CHANNEL|where Y|outcome_booked|book|7</t>
        </is>
      </c>
    </row>
    <row r="483">
      <c r="A483" t="inlineStr">
        <is>
          <t>G|FICO x CHANNEL|where Y|outcome_booked|band|7</t>
        </is>
      </c>
    </row>
    <row r="484">
      <c r="A484" t="inlineStr">
        <is>
          <t>G|FICO x CHANNEL|where Y|outcome_booked|rate|8</t>
        </is>
      </c>
      <c r="B484" t="n">
        <v>0.0799427328054727</v>
      </c>
      <c r="C484" t="n">
        <v>0.1128943071960848</v>
      </c>
      <c r="D484" t="n">
        <v>0.1084527276536025</v>
      </c>
      <c r="E484" t="n">
        <v>0.1006690692129982</v>
      </c>
    </row>
    <row r="485">
      <c r="A485" t="inlineStr">
        <is>
          <t>G|FICO x CHANNEL|where Y|outcome_booked|book|8</t>
        </is>
      </c>
      <c r="B485" t="n">
        <v>1.068340793192392</v>
      </c>
      <c r="C485" t="n">
        <v>1.508699908849178</v>
      </c>
      <c r="D485" t="n">
        <v>1.44934341145511</v>
      </c>
      <c r="E485" t="n">
        <v>1.345323952267888</v>
      </c>
    </row>
    <row r="486">
      <c r="A486" t="inlineStr">
        <is>
          <t>G|FICO x CHANNEL|where Y|outcome_booked|band|8</t>
        </is>
      </c>
    </row>
    <row r="487">
      <c r="A487" t="inlineStr">
        <is>
          <t>G|FICO x CHANNEL|where Y|outcome_booked|meta</t>
        </is>
      </c>
      <c r="B487" t="inlineStr">
        <is>
          <t>x</t>
        </is>
      </c>
      <c r="C487" t="n">
        <v>4.031644939402481</v>
      </c>
      <c r="D487" t="n">
        <v>10</v>
      </c>
      <c r="E487" t="n">
        <v>0.07482886857347235</v>
      </c>
      <c r="F487" t="n">
        <v>65</v>
      </c>
    </row>
    <row r="488">
      <c r="A488" t="inlineStr">
        <is>
          <t>G|FICO x CHANNEL|where Y|gco_rate|rate|1</t>
        </is>
      </c>
      <c r="B488" t="n">
        <v>0.06567919269946912</v>
      </c>
      <c r="C488" t="n">
        <v>0.1663088842121316</v>
      </c>
      <c r="D488" t="n">
        <v>0.0776503894870335</v>
      </c>
      <c r="E488" t="n">
        <v>0.1056730912674188</v>
      </c>
    </row>
    <row r="489">
      <c r="A489" t="inlineStr">
        <is>
          <t>G|FICO x CHANNEL|where Y|gco_rate|book|1</t>
        </is>
      </c>
      <c r="B489" t="n">
        <v>1.578626939961961</v>
      </c>
      <c r="C489" t="n">
        <v>3.997303775848748</v>
      </c>
      <c r="D489" t="n">
        <v>1.866359675029333</v>
      </c>
      <c r="E489" t="n">
        <v>2.539897064008138</v>
      </c>
    </row>
    <row r="490">
      <c r="A490" t="inlineStr">
        <is>
          <t>G|FICO x CHANNEL|where Y|gco_rate|band|1</t>
        </is>
      </c>
      <c r="B490" t="n">
        <v>0.5254031053085576</v>
      </c>
      <c r="C490" t="n">
        <v>2.324244191012672</v>
      </c>
      <c r="D490" t="n">
        <v>0.6552664603997256</v>
      </c>
    </row>
    <row r="491">
      <c r="A491" t="inlineStr">
        <is>
          <t>G|FICO x CHANNEL|where Y|gco_rate|rate|2</t>
        </is>
      </c>
      <c r="B491" t="n">
        <v>0.07028743920074985</v>
      </c>
      <c r="C491" t="n">
        <v>0.04817500333397545</v>
      </c>
      <c r="D491" t="n">
        <v>0.07252593076389867</v>
      </c>
      <c r="E491" t="n">
        <v>0.06348152741940741</v>
      </c>
    </row>
    <row r="492">
      <c r="A492" t="inlineStr">
        <is>
          <t>G|FICO x CHANNEL|where Y|gco_rate|book|2</t>
        </is>
      </c>
      <c r="B492" t="n">
        <v>1.689388077148808</v>
      </c>
      <c r="C492" t="n">
        <v>1.157906407951108</v>
      </c>
      <c r="D492" t="n">
        <v>1.743191160609863</v>
      </c>
      <c r="E492" t="n">
        <v>1.525805133335941</v>
      </c>
    </row>
    <row r="493">
      <c r="A493" t="inlineStr">
        <is>
          <t>G|FICO x CHANNEL|where Y|gco_rate|band|2</t>
        </is>
      </c>
      <c r="B493" t="n">
        <v>1.175393788114783</v>
      </c>
      <c r="C493" t="n">
        <v>0.6753189852238712</v>
      </c>
      <c r="D493" t="n">
        <v>1.22050818900365</v>
      </c>
    </row>
    <row r="494">
      <c r="A494" t="inlineStr">
        <is>
          <t>G|FICO x CHANNEL|where Y|gco_rate|rate|3</t>
        </is>
      </c>
      <c r="B494" t="n">
        <v>0.02081961874904788</v>
      </c>
      <c r="C494" t="n">
        <v>0.03063262831577925</v>
      </c>
      <c r="D494" t="n">
        <v>0.06431861285587674</v>
      </c>
      <c r="E494" t="n">
        <v>0.03954707714671374</v>
      </c>
    </row>
    <row r="495">
      <c r="A495" t="inlineStr">
        <is>
          <t>G|FICO x CHANNEL|where Y|gco_rate|book|3</t>
        </is>
      </c>
      <c r="B495" t="n">
        <v>0.5004082676133409</v>
      </c>
      <c r="C495" t="n">
        <v>0.7362680677638962</v>
      </c>
      <c r="D495" t="n">
        <v>1.54592483284423</v>
      </c>
      <c r="E495" t="n">
        <v>0.9505305838063527</v>
      </c>
    </row>
    <row r="496">
      <c r="A496" t="inlineStr">
        <is>
          <t>G|FICO x CHANNEL|where Y|gco_rate|band|3</t>
        </is>
      </c>
      <c r="B496" t="n">
        <v>0.431506272744317</v>
      </c>
      <c r="C496" t="n">
        <v>0.6985276973874471</v>
      </c>
      <c r="D496" t="n">
        <v>2.493862987131802</v>
      </c>
    </row>
    <row r="497">
      <c r="A497" t="inlineStr">
        <is>
          <t>G|FICO x CHANNEL|where Y|gco_rate|rate|4</t>
        </is>
      </c>
      <c r="B497" t="n">
        <v>0.03333266914159281</v>
      </c>
      <c r="C497" t="n">
        <v>0.01915208876567817</v>
      </c>
      <c r="D497" t="n">
        <v>0.06084205337936844</v>
      </c>
      <c r="E497" t="n">
        <v>0.03998357770819431</v>
      </c>
    </row>
    <row r="498">
      <c r="A498" t="inlineStr">
        <is>
          <t>G|FICO x CHANNEL|where Y|gco_rate|book|4</t>
        </is>
      </c>
      <c r="B498" t="n">
        <v>0.8011646813098309</v>
      </c>
      <c r="D498" t="n">
        <v>1.462364267885574</v>
      </c>
      <c r="E498" t="n">
        <v>0.9610220578537693</v>
      </c>
    </row>
    <row r="499">
      <c r="A499" t="inlineStr">
        <is>
          <t>G|FICO x CHANNEL|where Y|gco_rate|band|4</t>
        </is>
      </c>
      <c r="B499" t="n">
        <v>0.7770839220305211</v>
      </c>
      <c r="D499" t="n">
        <v>2.313295236485841</v>
      </c>
    </row>
    <row r="500">
      <c r="A500" t="inlineStr">
        <is>
          <t>G|FICO x CHANNEL|where Y|gco_rate|rate|5</t>
        </is>
      </c>
      <c r="B500" t="n">
        <v>0.02491889981363501</v>
      </c>
      <c r="C500" t="n">
        <v>0.02678732871900859</v>
      </c>
      <c r="D500" t="n">
        <v>0.02407431807254459</v>
      </c>
      <c r="E500" t="n">
        <v>0.02527923250680246</v>
      </c>
    </row>
    <row r="501">
      <c r="A501" t="inlineStr">
        <is>
          <t>G|FICO x CHANNEL|where Y|gco_rate|book|5</t>
        </is>
      </c>
      <c r="B501" t="n">
        <v>0.5989362070879304</v>
      </c>
      <c r="C501" t="n">
        <v>0.6438446793787327</v>
      </c>
      <c r="D501" t="n">
        <v>0.5786363307544002</v>
      </c>
      <c r="E501" t="n">
        <v>0.6075969544784473</v>
      </c>
    </row>
    <row r="502">
      <c r="A502" t="inlineStr">
        <is>
          <t>G|FICO x CHANNEL|where Y|gco_rate|band|5</t>
        </is>
      </c>
      <c r="B502" t="n">
        <v>0.9789041846144773</v>
      </c>
      <c r="C502" t="n">
        <v>1.093519893339788</v>
      </c>
      <c r="D502" t="n">
        <v>0.9305595200064457</v>
      </c>
    </row>
    <row r="503">
      <c r="A503" t="inlineStr">
        <is>
          <t>G|FICO x CHANNEL|where Y|gco_rate|rate|6</t>
        </is>
      </c>
      <c r="C503" t="n">
        <v>0</v>
      </c>
      <c r="E503" t="n">
        <v>0</v>
      </c>
    </row>
    <row r="504">
      <c r="A504" t="inlineStr">
        <is>
          <t>G|FICO x CHANNEL|where Y|gco_rate|book|6</t>
        </is>
      </c>
    </row>
    <row r="505">
      <c r="A505" t="inlineStr">
        <is>
          <t>G|FICO x CHANNEL|where Y|gco_rate|band|6</t>
        </is>
      </c>
    </row>
    <row r="506">
      <c r="A506" t="inlineStr">
        <is>
          <t>G|FICO x CHANNEL|where Y|gco_rate|rate|7</t>
        </is>
      </c>
      <c r="B506" t="n">
        <v>0.01843284302108283</v>
      </c>
      <c r="C506" t="n">
        <v>0.07742929923514315</v>
      </c>
      <c r="D506" t="n">
        <v>0.03937026992191468</v>
      </c>
      <c r="E506" t="n">
        <v>0.04569581498027083</v>
      </c>
    </row>
    <row r="507">
      <c r="A507" t="inlineStr">
        <is>
          <t>G|FICO x CHANNEL|where Y|gco_rate|book|7</t>
        </is>
      </c>
    </row>
    <row r="508">
      <c r="A508" t="inlineStr">
        <is>
          <t>G|FICO x CHANNEL|where Y|gco_rate|band|7</t>
        </is>
      </c>
    </row>
    <row r="509">
      <c r="A509" t="inlineStr">
        <is>
          <t>G|FICO x CHANNEL|where Y|gco_rate|rate|8</t>
        </is>
      </c>
      <c r="B509" t="n">
        <v>0.0431550830066136</v>
      </c>
      <c r="C509" t="n">
        <v>0.06135421166542902</v>
      </c>
      <c r="D509" t="n">
        <v>0.0595108000659552</v>
      </c>
      <c r="E509" t="n">
        <v>0.05481054765254319</v>
      </c>
    </row>
    <row r="510">
      <c r="A510" t="inlineStr">
        <is>
          <t>G|FICO x CHANNEL|where Y|gco_rate|book|8</t>
        </is>
      </c>
      <c r="B510" t="n">
        <v>1.037250517713588</v>
      </c>
      <c r="C510" t="n">
        <v>1.474674207071329</v>
      </c>
      <c r="D510" t="n">
        <v>1.430367036219163</v>
      </c>
      <c r="E510" t="n">
        <v>1.317394498350356</v>
      </c>
    </row>
    <row r="511">
      <c r="A511" t="inlineStr">
        <is>
          <t>G|FICO x CHANNEL|where Y|gco_rate|band|8</t>
        </is>
      </c>
    </row>
    <row r="512">
      <c r="A512" t="inlineStr">
        <is>
          <t>G|FICO x CHANNEL|where Y|gco_rate|meta</t>
        </is>
      </c>
      <c r="B512" t="inlineStr">
        <is>
          <t>x</t>
        </is>
      </c>
      <c r="C512" t="n">
        <v>3.997303775848748</v>
      </c>
      <c r="D512" t="n">
        <v>10</v>
      </c>
      <c r="E512" t="n">
        <v>0.04160526533333565</v>
      </c>
      <c r="F512" t="n">
        <v>65</v>
      </c>
    </row>
    <row r="513">
      <c r="A513" t="inlineStr">
        <is>
          <t>G|FICO x CHANNEL|where Y|ranr_rate|rate|1</t>
        </is>
      </c>
      <c r="B513" t="n">
        <v>0.1982244774183919</v>
      </c>
      <c r="C513" t="n">
        <v>0.1144670123030767</v>
      </c>
      <c r="D513" t="n">
        <v>0.1937777780728021</v>
      </c>
      <c r="E513" t="n">
        <v>0.1666688599176505</v>
      </c>
    </row>
    <row r="514">
      <c r="A514" t="inlineStr">
        <is>
          <t>G|FICO x CHANNEL|where Y|ranr_rate|book|1</t>
        </is>
      </c>
      <c r="B514" t="n">
        <v>7.023442777</v>
      </c>
      <c r="C514" t="n">
        <v>-1.352303735</v>
      </c>
      <c r="D514" t="n">
        <v>6.578772842</v>
      </c>
      <c r="E514" t="n">
        <v>3.867881027</v>
      </c>
    </row>
    <row r="515">
      <c r="A515" t="inlineStr">
        <is>
          <t>G|FICO x CHANNEL|where Y|ranr_rate|band|1</t>
        </is>
      </c>
      <c r="B515" t="n">
        <v>4.681047039</v>
      </c>
      <c r="C515" t="n">
        <v>-8.15752823</v>
      </c>
      <c r="D515" t="n">
        <v>3.951949798</v>
      </c>
    </row>
    <row r="516">
      <c r="A516" t="inlineStr">
        <is>
          <t>G|FICO x CHANNEL|where Y|ranr_rate|rate|2</t>
        </is>
      </c>
      <c r="B516" t="n">
        <v>0.1308714432177859</v>
      </c>
      <c r="C516" t="n">
        <v>0.1476246487993896</v>
      </c>
      <c r="D516" t="n">
        <v>0.150316214007657</v>
      </c>
      <c r="E516" t="n">
        <v>0.1425763271144025</v>
      </c>
    </row>
    <row r="517">
      <c r="A517" t="inlineStr">
        <is>
          <t>G|FICO x CHANNEL|where Y|ranr_rate|book|2</t>
        </is>
      </c>
      <c r="B517" t="n">
        <v>0.288139357</v>
      </c>
      <c r="C517" t="n">
        <v>1.963459915</v>
      </c>
      <c r="D517" t="n">
        <v>2.232616436</v>
      </c>
      <c r="E517" t="n">
        <v>1.458627747</v>
      </c>
    </row>
    <row r="518">
      <c r="A518" t="inlineStr">
        <is>
          <t>G|FICO x CHANNEL|where Y|ranr_rate|band|2</t>
        </is>
      </c>
      <c r="B518" t="n">
        <v>-1.803803945</v>
      </c>
      <c r="C518" t="n">
        <v>0.763906368</v>
      </c>
      <c r="D518" t="n">
        <v>1.121326351</v>
      </c>
    </row>
    <row r="519">
      <c r="A519" t="inlineStr">
        <is>
          <t>G|FICO x CHANNEL|where Y|ranr_rate|rate|3</t>
        </is>
      </c>
      <c r="B519" t="n">
        <v>0.1318761608748316</v>
      </c>
      <c r="C519" t="n">
        <v>0.112557769963748</v>
      </c>
      <c r="D519" t="n">
        <v>0.1383388797068483</v>
      </c>
      <c r="E519" t="n">
        <v>0.1278914649482825</v>
      </c>
    </row>
    <row r="520">
      <c r="A520" t="inlineStr">
        <is>
          <t>G|FICO x CHANNEL|where Y|ranr_rate|book|3</t>
        </is>
      </c>
      <c r="B520" t="n">
        <v>0.388611123</v>
      </c>
      <c r="C520" t="n">
        <v>-1.543227968</v>
      </c>
      <c r="D520" t="n">
        <v>1.034883006</v>
      </c>
      <c r="E520" t="n">
        <v>-0.009858469999999999</v>
      </c>
    </row>
    <row r="521">
      <c r="A521" t="inlineStr">
        <is>
          <t>G|FICO x CHANNEL|where Y|ranr_rate|band|3</t>
        </is>
      </c>
      <c r="B521" t="n">
        <v>0.58361666</v>
      </c>
      <c r="C521" t="n">
        <v>-2.274051899</v>
      </c>
      <c r="D521" t="n">
        <v>1.624915389</v>
      </c>
    </row>
    <row r="522">
      <c r="A522" t="inlineStr">
        <is>
          <t>G|FICO x CHANNEL|where Y|ranr_rate|rate|4</t>
        </is>
      </c>
      <c r="B522" t="n">
        <v>0.07449793831365925</v>
      </c>
      <c r="C522" t="n">
        <v>0.09604406388127933</v>
      </c>
      <c r="D522" t="n">
        <v>0.09363308498528264</v>
      </c>
      <c r="E522" t="n">
        <v>0.0885296107794703</v>
      </c>
    </row>
    <row r="523">
      <c r="A523" t="inlineStr">
        <is>
          <t>G|FICO x CHANNEL|where Y|ranr_rate|book|4</t>
        </is>
      </c>
      <c r="B523" t="n">
        <v>-5.349211133</v>
      </c>
      <c r="C523" t="n">
        <v>-3.194598577</v>
      </c>
      <c r="D523" t="n">
        <v>-3.435696466</v>
      </c>
      <c r="E523" t="n">
        <v>-3.946043887</v>
      </c>
    </row>
    <row r="524">
      <c r="A524" t="inlineStr">
        <is>
          <t>G|FICO x CHANNEL|where Y|ranr_rate|band|4</t>
        </is>
      </c>
      <c r="B524" t="n">
        <v>-2.017307126</v>
      </c>
      <c r="C524" t="n">
        <v>1.072635187</v>
      </c>
      <c r="D524" t="n">
        <v>0.845120283</v>
      </c>
    </row>
    <row r="525">
      <c r="A525" t="inlineStr">
        <is>
          <t>G|FICO x CHANNEL|where Y|ranr_rate|rate|5</t>
        </is>
      </c>
      <c r="B525" t="n">
        <v>0.04114199357781516</v>
      </c>
      <c r="C525" t="n">
        <v>0.03924328468823907</v>
      </c>
      <c r="D525" t="n">
        <v>0.03914023005630266</v>
      </c>
      <c r="E525" t="n">
        <v>0.03983403616126589</v>
      </c>
    </row>
    <row r="526">
      <c r="A526" t="inlineStr">
        <is>
          <t>G|FICO x CHANNEL|where Y|ranr_rate|book|5</t>
        </is>
      </c>
      <c r="B526" t="n">
        <v>-8.684805606999999</v>
      </c>
      <c r="C526" t="n">
        <v>-8.874676495999999</v>
      </c>
      <c r="D526" t="n">
        <v>-8.884981958999999</v>
      </c>
      <c r="E526" t="n">
        <v>-8.815601349</v>
      </c>
    </row>
    <row r="527">
      <c r="A527" t="inlineStr">
        <is>
          <t>G|FICO x CHANNEL|where Y|ranr_rate|band|5</t>
        </is>
      </c>
      <c r="B527" t="n">
        <v>0.194928317</v>
      </c>
      <c r="C527" t="n">
        <v>-0.08973926</v>
      </c>
      <c r="D527" t="n">
        <v>-0.103443799</v>
      </c>
    </row>
    <row r="528">
      <c r="A528" t="inlineStr">
        <is>
          <t>G|FICO x CHANNEL|where Y|ranr_rate|rate|6</t>
        </is>
      </c>
      <c r="C528" t="n">
        <v>0.140296941334961</v>
      </c>
      <c r="E528" t="n">
        <v>0.140296941334961</v>
      </c>
    </row>
    <row r="529">
      <c r="A529" t="inlineStr">
        <is>
          <t>G|FICO x CHANNEL|where Y|ranr_rate|book|6</t>
        </is>
      </c>
      <c r="C529" t="n">
        <v>1.230689169</v>
      </c>
      <c r="E529" t="n">
        <v>1.230689169</v>
      </c>
    </row>
    <row r="530">
      <c r="A530" t="inlineStr">
        <is>
          <t>G|FICO x CHANNEL|where Y|ranr_rate|band|6</t>
        </is>
      </c>
    </row>
    <row r="531">
      <c r="A531" t="inlineStr">
        <is>
          <t>G|FICO x CHANNEL|where Y|ranr_rate|rate|7</t>
        </is>
      </c>
      <c r="B531" t="n">
        <v>0.1358681559141303</v>
      </c>
      <c r="C531" t="n">
        <v>0.09613836715770098</v>
      </c>
      <c r="D531" t="n">
        <v>0.1442105413235336</v>
      </c>
      <c r="E531" t="n">
        <v>0.1255292967897276</v>
      </c>
    </row>
    <row r="532">
      <c r="A532" t="inlineStr">
        <is>
          <t>G|FICO x CHANNEL|where Y|ranr_rate|book|7</t>
        </is>
      </c>
      <c r="B532" t="n">
        <v>0.787810627</v>
      </c>
      <c r="C532" t="n">
        <v>-3.185168249</v>
      </c>
      <c r="D532" t="n">
        <v>1.622049168</v>
      </c>
      <c r="E532" t="n">
        <v>-0.246075286</v>
      </c>
    </row>
    <row r="533">
      <c r="A533" t="inlineStr">
        <is>
          <t>G|FICO x CHANNEL|where Y|ranr_rate|band|7</t>
        </is>
      </c>
      <c r="B533" t="n">
        <v>1.492608188</v>
      </c>
      <c r="C533" t="n">
        <v>-4.421515261</v>
      </c>
      <c r="D533" t="n">
        <v>2.907115893</v>
      </c>
    </row>
    <row r="534">
      <c r="A534" t="inlineStr">
        <is>
          <t>G|FICO x CHANNEL|where Y|ranr_rate|rate|8</t>
        </is>
      </c>
      <c r="B534" t="n">
        <v>0.1169453091003141</v>
      </c>
      <c r="C534" t="n">
        <v>0.1023825193760782</v>
      </c>
      <c r="D534" t="n">
        <v>0.1223457649562408</v>
      </c>
      <c r="E534" t="n">
        <v>0.1139361498721039</v>
      </c>
    </row>
    <row r="535">
      <c r="A535" t="inlineStr">
        <is>
          <t>G|FICO x CHANNEL|where Y|ranr_rate|book|8</t>
        </is>
      </c>
      <c r="B535" t="n">
        <v>-1.104474055</v>
      </c>
      <c r="C535" t="n">
        <v>-2.560753027</v>
      </c>
      <c r="D535" t="n">
        <v>-0.564428469</v>
      </c>
      <c r="E535" t="n">
        <v>-1.405389978</v>
      </c>
    </row>
    <row r="536">
      <c r="A536" t="inlineStr">
        <is>
          <t>G|FICO x CHANNEL|where Y|ranr_rate|band|8</t>
        </is>
      </c>
    </row>
    <row r="537">
      <c r="A537" t="inlineStr">
        <is>
          <t>G|FICO x CHANNEL|where Y|ranr_rate|meta</t>
        </is>
      </c>
      <c r="B537" t="inlineStr">
        <is>
          <t>pts</t>
        </is>
      </c>
      <c r="C537" t="n">
        <v>8.884981958999999</v>
      </c>
      <c r="D537" t="n">
        <v>10</v>
      </c>
      <c r="E537" t="n">
        <v>0.1279900496481481</v>
      </c>
      <c r="F537" t="n">
        <v>65</v>
      </c>
    </row>
    <row r="538">
      <c r="A538" t="inlineStr">
        <is>
          <t>G|FICO x CHANNEL|where Y|contribution_rate|rate|1</t>
        </is>
      </c>
      <c r="B538" t="n">
        <v>0.263903670117861</v>
      </c>
      <c r="C538" t="n">
        <v>0.2807758965152085</v>
      </c>
      <c r="D538" t="n">
        <v>0.2714281675598356</v>
      </c>
      <c r="E538" t="n">
        <v>0.2723419511850693</v>
      </c>
    </row>
    <row r="539">
      <c r="A539" t="inlineStr">
        <is>
          <t>G|FICO x CHANNEL|where Y|contribution_rate|book|1</t>
        </is>
      </c>
      <c r="B539" t="n">
        <v>9.431121438</v>
      </c>
      <c r="C539" t="n">
        <v>11.118344078</v>
      </c>
      <c r="D539" t="n">
        <v>10.183571182</v>
      </c>
      <c r="E539" t="n">
        <v>10.274949545</v>
      </c>
    </row>
    <row r="540">
      <c r="A540" t="inlineStr">
        <is>
          <t>G|FICO x CHANNEL|where Y|contribution_rate|band|1</t>
        </is>
      </c>
      <c r="B540" t="n">
        <v>-1.251757808</v>
      </c>
      <c r="C540" t="n">
        <v>1.317963832</v>
      </c>
      <c r="D540" t="n">
        <v>-0.133211772</v>
      </c>
    </row>
    <row r="541">
      <c r="A541" t="inlineStr">
        <is>
          <t>G|FICO x CHANNEL|where Y|contribution_rate|rate|2</t>
        </is>
      </c>
      <c r="B541" t="n">
        <v>0.2011588824185357</v>
      </c>
      <c r="C541" t="n">
        <v>0.195799652133365</v>
      </c>
      <c r="D541" t="n">
        <v>0.2228421447715557</v>
      </c>
      <c r="E541" t="n">
        <v>0.2060578545338099</v>
      </c>
    </row>
    <row r="542">
      <c r="A542" t="inlineStr">
        <is>
          <t>G|FICO x CHANNEL|where Y|contribution_rate|book|2</t>
        </is>
      </c>
      <c r="B542" t="n">
        <v>3.156642668</v>
      </c>
      <c r="C542" t="n">
        <v>2.62071964</v>
      </c>
      <c r="D542" t="n">
        <v>5.324968904</v>
      </c>
      <c r="E542" t="n">
        <v>3.64653988</v>
      </c>
    </row>
    <row r="543">
      <c r="A543" t="inlineStr">
        <is>
          <t>G|FICO x CHANNEL|where Y|contribution_rate|band|2</t>
        </is>
      </c>
      <c r="B543" t="n">
        <v>-0.754965646</v>
      </c>
      <c r="C543" t="n">
        <v>-1.552259668</v>
      </c>
      <c r="D543" t="n">
        <v>2.431646248</v>
      </c>
    </row>
    <row r="544">
      <c r="A544" t="inlineStr">
        <is>
          <t>G|FICO x CHANNEL|where Y|contribution_rate|rate|3</t>
        </is>
      </c>
      <c r="B544" t="n">
        <v>0.1526957796238796</v>
      </c>
      <c r="C544" t="n">
        <v>0.1431903982795272</v>
      </c>
      <c r="D544" t="n">
        <v>0.2026574925627251</v>
      </c>
      <c r="E544" t="n">
        <v>0.1674385420949963</v>
      </c>
    </row>
    <row r="545">
      <c r="A545" t="inlineStr">
        <is>
          <t>G|FICO x CHANNEL|where Y|contribution_rate|book|3</t>
        </is>
      </c>
      <c r="B545" t="n">
        <v>-1.689667611</v>
      </c>
      <c r="C545" t="n">
        <v>-2.640205746</v>
      </c>
      <c r="D545" t="n">
        <v>3.306503683</v>
      </c>
      <c r="E545" t="n">
        <v>-0.215391364</v>
      </c>
    </row>
    <row r="546">
      <c r="A546" t="inlineStr">
        <is>
          <t>G|FICO x CHANNEL|where Y|contribution_rate|band|3</t>
        </is>
      </c>
      <c r="B546" t="n">
        <v>-2.159291939</v>
      </c>
      <c r="C546" t="n">
        <v>-3.59610241</v>
      </c>
      <c r="D546" t="n">
        <v>5.477701032</v>
      </c>
    </row>
    <row r="547">
      <c r="A547" t="inlineStr">
        <is>
          <t>G|FICO x CHANNEL|where Y|contribution_rate|rate|4</t>
        </is>
      </c>
      <c r="B547" t="n">
        <v>0.107830607455252</v>
      </c>
      <c r="C547" t="n">
        <v>0.1151961526469575</v>
      </c>
      <c r="D547" t="n">
        <v>0.154475138364651</v>
      </c>
      <c r="E547" t="n">
        <v>0.1285131884876646</v>
      </c>
    </row>
    <row r="548">
      <c r="A548" t="inlineStr">
        <is>
          <t>G|FICO x CHANNEL|where Y|contribution_rate|book|4</t>
        </is>
      </c>
      <c r="B548" t="n">
        <v>-6.176184828</v>
      </c>
      <c r="C548" t="n">
        <v>-5.439630309</v>
      </c>
      <c r="D548" t="n">
        <v>-1.511731737</v>
      </c>
      <c r="E548" t="n">
        <v>-4.107926725</v>
      </c>
    </row>
    <row r="549">
      <c r="A549" t="inlineStr">
        <is>
          <t>G|FICO x CHANNEL|where Y|contribution_rate|band|4</t>
        </is>
      </c>
      <c r="B549" t="n">
        <v>-2.973495726</v>
      </c>
      <c r="C549" t="n">
        <v>-1.900912951</v>
      </c>
      <c r="D549" t="n">
        <v>4.299222363</v>
      </c>
    </row>
    <row r="550">
      <c r="A550" t="inlineStr">
        <is>
          <t>G|FICO x CHANNEL|where Y|contribution_rate|rate|5</t>
        </is>
      </c>
      <c r="B550" t="n">
        <v>0.06606089339145017</v>
      </c>
      <c r="C550" t="n">
        <v>0.06603061340724767</v>
      </c>
      <c r="D550" t="n">
        <v>0.06321454812884725</v>
      </c>
      <c r="E550" t="n">
        <v>0.06511326866806835</v>
      </c>
    </row>
    <row r="551">
      <c r="A551" t="inlineStr">
        <is>
          <t>G|FICO x CHANNEL|where Y|contribution_rate|book|5</t>
        </is>
      </c>
      <c r="B551" t="n">
        <v>-10.353156234</v>
      </c>
      <c r="C551" t="n">
        <v>-10.356184233</v>
      </c>
      <c r="D551" t="n">
        <v>-10.637790761</v>
      </c>
      <c r="E551" t="n">
        <v>-10.447918707</v>
      </c>
    </row>
    <row r="552">
      <c r="A552" t="inlineStr">
        <is>
          <t>G|FICO x CHANNEL|where Y|contribution_rate|band|5</t>
        </is>
      </c>
      <c r="B552" t="n">
        <v>0.141226992</v>
      </c>
      <c r="C552" t="n">
        <v>0.139351051</v>
      </c>
      <c r="D552" t="n">
        <v>-0.283091867</v>
      </c>
    </row>
    <row r="553">
      <c r="A553" t="inlineStr">
        <is>
          <t>G|FICO x CHANNEL|where Y|contribution_rate|rate|6</t>
        </is>
      </c>
      <c r="C553" t="n">
        <v>0.140296941334961</v>
      </c>
      <c r="E553" t="n">
        <v>0.140296941334961</v>
      </c>
    </row>
    <row r="554">
      <c r="A554" t="inlineStr">
        <is>
          <t>G|FICO x CHANNEL|where Y|contribution_rate|book|6</t>
        </is>
      </c>
      <c r="C554" t="n">
        <v>-2.92955144</v>
      </c>
      <c r="E554" t="n">
        <v>-2.92955144</v>
      </c>
    </row>
    <row r="555">
      <c r="A555" t="inlineStr">
        <is>
          <t>G|FICO x CHANNEL|where Y|contribution_rate|band|6</t>
        </is>
      </c>
    </row>
    <row r="556">
      <c r="A556" t="inlineStr">
        <is>
          <t>G|FICO x CHANNEL|where Y|contribution_rate|rate|7</t>
        </is>
      </c>
      <c r="B556" t="n">
        <v>0.1543009989352131</v>
      </c>
      <c r="C556" t="n">
        <v>0.1735676663928442</v>
      </c>
      <c r="D556" t="n">
        <v>0.1835808112454482</v>
      </c>
      <c r="E556" t="n">
        <v>0.1712251117699985</v>
      </c>
    </row>
    <row r="557">
      <c r="A557" t="inlineStr">
        <is>
          <t>G|FICO x CHANNEL|where Y|contribution_rate|book|7</t>
        </is>
      </c>
      <c r="B557" t="n">
        <v>-1.52914568</v>
      </c>
      <c r="C557" t="n">
        <v>0.397521066</v>
      </c>
      <c r="D557" t="n">
        <v>1.398835551</v>
      </c>
      <c r="E557" t="n">
        <v>0.163265604</v>
      </c>
    </row>
    <row r="558">
      <c r="A558" t="inlineStr">
        <is>
          <t>G|FICO x CHANNEL|where Y|contribution_rate|band|7</t>
        </is>
      </c>
      <c r="B558" t="n">
        <v>-2.443313047</v>
      </c>
      <c r="C558" t="n">
        <v>0.352409439</v>
      </c>
      <c r="D558" t="n">
        <v>1.922754678</v>
      </c>
    </row>
    <row r="559">
      <c r="A559" t="inlineStr">
        <is>
          <t>G|FICO x CHANNEL|where Y|contribution_rate|rate|8</t>
        </is>
      </c>
      <c r="B559" t="n">
        <v>0.1601003921069277</v>
      </c>
      <c r="C559" t="n">
        <v>0.1637367310415072</v>
      </c>
      <c r="D559" t="n">
        <v>0.181856565022196</v>
      </c>
      <c r="E559" t="n">
        <v>0.168746697524647</v>
      </c>
    </row>
    <row r="560">
      <c r="A560" t="inlineStr">
        <is>
          <t>G|FICO x CHANNEL|where Y|contribution_rate|book|8</t>
        </is>
      </c>
      <c r="B560" t="n">
        <v>-0.9492063630000001</v>
      </c>
      <c r="C560" t="n">
        <v>-0.585572469</v>
      </c>
      <c r="D560" t="n">
        <v>1.226410929</v>
      </c>
      <c r="E560" t="n">
        <v>-0.084575821</v>
      </c>
    </row>
    <row r="561">
      <c r="A561" t="inlineStr">
        <is>
          <t>G|FICO x CHANNEL|where Y|contribution_rate|band|8</t>
        </is>
      </c>
    </row>
    <row r="562">
      <c r="A562" t="inlineStr">
        <is>
          <t>G|FICO x CHANNEL|where Y|contribution_rate|meta</t>
        </is>
      </c>
      <c r="B562" t="inlineStr">
        <is>
          <t>pts</t>
        </is>
      </c>
      <c r="C562" t="n">
        <v>11.118344078</v>
      </c>
      <c r="D562" t="n">
        <v>10</v>
      </c>
      <c r="E562" t="n">
        <v>0.1695924557349815</v>
      </c>
      <c r="F562" t="n">
        <v>65</v>
      </c>
    </row>
    <row r="563">
      <c r="A563" t="inlineStr">
        <is>
          <t>G|FICO x CHANNEL|where Y|loan_size|rate|1</t>
        </is>
      </c>
      <c r="B563" t="n">
        <v>33431.75718614719</v>
      </c>
      <c r="C563" t="n">
        <v>32200.042</v>
      </c>
      <c r="D563" t="n">
        <v>32928.98765486725</v>
      </c>
      <c r="E563" t="n">
        <v>32822.29674515236</v>
      </c>
    </row>
    <row r="564">
      <c r="A564" t="inlineStr">
        <is>
          <t>G|FICO x CHANNEL|where Y|loan_size|median|1</t>
        </is>
      </c>
      <c r="B564" t="n">
        <v>33552.73</v>
      </c>
      <c r="C564" t="n">
        <v>33065.97</v>
      </c>
      <c r="D564" t="n">
        <v>33072.31</v>
      </c>
      <c r="E564" t="n">
        <v>33096.61500000001</v>
      </c>
    </row>
    <row r="565">
      <c r="A565" t="inlineStr">
        <is>
          <t>G|FICO x CHANNEL|where Y|loan_size|book|1</t>
        </is>
      </c>
      <c r="B565" t="n">
        <v>1.036239144482252</v>
      </c>
      <c r="C565" t="n">
        <v>0.9980613279938073</v>
      </c>
      <c r="D565" t="n">
        <v>1.02065547455834</v>
      </c>
      <c r="E565" t="n">
        <v>1.017348520143967</v>
      </c>
    </row>
    <row r="566">
      <c r="A566" t="inlineStr">
        <is>
          <t>G|FICO x CHANNEL|where Y|loan_size|band|1</t>
        </is>
      </c>
      <c r="B566" t="n">
        <v>1.027545006306304</v>
      </c>
      <c r="C566" t="n">
        <v>0.9703740721819786</v>
      </c>
      <c r="D566" t="n">
        <v>1.004738683286878</v>
      </c>
    </row>
    <row r="567">
      <c r="A567" t="inlineStr">
        <is>
          <t>G|FICO x CHANNEL|where Y|loan_size|rate|2</t>
        </is>
      </c>
      <c r="B567" t="n">
        <v>31939.16791338583</v>
      </c>
      <c r="C567" t="n">
        <v>32115.94459016394</v>
      </c>
      <c r="D567" t="n">
        <v>30327.3411440678</v>
      </c>
      <c r="E567" t="n">
        <v>31479.68888283379</v>
      </c>
    </row>
    <row r="568">
      <c r="A568" t="inlineStr">
        <is>
          <t>G|FICO x CHANNEL|where Y|loan_size|median|2</t>
        </is>
      </c>
      <c r="B568" t="n">
        <v>31860.04</v>
      </c>
      <c r="C568" t="n">
        <v>33779.885</v>
      </c>
      <c r="D568" t="n">
        <v>29780.72</v>
      </c>
      <c r="E568" t="n">
        <v>31595.505</v>
      </c>
    </row>
    <row r="569">
      <c r="A569" t="inlineStr">
        <is>
          <t>G|FICO x CHANNEL|where Y|loan_size|book|2</t>
        </is>
      </c>
      <c r="B569" t="n">
        <v>0.9899753653318545</v>
      </c>
      <c r="C569" t="n">
        <v>0.9954546738614363</v>
      </c>
      <c r="D569" t="n">
        <v>0.9400157421151667</v>
      </c>
      <c r="E569" t="n">
        <v>0.9757335127461318</v>
      </c>
    </row>
    <row r="570">
      <c r="A570" t="inlineStr">
        <is>
          <t>G|FICO x CHANNEL|where Y|loan_size|band|2</t>
        </is>
      </c>
      <c r="B570" t="n">
        <v>1.022493523288667</v>
      </c>
      <c r="C570" t="n">
        <v>1.03058400592692</v>
      </c>
      <c r="D570" t="n">
        <v>0.9469664698878784</v>
      </c>
    </row>
    <row r="571">
      <c r="A571" t="inlineStr">
        <is>
          <t>G|FICO x CHANNEL|where Y|loan_size|rate|3</t>
        </is>
      </c>
      <c r="B571" t="n">
        <v>32296.85523404255</v>
      </c>
      <c r="C571" t="n">
        <v>33879.94991304348</v>
      </c>
      <c r="D571" t="n">
        <v>34305.75967871486</v>
      </c>
      <c r="E571" t="n">
        <v>33507.40002801121</v>
      </c>
    </row>
    <row r="572">
      <c r="A572" t="inlineStr">
        <is>
          <t>G|FICO x CHANNEL|where Y|loan_size|median|3</t>
        </is>
      </c>
      <c r="B572" t="n">
        <v>33248.03</v>
      </c>
      <c r="C572" t="n">
        <v>35858.745</v>
      </c>
      <c r="D572" t="n">
        <v>35193.47</v>
      </c>
      <c r="E572" t="n">
        <v>34821.65</v>
      </c>
    </row>
    <row r="573">
      <c r="A573" t="inlineStr">
        <is>
          <t>G|FICO x CHANNEL|where Y|loan_size|book|3</t>
        </is>
      </c>
      <c r="B573" t="n">
        <v>1.001062117400724</v>
      </c>
      <c r="C573" t="n">
        <v>1.050131170716357</v>
      </c>
      <c r="D573" t="n">
        <v>1.063329422451516</v>
      </c>
      <c r="E573" t="n">
        <v>1.038583743759607</v>
      </c>
    </row>
    <row r="574">
      <c r="A574" t="inlineStr">
        <is>
          <t>G|FICO x CHANNEL|where Y|loan_size|band|3</t>
        </is>
      </c>
      <c r="B574" t="n">
        <v>0.9470857519412874</v>
      </c>
      <c r="C574" t="n">
        <v>1.01648911151508</v>
      </c>
      <c r="D574" t="n">
        <v>1.037057811204131</v>
      </c>
    </row>
    <row r="575">
      <c r="A575" t="inlineStr">
        <is>
          <t>G|FICO x CHANNEL|where Y|loan_size|rate|4</t>
        </is>
      </c>
      <c r="B575" t="n">
        <v>31104.60282608696</v>
      </c>
      <c r="C575" t="n">
        <v>32278.29114678899</v>
      </c>
      <c r="D575" t="n">
        <v>33484.52514388489</v>
      </c>
      <c r="E575" t="n">
        <v>32368.35276859504</v>
      </c>
    </row>
    <row r="576">
      <c r="A576" t="inlineStr">
        <is>
          <t>G|FICO x CHANNEL|where Y|loan_size|median|4</t>
        </is>
      </c>
      <c r="B576" t="n">
        <v>30633.685</v>
      </c>
      <c r="C576" t="n">
        <v>33002.01</v>
      </c>
      <c r="D576" t="n">
        <v>34405.455</v>
      </c>
      <c r="E576" t="n">
        <v>32576.985</v>
      </c>
    </row>
    <row r="577">
      <c r="A577" t="inlineStr">
        <is>
          <t>G|FICO x CHANNEL|where Y|loan_size|book|4</t>
        </is>
      </c>
      <c r="B577" t="n">
        <v>0.9641074754910034</v>
      </c>
      <c r="C577" t="n">
        <v>1.000486711394196</v>
      </c>
      <c r="D577" t="n">
        <v>1.037874721789114</v>
      </c>
      <c r="E577" t="n">
        <v>1.003278230171128</v>
      </c>
    </row>
    <row r="578">
      <c r="A578" t="inlineStr">
        <is>
          <t>G|FICO x CHANNEL|where Y|loan_size|band|4</t>
        </is>
      </c>
      <c r="B578" t="n">
        <v>0.943868954138339</v>
      </c>
      <c r="C578" t="n">
        <v>0.996028323879105</v>
      </c>
      <c r="D578" t="n">
        <v>1.057103571558496</v>
      </c>
    </row>
    <row r="579">
      <c r="A579" t="inlineStr">
        <is>
          <t>G|FICO x CHANNEL|where Y|loan_size|rate|5</t>
        </is>
      </c>
      <c r="B579" t="n">
        <v>31156.68255230126</v>
      </c>
      <c r="C579" t="n">
        <v>32632.09383966245</v>
      </c>
      <c r="D579" t="n">
        <v>33124.0692</v>
      </c>
      <c r="E579" t="n">
        <v>32286.97423680457</v>
      </c>
    </row>
    <row r="580">
      <c r="A580" t="inlineStr">
        <is>
          <t>G|FICO x CHANNEL|where Y|loan_size|median|5</t>
        </is>
      </c>
      <c r="B580" t="n">
        <v>30349.14</v>
      </c>
      <c r="C580" t="n">
        <v>31892.25</v>
      </c>
      <c r="D580" t="n">
        <v>35322.29</v>
      </c>
      <c r="E580" t="n">
        <v>32112.83</v>
      </c>
    </row>
    <row r="581">
      <c r="A581" t="inlineStr">
        <is>
          <t>G|FICO x CHANNEL|where Y|loan_size|book|5</t>
        </is>
      </c>
      <c r="B581" t="n">
        <v>0.9657217206123916</v>
      </c>
      <c r="C581" t="n">
        <v>1.011453056888312</v>
      </c>
      <c r="D581" t="n">
        <v>1.026702154435412</v>
      </c>
      <c r="E581" t="n">
        <v>1.000755849439172</v>
      </c>
    </row>
    <row r="582">
      <c r="A582" t="inlineStr">
        <is>
          <t>G|FICO x CHANNEL|where Y|loan_size|band|5</t>
        </is>
      </c>
      <c r="B582" t="n">
        <v>0.9478271558042833</v>
      </c>
      <c r="C582" t="n">
        <v>1.016237529515499</v>
      </c>
      <c r="D582" t="n">
        <v>1.038655716403237</v>
      </c>
    </row>
    <row r="583">
      <c r="A583" t="inlineStr">
        <is>
          <t>G|FICO x CHANNEL|where Y|loan_size|rate|6</t>
        </is>
      </c>
      <c r="C583" t="n">
        <v>27999.47</v>
      </c>
      <c r="E583" t="n">
        <v>27999.47</v>
      </c>
    </row>
    <row r="584">
      <c r="A584" t="inlineStr">
        <is>
          <t>G|FICO x CHANNEL|where Y|loan_size|median|6</t>
        </is>
      </c>
      <c r="C584" t="n">
        <v>27999.47</v>
      </c>
      <c r="E584" t="n">
        <v>27999.47</v>
      </c>
    </row>
    <row r="585">
      <c r="A585" t="inlineStr">
        <is>
          <t>G|FICO x CHANNEL|where Y|loan_size|book|6</t>
        </is>
      </c>
      <c r="C585" t="n">
        <v>0.8678618559355534</v>
      </c>
      <c r="E585" t="n">
        <v>0.8678618559355534</v>
      </c>
    </row>
    <row r="586">
      <c r="A586" t="inlineStr">
        <is>
          <t>G|FICO x CHANNEL|where Y|loan_size|band|6</t>
        </is>
      </c>
    </row>
    <row r="587">
      <c r="A587" t="inlineStr">
        <is>
          <t>G|FICO x CHANNEL|where Y|loan_size|rate|7</t>
        </is>
      </c>
      <c r="B587" t="n">
        <v>33967.53181818181</v>
      </c>
      <c r="C587" t="n">
        <v>32609.4492</v>
      </c>
      <c r="D587" t="n">
        <v>34761.0012</v>
      </c>
      <c r="E587" t="n">
        <v>33771.48555555556</v>
      </c>
    </row>
    <row r="588">
      <c r="A588" t="inlineStr">
        <is>
          <t>G|FICO x CHANNEL|where Y|loan_size|median|7</t>
        </is>
      </c>
      <c r="B588" t="n">
        <v>36575.155</v>
      </c>
      <c r="C588" t="n">
        <v>30599.75</v>
      </c>
      <c r="D588" t="n">
        <v>36736.09</v>
      </c>
      <c r="E588" t="n">
        <v>35774.8</v>
      </c>
    </row>
    <row r="589">
      <c r="A589" t="inlineStr">
        <is>
          <t>G|FICO x CHANNEL|where Y|loan_size|book|7</t>
        </is>
      </c>
      <c r="B589" t="n">
        <v>1.052845829055951</v>
      </c>
      <c r="C589" t="n">
        <v>1.010751171495323</v>
      </c>
      <c r="D589" t="n">
        <v>1.077439930670473</v>
      </c>
      <c r="E589" t="n">
        <v>1.04676924713022</v>
      </c>
    </row>
    <row r="590">
      <c r="A590" t="inlineStr">
        <is>
          <t>G|FICO x CHANNEL|where Y|loan_size|band|7</t>
        </is>
      </c>
      <c r="B590" t="n">
        <v>1.008380725273638</v>
      </c>
      <c r="C590" t="n">
        <v>0.9482360563182056</v>
      </c>
      <c r="D590" t="n">
        <v>1.045596240943639</v>
      </c>
    </row>
    <row r="591">
      <c r="A591" t="inlineStr">
        <is>
          <t>G|FICO x CHANNEL|where Y|loan_size|rate|8</t>
        </is>
      </c>
      <c r="B591" t="n">
        <v>32017.20645747317</v>
      </c>
      <c r="C591" t="n">
        <v>32602.78647540984</v>
      </c>
      <c r="D591" t="n">
        <v>32907.16422114609</v>
      </c>
      <c r="E591" t="n">
        <v>32512.31961580381</v>
      </c>
    </row>
    <row r="592">
      <c r="A592" t="inlineStr">
        <is>
          <t>G|FICO x CHANNEL|where Y|loan_size|median|8</t>
        </is>
      </c>
      <c r="B592" t="n">
        <v>31923.05</v>
      </c>
      <c r="C592" t="n">
        <v>33360.735</v>
      </c>
      <c r="D592" t="n">
        <v>33331.65</v>
      </c>
      <c r="E592" t="n">
        <v>32864.335</v>
      </c>
    </row>
    <row r="593">
      <c r="A593" t="inlineStr">
        <is>
          <t>G|FICO x CHANNEL|where Y|loan_size|book|8</t>
        </is>
      </c>
      <c r="B593" t="n">
        <v>0.9923942209639842</v>
      </c>
      <c r="C593" t="n">
        <v>1.010544655995979</v>
      </c>
      <c r="D593" t="n">
        <v>1.019979042979738</v>
      </c>
      <c r="E593" t="n">
        <v>1.007740576608821</v>
      </c>
    </row>
    <row r="594">
      <c r="A594" t="inlineStr">
        <is>
          <t>G|FICO x CHANNEL|where Y|loan_size|band|8</t>
        </is>
      </c>
    </row>
    <row r="595">
      <c r="A595" t="inlineStr">
        <is>
          <t>G|FICO x CHANNEL|where Y|loan_size|meta</t>
        </is>
      </c>
      <c r="B595" t="inlineStr">
        <is>
          <t>size</t>
        </is>
      </c>
      <c r="C595" t="n">
        <v>1</v>
      </c>
      <c r="E595" t="n">
        <v>32262.58857732217</v>
      </c>
      <c r="F595" t="n">
        <v>65</v>
      </c>
    </row>
    <row r="596">
      <c r="A596" t="inlineStr">
        <is>
          <t>G|FICO x ASSET_CLASS|cols</t>
        </is>
      </c>
      <c r="B596" t="inlineStr">
        <is>
          <t>1</t>
        </is>
      </c>
      <c r="C596" t="inlineStr">
        <is>
          <t>2</t>
        </is>
      </c>
      <c r="D596" t="inlineStr">
        <is>
          <t>3</t>
        </is>
      </c>
      <c r="E596" t="inlineStr">
        <is>
          <t>4</t>
        </is>
      </c>
      <c r="F596" t="inlineStr">
        <is>
          <t>All</t>
        </is>
      </c>
    </row>
    <row r="597">
      <c r="A597" t="inlineStr">
        <is>
          <t>G|FICO x ASSET_CLASS|heads</t>
        </is>
      </c>
      <c r="B597" t="inlineStr">
        <is>
          <t>1</t>
        </is>
      </c>
      <c r="C597" t="inlineStr">
        <is>
          <t>2</t>
        </is>
      </c>
      <c r="D597" t="inlineStr">
        <is>
          <t>3</t>
        </is>
      </c>
      <c r="E597" t="inlineStr">
        <is>
          <t>4</t>
        </is>
      </c>
      <c r="F597" t="inlineStr">
        <is>
          <t>All</t>
        </is>
      </c>
    </row>
    <row r="598">
      <c r="A598" t="inlineStr">
        <is>
          <t>G|FICO x ASSET_CLASS|segs</t>
        </is>
      </c>
    </row>
    <row r="599">
      <c r="A599" t="inlineStr">
        <is>
          <t>G|FICO x ASSET_CLASS|rows</t>
        </is>
      </c>
      <c r="B599" t="inlineStr">
        <is>
          <t>496 - 653</t>
        </is>
      </c>
      <c r="C599" t="inlineStr">
        <is>
          <t>654 - 685</t>
        </is>
      </c>
      <c r="D599" t="inlineStr">
        <is>
          <t>686 - 711</t>
        </is>
      </c>
      <c r="E599" t="inlineStr">
        <is>
          <t>712 - 745</t>
        </is>
      </c>
      <c r="F599" t="inlineStr">
        <is>
          <t>746 - 921</t>
        </is>
      </c>
      <c r="G599" t="inlineStr">
        <is>
          <t>(blank)</t>
        </is>
      </c>
      <c r="H599" t="inlineStr">
        <is>
          <t>(marked missing)</t>
        </is>
      </c>
      <c r="I599" t="inlineStr">
        <is>
          <t>All</t>
        </is>
      </c>
    </row>
    <row r="600">
      <c r="A600" t="inlineStr">
        <is>
          <t>G|FICO x ASSET_CLASS|names</t>
        </is>
      </c>
      <c r="B600" t="inlineStr">
        <is>
          <t>FICO</t>
        </is>
      </c>
      <c r="C600" t="inlineStr">
        <is>
          <t>ASSET_CLASS</t>
        </is>
      </c>
    </row>
    <row r="601">
      <c r="A601" t="inlineStr">
        <is>
          <t>G|FICO x ASSET_CLASS|total</t>
        </is>
      </c>
      <c r="B601" t="n">
        <v>8000</v>
      </c>
    </row>
    <row r="602">
      <c r="A602" t="inlineStr">
        <is>
          <t>G|FICO x ASSET_CLASS|loans|1</t>
        </is>
      </c>
      <c r="B602" t="n">
        <v>420</v>
      </c>
      <c r="C602" t="n">
        <v>394</v>
      </c>
      <c r="D602" t="n">
        <v>350</v>
      </c>
      <c r="E602" t="n">
        <v>392</v>
      </c>
      <c r="F602" t="n">
        <v>1556</v>
      </c>
    </row>
    <row r="603">
      <c r="A603" t="inlineStr">
        <is>
          <t>G|FICO x ASSET_CLASS|loans|2</t>
        </is>
      </c>
      <c r="B603" t="n">
        <v>397</v>
      </c>
      <c r="C603" t="n">
        <v>355</v>
      </c>
      <c r="D603" t="n">
        <v>377</v>
      </c>
      <c r="E603" t="n">
        <v>410</v>
      </c>
      <c r="F603" t="n">
        <v>1539</v>
      </c>
    </row>
    <row r="604">
      <c r="A604" t="inlineStr">
        <is>
          <t>G|FICO x ASSET_CLASS|loans|3</t>
        </is>
      </c>
      <c r="B604" t="n">
        <v>372</v>
      </c>
      <c r="C604" t="n">
        <v>395</v>
      </c>
      <c r="D604" t="n">
        <v>388</v>
      </c>
      <c r="E604" t="n">
        <v>407</v>
      </c>
      <c r="F604" t="n">
        <v>1562</v>
      </c>
    </row>
    <row r="605">
      <c r="A605" t="inlineStr">
        <is>
          <t>G|FICO x ASSET_CLASS|loans|4</t>
        </is>
      </c>
      <c r="B605" t="n">
        <v>361</v>
      </c>
      <c r="C605" t="n">
        <v>431</v>
      </c>
      <c r="D605" t="n">
        <v>392</v>
      </c>
      <c r="E605" t="n">
        <v>427</v>
      </c>
      <c r="F605" t="n">
        <v>1611</v>
      </c>
    </row>
    <row r="606">
      <c r="A606" t="inlineStr">
        <is>
          <t>G|FICO x ASSET_CLASS|loans|5</t>
        </is>
      </c>
      <c r="B606" t="n">
        <v>414</v>
      </c>
      <c r="C606" t="n">
        <v>399</v>
      </c>
      <c r="D606" t="n">
        <v>385</v>
      </c>
      <c r="E606" t="n">
        <v>373</v>
      </c>
      <c r="F606" t="n">
        <v>1571</v>
      </c>
    </row>
    <row r="607">
      <c r="A607" t="inlineStr">
        <is>
          <t>G|FICO x ASSET_CLASS|loans|6</t>
        </is>
      </c>
      <c r="C607" t="n">
        <v>1</v>
      </c>
      <c r="F607" t="n">
        <v>1</v>
      </c>
    </row>
    <row r="608">
      <c r="A608" t="inlineStr">
        <is>
          <t>G|FICO x ASSET_CLASS|loans|7</t>
        </is>
      </c>
      <c r="B608" t="n">
        <v>42</v>
      </c>
      <c r="C608" t="n">
        <v>36</v>
      </c>
      <c r="D608" t="n">
        <v>43</v>
      </c>
      <c r="E608" t="n">
        <v>39</v>
      </c>
      <c r="F608" t="n">
        <v>160</v>
      </c>
    </row>
    <row r="609">
      <c r="A609" t="inlineStr">
        <is>
          <t>G|FICO x ASSET_CLASS|loans|8</t>
        </is>
      </c>
      <c r="B609" t="n">
        <v>2006</v>
      </c>
      <c r="C609" t="n">
        <v>2011</v>
      </c>
      <c r="D609" t="n">
        <v>1935</v>
      </c>
      <c r="E609" t="n">
        <v>2048</v>
      </c>
      <c r="F609" t="n">
        <v>8000</v>
      </c>
    </row>
    <row r="610">
      <c r="A610" t="inlineStr">
        <is>
          <t>G|FICO x ASSET_CLASS|outcome_loans|rate|1</t>
        </is>
      </c>
      <c r="B610" t="n">
        <v>0.1357142857142857</v>
      </c>
      <c r="C610" t="n">
        <v>0.1119592875318066</v>
      </c>
      <c r="D610" t="n">
        <v>0.1514285714285714</v>
      </c>
      <c r="E610" t="n">
        <v>0.2040816326530612</v>
      </c>
      <c r="F610" t="n">
        <v>0.1504823151125402</v>
      </c>
    </row>
    <row r="611">
      <c r="A611" t="inlineStr">
        <is>
          <t>G|FICO x ASSET_CLASS|outcome_loans|book|1</t>
        </is>
      </c>
      <c r="B611" t="n">
        <v>1.75376182783291</v>
      </c>
      <c r="C611" t="n">
        <v>1.446788919171117</v>
      </c>
      <c r="D611" t="n">
        <v>1.956828986845142</v>
      </c>
      <c r="E611" t="n">
        <v>2.637235831327684</v>
      </c>
      <c r="F611" t="n">
        <v>1.944601031640079</v>
      </c>
    </row>
    <row r="612">
      <c r="A612" t="inlineStr">
        <is>
          <t>G|FICO x ASSET_CLASS|outcome_loans|band|1</t>
        </is>
      </c>
      <c r="B612" t="n">
        <v>0.8702582728006456</v>
      </c>
      <c r="C612" t="n">
        <v>0.6847194321682067</v>
      </c>
      <c r="D612" t="n">
        <v>1.008129439621152</v>
      </c>
      <c r="E612" t="n">
        <v>1.541213888152664</v>
      </c>
    </row>
    <row r="613">
      <c r="A613" t="inlineStr">
        <is>
          <t>G|FICO x ASSET_CLASS|outcome_loans|rate|2</t>
        </is>
      </c>
      <c r="B613" t="n">
        <v>0.07556675062972293</v>
      </c>
      <c r="C613" t="n">
        <v>0.05915492957746479</v>
      </c>
      <c r="D613" t="n">
        <v>0.08222811671087533</v>
      </c>
      <c r="E613" t="n">
        <v>0.1170731707317073</v>
      </c>
      <c r="F613" t="n">
        <v>0.08447043534762833</v>
      </c>
    </row>
    <row r="614">
      <c r="A614" t="inlineStr">
        <is>
          <t>G|FICO x ASSET_CLASS|outcome_loans|book|2</t>
        </is>
      </c>
      <c r="B614" t="n">
        <v>0.9765079778467749</v>
      </c>
      <c r="C614" t="n">
        <v>0.7644269494186443</v>
      </c>
      <c r="D614" t="n">
        <v>1.062589185089324</v>
      </c>
      <c r="E614" t="n">
        <v>1.51287284762993</v>
      </c>
      <c r="F614" t="n">
        <v>1.091565448054409</v>
      </c>
    </row>
    <row r="615">
      <c r="A615" t="inlineStr">
        <is>
          <t>G|FICO x ASSET_CLASS|outcome_loans|band|2</t>
        </is>
      </c>
      <c r="B615" t="n">
        <v>0.8629722921914358</v>
      </c>
      <c r="C615" t="n">
        <v>0.6425636387130119</v>
      </c>
      <c r="D615" t="n">
        <v>0.9651421375559307</v>
      </c>
      <c r="E615" t="n">
        <v>1.611897679952409</v>
      </c>
    </row>
    <row r="616">
      <c r="A616" t="inlineStr">
        <is>
          <t>G|FICO x ASSET_CLASS|outcome_loans|rate|3</t>
        </is>
      </c>
      <c r="B616" t="n">
        <v>0.05376344086021505</v>
      </c>
      <c r="C616" t="n">
        <v>0.04050632911392405</v>
      </c>
      <c r="D616" t="n">
        <v>0.06958762886597938</v>
      </c>
      <c r="E616" t="n">
        <v>0.08108108108108109</v>
      </c>
      <c r="F616" t="n">
        <v>0.06145966709346991</v>
      </c>
    </row>
    <row r="617">
      <c r="A617" t="inlineStr">
        <is>
          <t>G|FICO x ASSET_CLASS|outcome_loans|book|3</t>
        </is>
      </c>
      <c r="B617" t="n">
        <v>0.6947556759949276</v>
      </c>
      <c r="C617" t="n">
        <v>0.5234412384204822</v>
      </c>
      <c r="D617" t="n">
        <v>0.8992430424862182</v>
      </c>
      <c r="E617" t="n">
        <v>1.04776666812208</v>
      </c>
      <c r="F617" t="n">
        <v>0.7942098175778123</v>
      </c>
    </row>
    <row r="618">
      <c r="A618" t="inlineStr">
        <is>
          <t>G|FICO x ASSET_CLASS|outcome_loans|band|3</t>
        </is>
      </c>
      <c r="B618" t="n">
        <v>0.8418222976796832</v>
      </c>
      <c r="C618" t="n">
        <v>0.590886075949367</v>
      </c>
      <c r="D618" t="n">
        <v>1.183998207082026</v>
      </c>
      <c r="E618" t="n">
        <v>1.486486486486487</v>
      </c>
    </row>
    <row r="619">
      <c r="A619" t="inlineStr">
        <is>
          <t>G|FICO x ASSET_CLASS|outcome_loans|rate|4</t>
        </is>
      </c>
      <c r="B619" t="n">
        <v>0.03601108033240998</v>
      </c>
      <c r="C619" t="n">
        <v>0.04640371229698376</v>
      </c>
      <c r="D619" t="n">
        <v>0.04846938775510204</v>
      </c>
      <c r="E619" t="n">
        <v>0.08196721311475409</v>
      </c>
      <c r="F619" t="n">
        <v>0.05400372439478585</v>
      </c>
    </row>
    <row r="620">
      <c r="A620" t="inlineStr">
        <is>
          <t>G|FICO x ASSET_CLASS|outcome_loans|book|4</t>
        </is>
      </c>
      <c r="B620" t="n">
        <v>0.4653515857495111</v>
      </c>
      <c r="C620" t="n">
        <v>0.5996499106035106</v>
      </c>
      <c r="D620" t="n">
        <v>0.6263435099403251</v>
      </c>
      <c r="E620" t="n">
        <v>1.05921766995948</v>
      </c>
      <c r="F620" t="n">
        <v>0.6978607292954636</v>
      </c>
    </row>
    <row r="621">
      <c r="A621" t="inlineStr">
        <is>
          <t>G|FICO x ASSET_CLASS|outcome_loans|band|4</t>
        </is>
      </c>
      <c r="B621" t="n">
        <v>0.6082952758853036</v>
      </c>
      <c r="C621" t="n">
        <v>0.8172594106035945</v>
      </c>
      <c r="D621" t="n">
        <v>0.8688850540216086</v>
      </c>
      <c r="E621" t="n">
        <v>1.866330390920555</v>
      </c>
    </row>
    <row r="622">
      <c r="A622" t="inlineStr">
        <is>
          <t>G|FICO x ASSET_CLASS|outcome_loans|rate|5</t>
        </is>
      </c>
      <c r="B622" t="n">
        <v>0.03623188405797102</v>
      </c>
      <c r="C622" t="n">
        <v>0.04010025062656641</v>
      </c>
      <c r="D622" t="n">
        <v>0.04155844155844156</v>
      </c>
      <c r="E622" t="n">
        <v>0.04021447721179625</v>
      </c>
      <c r="F622" t="n">
        <v>0.03946530872056015</v>
      </c>
    </row>
    <row r="623">
      <c r="A623" t="inlineStr">
        <is>
          <t>G|FICO x ASSET_CLASS|outcome_loans|book|5</t>
        </is>
      </c>
      <c r="B623" t="n">
        <v>0.4682049120835382</v>
      </c>
      <c r="C623" t="n">
        <v>0.5181937072082468</v>
      </c>
      <c r="D623" t="n">
        <v>0.5370371147430921</v>
      </c>
      <c r="E623" t="n">
        <v>0.5196697951811925</v>
      </c>
      <c r="F623" t="n">
        <v>0.5099886986361238</v>
      </c>
    </row>
    <row r="624">
      <c r="A624" t="inlineStr">
        <is>
          <t>G|FICO x ASSET_CLASS|outcome_loans|band|5</t>
        </is>
      </c>
      <c r="B624" t="n">
        <v>0.8919210607462227</v>
      </c>
      <c r="C624" t="n">
        <v>1.021684646398605</v>
      </c>
      <c r="D624" t="n">
        <v>1.071485036702428</v>
      </c>
      <c r="E624" t="n">
        <v>1.025041355313445</v>
      </c>
    </row>
    <row r="625">
      <c r="A625" t="inlineStr">
        <is>
          <t>G|FICO x ASSET_CLASS|outcome_loans|rate|6</t>
        </is>
      </c>
      <c r="C625" t="n">
        <v>0</v>
      </c>
      <c r="F625" t="n">
        <v>0</v>
      </c>
    </row>
    <row r="626">
      <c r="A626" t="inlineStr">
        <is>
          <t>G|FICO x ASSET_CLASS|outcome_loans|book|6</t>
        </is>
      </c>
    </row>
    <row r="627">
      <c r="A627" t="inlineStr">
        <is>
          <t>G|FICO x ASSET_CLASS|outcome_loans|band|6</t>
        </is>
      </c>
    </row>
    <row r="628">
      <c r="A628" t="inlineStr">
        <is>
          <t>G|FICO x ASSET_CLASS|outcome_loans|rate|7</t>
        </is>
      </c>
      <c r="B628" t="n">
        <v>0.02380952380952381</v>
      </c>
      <c r="C628" t="n">
        <v>0.1388888888888889</v>
      </c>
      <c r="D628" t="n">
        <v>0.04651162790697674</v>
      </c>
      <c r="E628" t="n">
        <v>0.05128205128205128</v>
      </c>
      <c r="F628" t="n">
        <v>0.0625</v>
      </c>
    </row>
    <row r="629">
      <c r="A629" t="inlineStr">
        <is>
          <t>G|FICO x ASSET_CLASS|outcome_loans|book|7</t>
        </is>
      </c>
      <c r="F629" t="n">
        <v>0.8076534733441034</v>
      </c>
    </row>
    <row r="630">
      <c r="A630" t="inlineStr">
        <is>
          <t>G|FICO x ASSET_CLASS|outcome_loans|band|7</t>
        </is>
      </c>
    </row>
    <row r="631">
      <c r="A631" t="inlineStr">
        <is>
          <t>G|FICO x ASSET_CLASS|outcome_loans|rate|8</t>
        </is>
      </c>
      <c r="B631" t="n">
        <v>0.06779661016949153</v>
      </c>
      <c r="C631" t="n">
        <v>0.06069651741293532</v>
      </c>
      <c r="D631" t="n">
        <v>0.07648578811369509</v>
      </c>
      <c r="E631" t="n">
        <v>0.10400390625</v>
      </c>
      <c r="F631" t="n">
        <v>0.07738467308413552</v>
      </c>
    </row>
    <row r="632">
      <c r="A632" t="inlineStr">
        <is>
          <t>G|FICO x ASSET_CLASS|outcome_loans|book|8</t>
        </is>
      </c>
      <c r="B632" t="n">
        <v>0.8760986829495359</v>
      </c>
      <c r="C632" t="n">
        <v>0.784348049735169</v>
      </c>
      <c r="D632" t="n">
        <v>0.9883841989037917</v>
      </c>
      <c r="E632" t="n">
        <v>1.343985857986672</v>
      </c>
      <c r="F632" t="n">
        <v>1</v>
      </c>
    </row>
    <row r="633">
      <c r="A633" t="inlineStr">
        <is>
          <t>G|FICO x ASSET_CLASS|outcome_loans|band|8</t>
        </is>
      </c>
    </row>
    <row r="634">
      <c r="A634" t="inlineStr">
        <is>
          <t>G|FICO x ASSET_CLASS|outcome_loans|meta</t>
        </is>
      </c>
      <c r="B634" t="inlineStr">
        <is>
          <t>x</t>
        </is>
      </c>
      <c r="C634" t="n">
        <v>2.637235831327684</v>
      </c>
      <c r="D634" t="n">
        <v>10</v>
      </c>
      <c r="E634" t="n">
        <v>0.07738467308413552</v>
      </c>
      <c r="F634" t="n">
        <v>65</v>
      </c>
    </row>
    <row r="635">
      <c r="A635" t="inlineStr">
        <is>
          <t>G|FICO x ASSET_CLASS|outcome_booked|rate|1</t>
        </is>
      </c>
      <c r="B635" t="n">
        <v>0.1276352086740425</v>
      </c>
      <c r="C635" t="n">
        <v>0.108700694066502</v>
      </c>
      <c r="D635" t="n">
        <v>0.1408827058373993</v>
      </c>
      <c r="E635" t="n">
        <v>0.2242535291400861</v>
      </c>
      <c r="F635" t="n">
        <v>0.1491655756309188</v>
      </c>
    </row>
    <row r="636">
      <c r="A636" t="inlineStr">
        <is>
          <t>G|FICO x ASSET_CLASS|outcome_booked|book|1</t>
        </is>
      </c>
      <c r="B636" t="n">
        <v>1.705694755343268</v>
      </c>
      <c r="C636" t="n">
        <v>1.452657191519231</v>
      </c>
      <c r="D636" t="n">
        <v>1.882732006018113</v>
      </c>
      <c r="E636" t="n">
        <v>2.996885205071595</v>
      </c>
      <c r="F636" t="n">
        <v>1.993422839000397</v>
      </c>
    </row>
    <row r="637">
      <c r="A637" t="inlineStr">
        <is>
          <t>G|FICO x ASSET_CLASS|outcome_booked|band|1</t>
        </is>
      </c>
      <c r="B637" t="n">
        <v>0.8132096170035026</v>
      </c>
      <c r="C637" t="n">
        <v>0.6650342939790537</v>
      </c>
      <c r="D637" t="n">
        <v>0.9289596398675806</v>
      </c>
      <c r="E637" t="n">
        <v>1.791775105196673</v>
      </c>
    </row>
    <row r="638">
      <c r="A638" t="inlineStr">
        <is>
          <t>G|FICO x ASSET_CLASS|outcome_booked|rate|2</t>
        </is>
      </c>
      <c r="B638" t="n">
        <v>0.06348643500205574</v>
      </c>
      <c r="C638" t="n">
        <v>0.05558659797747173</v>
      </c>
      <c r="D638" t="n">
        <v>0.08342653528102482</v>
      </c>
      <c r="E638" t="n">
        <v>0.1119359301162006</v>
      </c>
      <c r="F638" t="n">
        <v>0.07985779590889652</v>
      </c>
    </row>
    <row r="639">
      <c r="A639" t="inlineStr">
        <is>
          <t>G|FICO x ASSET_CLASS|outcome_booked|book|2</t>
        </is>
      </c>
      <c r="B639" t="n">
        <v>0.8484216882114182</v>
      </c>
      <c r="C639" t="n">
        <v>0.7428496386109704</v>
      </c>
      <c r="D639" t="n">
        <v>1.11489772425345</v>
      </c>
      <c r="E639" t="n">
        <v>1.495892324047288</v>
      </c>
      <c r="F639" t="n">
        <v>1.067205711262177</v>
      </c>
    </row>
    <row r="640">
      <c r="A640" t="inlineStr">
        <is>
          <t>G|FICO x ASSET_CLASS|outcome_booked|band|2</t>
        </is>
      </c>
      <c r="B640" t="n">
        <v>0.7426239781355174</v>
      </c>
      <c r="C640" t="n">
        <v>0.6392392239448949</v>
      </c>
      <c r="D640" t="n">
        <v>1.059885234816398</v>
      </c>
      <c r="E640" t="n">
        <v>1.653404103717667</v>
      </c>
    </row>
    <row r="641">
      <c r="A641" t="inlineStr">
        <is>
          <t>G|FICO x ASSET_CLASS|outcome_booked|rate|3</t>
        </is>
      </c>
      <c r="B641" t="n">
        <v>0.06046557269561652</v>
      </c>
      <c r="C641" t="n">
        <v>0.03818519804568093</v>
      </c>
      <c r="D641" t="n">
        <v>0.06427548153730028</v>
      </c>
      <c r="E641" t="n">
        <v>0.06461676794219112</v>
      </c>
      <c r="F641" t="n">
        <v>0.05686223568965074</v>
      </c>
    </row>
    <row r="642">
      <c r="A642" t="inlineStr">
        <is>
          <t>G|FICO x ASSET_CLASS|outcome_booked|book|3</t>
        </is>
      </c>
      <c r="B642" t="n">
        <v>0.8080514091462855</v>
      </c>
      <c r="C642" t="n">
        <v>0.5103003529739055</v>
      </c>
      <c r="D642" t="n">
        <v>0.8589663690316259</v>
      </c>
      <c r="E642" t="n">
        <v>0.8635272612567401</v>
      </c>
      <c r="F642" t="n">
        <v>0.7598970393868687</v>
      </c>
    </row>
    <row r="643">
      <c r="A643" t="inlineStr">
        <is>
          <t>G|FICO x ASSET_CLASS|outcome_booked|band|3</t>
        </is>
      </c>
      <c r="B643" t="n">
        <v>1.084039607321751</v>
      </c>
      <c r="C643" t="n">
        <v>0.6040497133408764</v>
      </c>
      <c r="D643" t="n">
        <v>1.181934324020646</v>
      </c>
      <c r="E643" t="n">
        <v>1.194871410271308</v>
      </c>
    </row>
    <row r="644">
      <c r="A644" t="inlineStr">
        <is>
          <t>G|FICO x ASSET_CLASS|outcome_booked|rate|4</t>
        </is>
      </c>
      <c r="B644" t="n">
        <v>0.04054846076713071</v>
      </c>
      <c r="C644" t="n">
        <v>0.0454678030440295</v>
      </c>
      <c r="D644" t="n">
        <v>0.04231326070887811</v>
      </c>
      <c r="E644" t="n">
        <v>0.08791346933525528</v>
      </c>
      <c r="F644" t="n">
        <v>0.05451749193722223</v>
      </c>
    </row>
    <row r="645">
      <c r="A645" t="inlineStr">
        <is>
          <t>G|FICO x ASSET_CLASS|outcome_booked|book|4</t>
        </is>
      </c>
      <c r="B645" t="n">
        <v>0.5418825854264698</v>
      </c>
      <c r="C645" t="n">
        <v>0.607623821004135</v>
      </c>
      <c r="D645" t="n">
        <v>0.5654670652588034</v>
      </c>
      <c r="E645" t="n">
        <v>1.174860331463325</v>
      </c>
      <c r="F645" t="n">
        <v>0.7285622912191042</v>
      </c>
    </row>
    <row r="646">
      <c r="A646" t="inlineStr">
        <is>
          <t>G|FICO x ASSET_CLASS|outcome_booked|band|4</t>
        </is>
      </c>
      <c r="B646" t="n">
        <v>0.6919066973184953</v>
      </c>
      <c r="C646" t="n">
        <v>0.7844395065388725</v>
      </c>
      <c r="D646" t="n">
        <v>0.7247250369920415</v>
      </c>
      <c r="E646" t="n">
        <v>2.04704720669849</v>
      </c>
    </row>
    <row r="647">
      <c r="A647" t="inlineStr">
        <is>
          <t>G|FICO x ASSET_CLASS|outcome_booked|rate|5</t>
        </is>
      </c>
      <c r="B647" t="n">
        <v>0.03369942521373164</v>
      </c>
      <c r="C647" t="n">
        <v>0.04674229712438486</v>
      </c>
      <c r="D647" t="n">
        <v>0.03337613677724733</v>
      </c>
      <c r="E647" t="n">
        <v>0.03299889535073695</v>
      </c>
      <c r="F647" t="n">
        <v>0.03682990751373653</v>
      </c>
    </row>
    <row r="648">
      <c r="A648" t="inlineStr">
        <is>
          <t>G|FICO x ASSET_CLASS|outcome_booked|book|5</t>
        </is>
      </c>
      <c r="B648" t="n">
        <v>0.4503532641368636</v>
      </c>
      <c r="C648" t="n">
        <v>0.624655938483019</v>
      </c>
      <c r="D648" t="n">
        <v>0.4460328936348442</v>
      </c>
      <c r="E648" t="n">
        <v>0.4409915047470787</v>
      </c>
      <c r="F648" t="n">
        <v>0.4921884857523176</v>
      </c>
    </row>
    <row r="649">
      <c r="A649" t="inlineStr">
        <is>
          <t>G|FICO x ASSET_CLASS|outcome_booked|band|5</t>
        </is>
      </c>
      <c r="B649" t="n">
        <v>0.8879293490733464</v>
      </c>
      <c r="C649" t="n">
        <v>1.400534289227499</v>
      </c>
      <c r="D649" t="n">
        <v>0.8789983459261625</v>
      </c>
      <c r="E649" t="n">
        <v>0.8690946877055101</v>
      </c>
    </row>
    <row r="650">
      <c r="A650" t="inlineStr">
        <is>
          <t>G|FICO x ASSET_CLASS|outcome_booked|rate|6</t>
        </is>
      </c>
      <c r="C650" t="n">
        <v>0</v>
      </c>
      <c r="F650" t="n">
        <v>0</v>
      </c>
    </row>
    <row r="651">
      <c r="A651" t="inlineStr">
        <is>
          <t>G|FICO x ASSET_CLASS|outcome_booked|book|6</t>
        </is>
      </c>
    </row>
    <row r="652">
      <c r="A652" t="inlineStr">
        <is>
          <t>G|FICO x ASSET_CLASS|outcome_booked|band|6</t>
        </is>
      </c>
    </row>
    <row r="653">
      <c r="A653" t="inlineStr">
        <is>
          <t>G|FICO x ASSET_CLASS|outcome_booked|rate|7</t>
        </is>
      </c>
      <c r="B653" t="n">
        <v>0.009586870506969991</v>
      </c>
      <c r="C653" t="n">
        <v>0.1158764205229406</v>
      </c>
      <c r="D653" t="n">
        <v>0.03694305066533045</v>
      </c>
      <c r="E653" t="n">
        <v>0.04927232715453918</v>
      </c>
      <c r="F653" t="n">
        <v>0.04815037624246446</v>
      </c>
    </row>
    <row r="654">
      <c r="A654" t="inlineStr">
        <is>
          <t>G|FICO x ASSET_CLASS|outcome_booked|book|7</t>
        </is>
      </c>
      <c r="F654" t="n">
        <v>0.6434732631990415</v>
      </c>
    </row>
    <row r="655">
      <c r="A655" t="inlineStr">
        <is>
          <t>G|FICO x ASSET_CLASS|outcome_booked|band|7</t>
        </is>
      </c>
    </row>
    <row r="656">
      <c r="A656" t="inlineStr">
        <is>
          <t>G|FICO x ASSET_CLASS|outcome_booked|rate|8</t>
        </is>
      </c>
      <c r="B656" t="n">
        <v>0.06479266841209207</v>
      </c>
      <c r="C656" t="n">
        <v>0.05990447229803184</v>
      </c>
      <c r="D656" t="n">
        <v>0.07111558928800159</v>
      </c>
      <c r="E656" t="n">
        <v>0.1032953749844734</v>
      </c>
      <c r="F656" t="n">
        <v>0.07482886857347225</v>
      </c>
    </row>
    <row r="657">
      <c r="A657" t="inlineStr">
        <is>
          <t>G|FICO x ASSET_CLASS|outcome_booked|book|8</t>
        </is>
      </c>
      <c r="B657" t="n">
        <v>0.8658779645782561</v>
      </c>
      <c r="C657" t="n">
        <v>0.8005529609099106</v>
      </c>
      <c r="D657" t="n">
        <v>0.9503763807169583</v>
      </c>
      <c r="E657" t="n">
        <v>1.380421446343942</v>
      </c>
      <c r="F657" t="n">
        <v>0.9999999999999987</v>
      </c>
    </row>
    <row r="658">
      <c r="A658" t="inlineStr">
        <is>
          <t>G|FICO x ASSET_CLASS|outcome_booked|band|8</t>
        </is>
      </c>
    </row>
    <row r="659">
      <c r="A659" t="inlineStr">
        <is>
          <t>G|FICO x ASSET_CLASS|outcome_booked|meta</t>
        </is>
      </c>
      <c r="B659" t="inlineStr">
        <is>
          <t>x</t>
        </is>
      </c>
      <c r="C659" t="n">
        <v>2.996885205071595</v>
      </c>
      <c r="D659" t="n">
        <v>10</v>
      </c>
      <c r="E659" t="n">
        <v>0.07482886857347235</v>
      </c>
      <c r="F659" t="n">
        <v>65</v>
      </c>
    </row>
    <row r="660">
      <c r="A660" t="inlineStr">
        <is>
          <t>G|FICO x ASSET_CLASS|gco_rate|rate|1</t>
        </is>
      </c>
      <c r="B660" t="n">
        <v>0.07355223055051165</v>
      </c>
      <c r="C660" t="n">
        <v>0.05940718881303055</v>
      </c>
      <c r="D660" t="n">
        <v>0.08042333444240277</v>
      </c>
      <c r="E660" t="n">
        <v>0.1231658585862879</v>
      </c>
      <c r="F660" t="n">
        <v>0.08345255929305034</v>
      </c>
    </row>
    <row r="661">
      <c r="A661" t="inlineStr">
        <is>
          <t>G|FICO x ASSET_CLASS|gco_rate|book|1</t>
        </is>
      </c>
      <c r="B661" t="n">
        <v>1.767858706373372</v>
      </c>
      <c r="C661" t="n">
        <v>1.427876696304382</v>
      </c>
      <c r="D661" t="n">
        <v>1.933008569902442</v>
      </c>
      <c r="E661" t="n">
        <v>2.960343062338384</v>
      </c>
      <c r="F661" t="n">
        <v>2.005817259532897</v>
      </c>
    </row>
    <row r="662">
      <c r="A662" t="inlineStr">
        <is>
          <t>G|FICO x ASSET_CLASS|gco_rate|band|1</t>
        </is>
      </c>
      <c r="B662" t="n">
        <v>0.8451400690093763</v>
      </c>
      <c r="C662" t="n">
        <v>0.6459743404111616</v>
      </c>
      <c r="D662" t="n">
        <v>0.9533049072608608</v>
      </c>
      <c r="E662" t="n">
        <v>1.7404429065153</v>
      </c>
    </row>
    <row r="663">
      <c r="A663" t="inlineStr">
        <is>
          <t>G|FICO x ASSET_CLASS|gco_rate|rate|2</t>
        </is>
      </c>
      <c r="B663" t="n">
        <v>0.03262896125692831</v>
      </c>
      <c r="C663" t="n">
        <v>0.03220881070191754</v>
      </c>
      <c r="D663" t="n">
        <v>0.04904611205615317</v>
      </c>
      <c r="E663" t="n">
        <v>0.06425822850758699</v>
      </c>
      <c r="F663" t="n">
        <v>0.04521453740915432</v>
      </c>
    </row>
    <row r="664">
      <c r="A664" t="inlineStr">
        <is>
          <t>G|FICO x ASSET_CLASS|gco_rate|book|2</t>
        </is>
      </c>
      <c r="B664" t="n">
        <v>0.7842507671927957</v>
      </c>
      <c r="C664" t="n">
        <v>0.7741522724074702</v>
      </c>
      <c r="D664" t="n">
        <v>1.178843871399509</v>
      </c>
      <c r="E664" t="n">
        <v>1.544473469710118</v>
      </c>
      <c r="F664" t="n">
        <v>1.086750367937848</v>
      </c>
    </row>
    <row r="665">
      <c r="A665" t="inlineStr">
        <is>
          <t>G|FICO x ASSET_CLASS|gco_rate|band|2</t>
        </is>
      </c>
      <c r="B665" t="n">
        <v>0.6585879176080297</v>
      </c>
      <c r="C665" t="n">
        <v>0.6570695463311553</v>
      </c>
      <c r="D665" t="n">
        <v>1.115059073035587</v>
      </c>
      <c r="E665" t="n">
        <v>1.691137770960734</v>
      </c>
    </row>
    <row r="666">
      <c r="A666" t="inlineStr">
        <is>
          <t>G|FICO x ASSET_CLASS|gco_rate|rate|3</t>
        </is>
      </c>
      <c r="B666" t="n">
        <v>0.03498530803243795</v>
      </c>
      <c r="C666" t="n">
        <v>0.01870715496835951</v>
      </c>
      <c r="D666" t="n">
        <v>0.03438001216278803</v>
      </c>
      <c r="E666" t="n">
        <v>0.03806352628725936</v>
      </c>
      <c r="F666" t="n">
        <v>0.03151500509362794</v>
      </c>
    </row>
    <row r="667">
      <c r="A667" t="inlineStr">
        <is>
          <t>G|FICO x ASSET_CLASS|gco_rate|book|3</t>
        </is>
      </c>
      <c r="B667" t="n">
        <v>0.8408865501070715</v>
      </c>
      <c r="C667" t="n">
        <v>0.4496343147551246</v>
      </c>
      <c r="D667" t="n">
        <v>0.8263380100412802</v>
      </c>
      <c r="E667" t="n">
        <v>0.9148728167528709</v>
      </c>
      <c r="F667" t="n">
        <v>0.7574763636557553</v>
      </c>
    </row>
    <row r="668">
      <c r="A668" t="inlineStr">
        <is>
          <t>G|FICO x ASSET_CLASS|gco_rate|band|3</t>
        </is>
      </c>
      <c r="B668" t="n">
        <v>1.148158152115248</v>
      </c>
      <c r="C668" t="n">
        <v>0.5215023580325703</v>
      </c>
      <c r="D668" t="n">
        <v>1.125136212823914</v>
      </c>
      <c r="E668" t="n">
        <v>1.305148031995351</v>
      </c>
    </row>
    <row r="669">
      <c r="A669" t="inlineStr">
        <is>
          <t>G|FICO x ASSET_CLASS|gco_rate|rate|4</t>
        </is>
      </c>
      <c r="B669" t="n">
        <v>0.02461761470580813</v>
      </c>
      <c r="C669" t="n">
        <v>0.02633420507366459</v>
      </c>
      <c r="D669" t="n">
        <v>0.02322727151614726</v>
      </c>
      <c r="E669" t="n">
        <v>0.04600441784929067</v>
      </c>
      <c r="F669" t="n">
        <v>0.03026397173122731</v>
      </c>
    </row>
    <row r="670">
      <c r="A670" t="inlineStr">
        <is>
          <t>G|FICO x ASSET_CLASS|gco_rate|book|4</t>
        </is>
      </c>
      <c r="B670" t="n">
        <v>0.5916946931734529</v>
      </c>
      <c r="C670" t="n">
        <v>0.6329536625395505</v>
      </c>
      <c r="D670" t="n">
        <v>0.5582772115513159</v>
      </c>
      <c r="E670" t="n">
        <v>1.10573547556324</v>
      </c>
      <c r="F670" t="n">
        <v>0.7274072521532202</v>
      </c>
    </row>
    <row r="671">
      <c r="A671" t="inlineStr">
        <is>
          <t>G|FICO x ASSET_CLASS|gco_rate|band|4</t>
        </is>
      </c>
      <c r="B671" t="n">
        <v>0.7714685081564954</v>
      </c>
      <c r="C671" t="n">
        <v>0.8291261313311146</v>
      </c>
      <c r="D671" t="n">
        <v>0.7147660377971981</v>
      </c>
      <c r="E671" t="n">
        <v>1.854678345569113</v>
      </c>
    </row>
    <row r="672">
      <c r="A672" t="inlineStr">
        <is>
          <t>G|FICO x ASSET_CLASS|gco_rate|rate|5</t>
        </is>
      </c>
      <c r="B672" t="n">
        <v>0.01846337237406543</v>
      </c>
      <c r="C672" t="n">
        <v>0.02429547794680709</v>
      </c>
      <c r="D672" t="n">
        <v>0.01682813232770902</v>
      </c>
      <c r="E672" t="n">
        <v>0.01778061167366514</v>
      </c>
      <c r="F672" t="n">
        <v>0.01940834703954903</v>
      </c>
    </row>
    <row r="673">
      <c r="A673" t="inlineStr">
        <is>
          <t>G|FICO x ASSET_CLASS|gco_rate|book|5</t>
        </is>
      </c>
      <c r="B673" t="n">
        <v>0.4437748978678406</v>
      </c>
      <c r="C673" t="n">
        <v>0.5839520010785912</v>
      </c>
      <c r="D673" t="n">
        <v>0.40447121759432</v>
      </c>
      <c r="E673" t="n">
        <v>0.4273644581090717</v>
      </c>
      <c r="F673" t="n">
        <v>0.4664877602402492</v>
      </c>
    </row>
    <row r="674">
      <c r="A674" t="inlineStr">
        <is>
          <t>G|FICO x ASSET_CLASS|gco_rate|band|5</t>
        </is>
      </c>
      <c r="B674" t="n">
        <v>0.9349815094307363</v>
      </c>
      <c r="C674" t="n">
        <v>1.372255529935013</v>
      </c>
      <c r="D674" t="n">
        <v>0.8305856601183079</v>
      </c>
      <c r="E674" t="n">
        <v>0.8938373725528002</v>
      </c>
    </row>
    <row r="675">
      <c r="A675" t="inlineStr">
        <is>
          <t>G|FICO x ASSET_CLASS|gco_rate|rate|6</t>
        </is>
      </c>
      <c r="C675" t="n">
        <v>0</v>
      </c>
      <c r="F675" t="n">
        <v>0</v>
      </c>
    </row>
    <row r="676">
      <c r="A676" t="inlineStr">
        <is>
          <t>G|FICO x ASSET_CLASS|gco_rate|book|6</t>
        </is>
      </c>
    </row>
    <row r="677">
      <c r="A677" t="inlineStr">
        <is>
          <t>G|FICO x ASSET_CLASS|gco_rate|band|6</t>
        </is>
      </c>
    </row>
    <row r="678">
      <c r="A678" t="inlineStr">
        <is>
          <t>G|FICO x ASSET_CLASS|gco_rate|rate|7</t>
        </is>
      </c>
      <c r="B678" t="n">
        <v>0.004127622161368955</v>
      </c>
      <c r="C678" t="n">
        <v>0.06113306624451557</v>
      </c>
      <c r="D678" t="n">
        <v>0.02458982875144944</v>
      </c>
      <c r="E678" t="n">
        <v>0.02144455121582318</v>
      </c>
      <c r="F678" t="n">
        <v>0.02551311188947889</v>
      </c>
    </row>
    <row r="679">
      <c r="A679" t="inlineStr">
        <is>
          <t>G|FICO x ASSET_CLASS|gco_rate|book|7</t>
        </is>
      </c>
      <c r="F679" t="n">
        <v>0.6132183435214595</v>
      </c>
    </row>
    <row r="680">
      <c r="A680" t="inlineStr">
        <is>
          <t>G|FICO x ASSET_CLASS|gco_rate|band|7</t>
        </is>
      </c>
    </row>
    <row r="681">
      <c r="A681" t="inlineStr">
        <is>
          <t>G|FICO x ASSET_CLASS|gco_rate|rate|8</t>
        </is>
      </c>
      <c r="B681" t="n">
        <v>0.03658802020131283</v>
      </c>
      <c r="C681" t="n">
        <v>0.03267264405351186</v>
      </c>
      <c r="D681" t="n">
        <v>0.0398533959196397</v>
      </c>
      <c r="E681" t="n">
        <v>0.05721698514012346</v>
      </c>
      <c r="F681" t="n">
        <v>0.0416052653333356</v>
      </c>
    </row>
    <row r="682">
      <c r="A682" t="inlineStr">
        <is>
          <t>G|FICO x ASSET_CLASS|gco_rate|book|8</t>
        </is>
      </c>
      <c r="B682" t="n">
        <v>0.8794084092043318</v>
      </c>
      <c r="C682" t="n">
        <v>0.7853007015276345</v>
      </c>
      <c r="D682" t="n">
        <v>0.9578930839724202</v>
      </c>
      <c r="E682" t="n">
        <v>1.375234232535446</v>
      </c>
      <c r="F682" t="n">
        <v>0.9999999999999988</v>
      </c>
    </row>
    <row r="683">
      <c r="A683" t="inlineStr">
        <is>
          <t>G|FICO x ASSET_CLASS|gco_rate|band|8</t>
        </is>
      </c>
    </row>
    <row r="684">
      <c r="A684" t="inlineStr">
        <is>
          <t>G|FICO x ASSET_CLASS|gco_rate|meta</t>
        </is>
      </c>
      <c r="B684" t="inlineStr">
        <is>
          <t>x</t>
        </is>
      </c>
      <c r="C684" t="n">
        <v>2.960343062338384</v>
      </c>
      <c r="D684" t="n">
        <v>10</v>
      </c>
      <c r="E684" t="n">
        <v>0.04160526533333565</v>
      </c>
      <c r="F684" t="n">
        <v>65</v>
      </c>
    </row>
    <row r="685">
      <c r="A685" t="inlineStr">
        <is>
          <t>G|FICO x ASSET_CLASS|ranr_rate|rate|1</t>
        </is>
      </c>
      <c r="B685" t="n">
        <v>0.2077442608211614</v>
      </c>
      <c r="C685" t="n">
        <v>0.2055596297167591</v>
      </c>
      <c r="D685" t="n">
        <v>0.1917460412988871</v>
      </c>
      <c r="E685" t="n">
        <v>0.1527857550175701</v>
      </c>
      <c r="F685" t="n">
        <v>0.1901717430158448</v>
      </c>
    </row>
    <row r="686">
      <c r="A686" t="inlineStr">
        <is>
          <t>G|FICO x ASSET_CLASS|ranr_rate|book|1</t>
        </is>
      </c>
      <c r="B686" t="n">
        <v>7.975421117</v>
      </c>
      <c r="C686" t="n">
        <v>7.756958007</v>
      </c>
      <c r="D686" t="n">
        <v>6.375599165</v>
      </c>
      <c r="E686" t="n">
        <v>2.479570537</v>
      </c>
      <c r="F686" t="n">
        <v>6.218169337</v>
      </c>
    </row>
    <row r="687">
      <c r="A687" t="inlineStr">
        <is>
          <t>G|FICO x ASSET_CLASS|ranr_rate|band|1</t>
        </is>
      </c>
      <c r="B687" t="n">
        <v>2.392162031</v>
      </c>
      <c r="C687" t="n">
        <v>2.083559861</v>
      </c>
      <c r="D687" t="n">
        <v>0.204727885</v>
      </c>
      <c r="E687" t="n">
        <v>-4.932817269</v>
      </c>
    </row>
    <row r="688">
      <c r="A688" t="inlineStr">
        <is>
          <t>G|FICO x ASSET_CLASS|ranr_rate|rate|2</t>
        </is>
      </c>
      <c r="B688" t="n">
        <v>0.1778760363577258</v>
      </c>
      <c r="C688" t="n">
        <v>0.1780228111174895</v>
      </c>
      <c r="D688" t="n">
        <v>0.1597304607764646</v>
      </c>
      <c r="E688" t="n">
        <v>0.1399400584406234</v>
      </c>
      <c r="F688" t="n">
        <v>0.1630754408239561</v>
      </c>
    </row>
    <row r="689">
      <c r="A689" t="inlineStr">
        <is>
          <t>G|FICO x ASSET_CLASS|ranr_rate|book|2</t>
        </is>
      </c>
      <c r="B689" t="n">
        <v>4.988598671</v>
      </c>
      <c r="C689" t="n">
        <v>5.003276147</v>
      </c>
      <c r="D689" t="n">
        <v>3.174041113</v>
      </c>
      <c r="E689" t="n">
        <v>1.195000879</v>
      </c>
      <c r="F689" t="n">
        <v>3.508539118</v>
      </c>
    </row>
    <row r="690">
      <c r="A690" t="inlineStr">
        <is>
          <t>G|FICO x ASSET_CLASS|ranr_rate|band|2</t>
        </is>
      </c>
      <c r="B690" t="n">
        <v>1.989181743</v>
      </c>
      <c r="C690" t="n">
        <v>1.93196642</v>
      </c>
      <c r="D690" t="n">
        <v>-0.441818424</v>
      </c>
      <c r="E690" t="n">
        <v>-3.190361831</v>
      </c>
    </row>
    <row r="691">
      <c r="A691" t="inlineStr">
        <is>
          <t>G|FICO x ASSET_CLASS|ranr_rate|rate|3</t>
        </is>
      </c>
      <c r="B691" t="n">
        <v>0.1394747088927646</v>
      </c>
      <c r="C691" t="n">
        <v>0.1529877133403514</v>
      </c>
      <c r="D691" t="n">
        <v>0.1323364145670277</v>
      </c>
      <c r="E691" t="n">
        <v>0.1425164613916163</v>
      </c>
      <c r="F691" t="n">
        <v>0.1419183148673722</v>
      </c>
    </row>
    <row r="692">
      <c r="A692" t="inlineStr">
        <is>
          <t>G|FICO x ASSET_CLASS|ranr_rate|book|3</t>
        </is>
      </c>
      <c r="B692" t="n">
        <v>1.148465924</v>
      </c>
      <c r="C692" t="n">
        <v>2.499766369</v>
      </c>
      <c r="D692" t="n">
        <v>0.434636492</v>
      </c>
      <c r="E692" t="n">
        <v>1.452641174</v>
      </c>
      <c r="F692" t="n">
        <v>1.392826522</v>
      </c>
    </row>
    <row r="693">
      <c r="A693" t="inlineStr">
        <is>
          <t>G|FICO x ASSET_CLASS|ranr_rate|band|3</t>
        </is>
      </c>
      <c r="B693" t="n">
        <v>-0.317887412</v>
      </c>
      <c r="C693" t="n">
        <v>1.483470976</v>
      </c>
      <c r="D693" t="n">
        <v>-1.278821356</v>
      </c>
      <c r="E693" t="n">
        <v>0.081287575</v>
      </c>
    </row>
    <row r="694">
      <c r="A694" t="inlineStr">
        <is>
          <t>G|FICO x ASSET_CLASS|ranr_rate|rate|4</t>
        </is>
      </c>
      <c r="B694" t="n">
        <v>0.1013543955768143</v>
      </c>
      <c r="C694" t="n">
        <v>0.09423281563887562</v>
      </c>
      <c r="D694" t="n">
        <v>0.1008589944409684</v>
      </c>
      <c r="E694" t="n">
        <v>0.08852018205526856</v>
      </c>
      <c r="F694" t="n">
        <v>0.09596924359374788</v>
      </c>
    </row>
    <row r="695">
      <c r="A695" t="inlineStr">
        <is>
          <t>G|FICO x ASSET_CLASS|ranr_rate|book|4</t>
        </is>
      </c>
      <c r="B695" t="n">
        <v>-2.663565407</v>
      </c>
      <c r="C695" t="n">
        <v>-3.375723401</v>
      </c>
      <c r="D695" t="n">
        <v>-2.713105521</v>
      </c>
      <c r="E695" t="n">
        <v>-3.946986759</v>
      </c>
      <c r="F695" t="n">
        <v>-3.202080605</v>
      </c>
    </row>
    <row r="696">
      <c r="A696" t="inlineStr">
        <is>
          <t>G|FICO x ASSET_CLASS|ranr_rate|band|4</t>
        </is>
      </c>
      <c r="B696" t="n">
        <v>0.69605054</v>
      </c>
      <c r="C696" t="n">
        <v>-0.239737957</v>
      </c>
      <c r="D696" t="n">
        <v>0.643941248</v>
      </c>
      <c r="E696" t="n">
        <v>-1.003000679</v>
      </c>
    </row>
    <row r="697">
      <c r="A697" t="inlineStr">
        <is>
          <t>G|FICO x ASSET_CLASS|ranr_rate|rate|5</t>
        </is>
      </c>
      <c r="B697" t="n">
        <v>0.04893947310134965</v>
      </c>
      <c r="C697" t="n">
        <v>0.03938017904569642</v>
      </c>
      <c r="D697" t="n">
        <v>0.05119390860871899</v>
      </c>
      <c r="E697" t="n">
        <v>0.04769662628883067</v>
      </c>
      <c r="F697" t="n">
        <v>0.04674341748455087</v>
      </c>
    </row>
    <row r="698">
      <c r="A698" t="inlineStr">
        <is>
          <t>G|FICO x ASSET_CLASS|ranr_rate|book|5</t>
        </is>
      </c>
      <c r="B698" t="n">
        <v>-7.905057655</v>
      </c>
      <c r="C698" t="n">
        <v>-8.860987059999999</v>
      </c>
      <c r="D698" t="n">
        <v>-7.679614104</v>
      </c>
      <c r="E698" t="n">
        <v>-8.029342335999999</v>
      </c>
      <c r="F698" t="n">
        <v>-8.124663216</v>
      </c>
    </row>
    <row r="699">
      <c r="A699" t="inlineStr">
        <is>
          <t>G|FICO x ASSET_CLASS|ranr_rate|band|5</t>
        </is>
      </c>
      <c r="B699" t="n">
        <v>0.298378866</v>
      </c>
      <c r="C699" t="n">
        <v>-0.992993733</v>
      </c>
      <c r="D699" t="n">
        <v>0.59204368</v>
      </c>
      <c r="E699" t="n">
        <v>0.123669923</v>
      </c>
    </row>
    <row r="700">
      <c r="A700" t="inlineStr">
        <is>
          <t>G|FICO x ASSET_CLASS|ranr_rate|rate|6</t>
        </is>
      </c>
      <c r="C700" t="n">
        <v>0.140296941334961</v>
      </c>
      <c r="F700" t="n">
        <v>0.140296941334961</v>
      </c>
    </row>
    <row r="701">
      <c r="A701" t="inlineStr">
        <is>
          <t>G|FICO x ASSET_CLASS|ranr_rate|book|6</t>
        </is>
      </c>
      <c r="C701" t="n">
        <v>1.230689169</v>
      </c>
      <c r="F701" t="n">
        <v>1.230689169</v>
      </c>
    </row>
    <row r="702">
      <c r="A702" t="inlineStr">
        <is>
          <t>G|FICO x ASSET_CLASS|ranr_rate|band|6</t>
        </is>
      </c>
    </row>
    <row r="703">
      <c r="A703" t="inlineStr">
        <is>
          <t>G|FICO x ASSET_CLASS|ranr_rate|rate|7</t>
        </is>
      </c>
      <c r="B703" t="n">
        <v>0.1796574184198243</v>
      </c>
      <c r="C703" t="n">
        <v>0.112038788814841</v>
      </c>
      <c r="D703" t="n">
        <v>0.1540231821186723</v>
      </c>
      <c r="E703" t="n">
        <v>0.1646195456584492</v>
      </c>
      <c r="F703" t="n">
        <v>0.1551731988462655</v>
      </c>
    </row>
    <row r="704">
      <c r="A704" t="inlineStr">
        <is>
          <t>G|FICO x ASSET_CLASS|ranr_rate|book|7</t>
        </is>
      </c>
      <c r="B704" t="n">
        <v>5.166736877</v>
      </c>
      <c r="C704" t="n">
        <v>-1.595126083</v>
      </c>
      <c r="D704" t="n">
        <v>2.603313247</v>
      </c>
      <c r="E704" t="n">
        <v>3.662949601</v>
      </c>
      <c r="F704" t="n">
        <v>2.71831492</v>
      </c>
    </row>
    <row r="705">
      <c r="A705" t="inlineStr">
        <is>
          <t>G|FICO x ASSET_CLASS|ranr_rate|band|7</t>
        </is>
      </c>
      <c r="B705" t="n">
        <v>3.431925923</v>
      </c>
      <c r="C705" t="n">
        <v>-5.428953282</v>
      </c>
      <c r="D705" t="n">
        <v>-0.159407582</v>
      </c>
      <c r="E705" t="n">
        <v>1.225814525</v>
      </c>
    </row>
    <row r="706">
      <c r="A706" t="inlineStr">
        <is>
          <t>G|FICO x ASSET_CLASS|ranr_rate|rate|8</t>
        </is>
      </c>
      <c r="B706" t="n">
        <v>0.1366271301464631</v>
      </c>
      <c r="C706" t="n">
        <v>0.1319777891966655</v>
      </c>
      <c r="D706" t="n">
        <v>0.1267931865560142</v>
      </c>
      <c r="E706" t="n">
        <v>0.1166197094471362</v>
      </c>
      <c r="F706" t="n">
        <v>0.1279900496481476</v>
      </c>
    </row>
    <row r="707">
      <c r="A707" t="inlineStr">
        <is>
          <t>G|FICO x ASSET_CLASS|ranr_rate|book|8</t>
        </is>
      </c>
      <c r="B707" t="n">
        <v>0.8637080499999999</v>
      </c>
      <c r="C707" t="n">
        <v>0.398773955</v>
      </c>
      <c r="D707" t="n">
        <v>-0.119686309</v>
      </c>
      <c r="E707" t="n">
        <v>-1.13703402</v>
      </c>
      <c r="F707" t="n">
        <v>0</v>
      </c>
    </row>
    <row r="708">
      <c r="A708" t="inlineStr">
        <is>
          <t>G|FICO x ASSET_CLASS|ranr_rate|band|8</t>
        </is>
      </c>
    </row>
    <row r="709">
      <c r="A709" t="inlineStr">
        <is>
          <t>G|FICO x ASSET_CLASS|ranr_rate|meta</t>
        </is>
      </c>
      <c r="B709" t="inlineStr">
        <is>
          <t>pts</t>
        </is>
      </c>
      <c r="C709" t="n">
        <v>8.860987059999999</v>
      </c>
      <c r="D709" t="n">
        <v>10</v>
      </c>
      <c r="E709" t="n">
        <v>0.1279900496481481</v>
      </c>
      <c r="F709" t="n">
        <v>65</v>
      </c>
    </row>
    <row r="710">
      <c r="A710" t="inlineStr">
        <is>
          <t>G|FICO x ASSET_CLASS|contribution_rate|rate|1</t>
        </is>
      </c>
      <c r="B710" t="n">
        <v>0.2812964913716731</v>
      </c>
      <c r="C710" t="n">
        <v>0.2649668185297895</v>
      </c>
      <c r="D710" t="n">
        <v>0.2721693757412896</v>
      </c>
      <c r="E710" t="n">
        <v>0.2759516136038578</v>
      </c>
      <c r="F710" t="n">
        <v>0.2736243023088951</v>
      </c>
    </row>
    <row r="711">
      <c r="A711" t="inlineStr">
        <is>
          <t>G|FICO x ASSET_CLASS|contribution_rate|book|1</t>
        </is>
      </c>
      <c r="B711" t="n">
        <v>11.170403564</v>
      </c>
      <c r="C711" t="n">
        <v>9.537436279</v>
      </c>
      <c r="D711" t="n">
        <v>10.257692001</v>
      </c>
      <c r="E711" t="n">
        <v>10.635915787</v>
      </c>
      <c r="F711" t="n">
        <v>10.403184657</v>
      </c>
    </row>
    <row r="712">
      <c r="A712" t="inlineStr">
        <is>
          <t>G|FICO x ASSET_CLASS|contribution_rate|band|1</t>
        </is>
      </c>
      <c r="B712" t="n">
        <v>1.044421726</v>
      </c>
      <c r="C712" t="n">
        <v>-1.172245809</v>
      </c>
      <c r="D712" t="n">
        <v>-0.189204322</v>
      </c>
      <c r="E712" t="n">
        <v>0.307072301</v>
      </c>
    </row>
    <row r="713">
      <c r="A713" t="inlineStr">
        <is>
          <t>G|FICO x ASSET_CLASS|contribution_rate|rate|2</t>
        </is>
      </c>
      <c r="B713" t="n">
        <v>0.2105049976146541</v>
      </c>
      <c r="C713" t="n">
        <v>0.210231621819407</v>
      </c>
      <c r="D713" t="n">
        <v>0.2087765728326179</v>
      </c>
      <c r="E713" t="n">
        <v>0.2041982869482105</v>
      </c>
      <c r="F713" t="n">
        <v>0.2082899782331105</v>
      </c>
    </row>
    <row r="714">
      <c r="A714" t="inlineStr">
        <is>
          <t>G|FICO x ASSET_CLASS|contribution_rate|book|2</t>
        </is>
      </c>
      <c r="B714" t="n">
        <v>4.091254188</v>
      </c>
      <c r="C714" t="n">
        <v>4.063916608</v>
      </c>
      <c r="D714" t="n">
        <v>3.91841171</v>
      </c>
      <c r="E714" t="n">
        <v>3.460583121</v>
      </c>
      <c r="F714" t="n">
        <v>3.86975225</v>
      </c>
    </row>
    <row r="715">
      <c r="A715" t="inlineStr">
        <is>
          <t>G|FICO x ASSET_CLASS|contribution_rate|band|2</t>
        </is>
      </c>
      <c r="B715" t="n">
        <v>0.297695867</v>
      </c>
      <c r="C715" t="n">
        <v>0.250959877</v>
      </c>
      <c r="D715" t="n">
        <v>0.06427137300000001</v>
      </c>
      <c r="E715" t="n">
        <v>-0.564242919</v>
      </c>
    </row>
    <row r="716">
      <c r="A716" t="inlineStr">
        <is>
          <t>G|FICO x ASSET_CLASS|contribution_rate|rate|3</t>
        </is>
      </c>
      <c r="B716" t="n">
        <v>0.1744600169252025</v>
      </c>
      <c r="C716" t="n">
        <v>0.1716948683087108</v>
      </c>
      <c r="D716" t="n">
        <v>0.1667164267298157</v>
      </c>
      <c r="E716" t="n">
        <v>0.1805799876788757</v>
      </c>
      <c r="F716" t="n">
        <v>0.1734333199610002</v>
      </c>
    </row>
    <row r="717">
      <c r="A717" t="inlineStr">
        <is>
          <t>G|FICO x ASSET_CLASS|contribution_rate|book|3</t>
        </is>
      </c>
      <c r="B717" t="n">
        <v>0.486756119</v>
      </c>
      <c r="C717" t="n">
        <v>0.210241257</v>
      </c>
      <c r="D717" t="n">
        <v>-0.287602901</v>
      </c>
      <c r="E717" t="n">
        <v>1.098753194</v>
      </c>
      <c r="F717" t="n">
        <v>0.384086423</v>
      </c>
    </row>
    <row r="718">
      <c r="A718" t="inlineStr">
        <is>
          <t>G|FICO x ASSET_CLASS|contribution_rate|band|3</t>
        </is>
      </c>
      <c r="B718" t="n">
        <v>0.133562467</v>
      </c>
      <c r="C718" t="n">
        <v>-0.232979468</v>
      </c>
      <c r="D718" t="n">
        <v>-0.896451251</v>
      </c>
      <c r="E718" t="n">
        <v>0.971225716</v>
      </c>
    </row>
    <row r="719">
      <c r="A719" t="inlineStr">
        <is>
          <t>G|FICO x ASSET_CLASS|contribution_rate|rate|4</t>
        </is>
      </c>
      <c r="B719" t="n">
        <v>0.1258163271754221</v>
      </c>
      <c r="C719" t="n">
        <v>0.1205670207125402</v>
      </c>
      <c r="D719" t="n">
        <v>0.1240862659571156</v>
      </c>
      <c r="E719" t="n">
        <v>0.1345245999045592</v>
      </c>
      <c r="F719" t="n">
        <v>0.126193889200492</v>
      </c>
    </row>
    <row r="720">
      <c r="A720" t="inlineStr">
        <is>
          <t>G|FICO x ASSET_CLASS|contribution_rate|book|4</t>
        </is>
      </c>
      <c r="B720" t="n">
        <v>-4.377612856</v>
      </c>
      <c r="C720" t="n">
        <v>-4.902543502</v>
      </c>
      <c r="D720" t="n">
        <v>-4.550618978</v>
      </c>
      <c r="E720" t="n">
        <v>-3.506785583</v>
      </c>
      <c r="F720" t="n">
        <v>-4.339856653</v>
      </c>
    </row>
    <row r="721">
      <c r="A721" t="inlineStr">
        <is>
          <t>G|FICO x ASSET_CLASS|contribution_rate|band|4</t>
        </is>
      </c>
      <c r="B721" t="n">
        <v>-0.048763379</v>
      </c>
      <c r="C721" t="n">
        <v>-0.777097056</v>
      </c>
      <c r="D721" t="n">
        <v>-0.277625563</v>
      </c>
      <c r="E721" t="n">
        <v>1.122014979</v>
      </c>
    </row>
    <row r="722">
      <c r="A722" t="inlineStr">
        <is>
          <t>G|FICO x ASSET_CLASS|contribution_rate|rate|5</t>
        </is>
      </c>
      <c r="B722" t="n">
        <v>0.06740284547541511</v>
      </c>
      <c r="C722" t="n">
        <v>0.06367565699250349</v>
      </c>
      <c r="D722" t="n">
        <v>0.068022040936428</v>
      </c>
      <c r="E722" t="n">
        <v>0.06547723796249581</v>
      </c>
      <c r="F722" t="n">
        <v>0.06615176452409989</v>
      </c>
    </row>
    <row r="723">
      <c r="A723" t="inlineStr">
        <is>
          <t>G|FICO x ASSET_CLASS|contribution_rate|book|5</t>
        </is>
      </c>
      <c r="B723" t="n">
        <v>-10.218961026</v>
      </c>
      <c r="C723" t="n">
        <v>-10.591679874</v>
      </c>
      <c r="D723" t="n">
        <v>-10.15704148</v>
      </c>
      <c r="E723" t="n">
        <v>-10.411521777</v>
      </c>
      <c r="F723" t="n">
        <v>-10.344069121</v>
      </c>
    </row>
    <row r="724">
      <c r="A724" t="inlineStr">
        <is>
          <t>G|FICO x ASSET_CLASS|contribution_rate|band|5</t>
        </is>
      </c>
      <c r="B724" t="n">
        <v>0.169984818</v>
      </c>
      <c r="C724" t="n">
        <v>-0.333923623</v>
      </c>
      <c r="D724" t="n">
        <v>0.248800705</v>
      </c>
      <c r="E724" t="n">
        <v>-0.08751351</v>
      </c>
    </row>
    <row r="725">
      <c r="A725" t="inlineStr">
        <is>
          <t>G|FICO x ASSET_CLASS|contribution_rate|rate|6</t>
        </is>
      </c>
      <c r="C725" t="n">
        <v>0.140296941334961</v>
      </c>
      <c r="F725" t="n">
        <v>0.140296941334961</v>
      </c>
    </row>
    <row r="726">
      <c r="A726" t="inlineStr">
        <is>
          <t>G|FICO x ASSET_CLASS|contribution_rate|book|6</t>
        </is>
      </c>
      <c r="C726" t="n">
        <v>-2.92955144</v>
      </c>
      <c r="F726" t="n">
        <v>-2.92955144</v>
      </c>
    </row>
    <row r="727">
      <c r="A727" t="inlineStr">
        <is>
          <t>G|FICO x ASSET_CLASS|contribution_rate|band|6</t>
        </is>
      </c>
    </row>
    <row r="728">
      <c r="A728" t="inlineStr">
        <is>
          <t>G|FICO x ASSET_CLASS|contribution_rate|rate|7</t>
        </is>
      </c>
      <c r="B728" t="n">
        <v>0.1837850405811932</v>
      </c>
      <c r="C728" t="n">
        <v>0.1731718550593566</v>
      </c>
      <c r="D728" t="n">
        <v>0.1786130108701217</v>
      </c>
      <c r="E728" t="n">
        <v>0.1860640968742723</v>
      </c>
      <c r="F728" t="n">
        <v>0.1806863107357444</v>
      </c>
    </row>
    <row r="729">
      <c r="A729" t="inlineStr">
        <is>
          <t>G|FICO x ASSET_CLASS|contribution_rate|book|7</t>
        </is>
      </c>
      <c r="B729" t="n">
        <v>1.419258485</v>
      </c>
      <c r="C729" t="n">
        <v>0.357939932</v>
      </c>
      <c r="D729" t="n">
        <v>0.9020555139999999</v>
      </c>
      <c r="E729" t="n">
        <v>1.647164114</v>
      </c>
      <c r="F729" t="n">
        <v>1.1093855</v>
      </c>
    </row>
    <row r="730">
      <c r="A730" t="inlineStr">
        <is>
          <t>G|FICO x ASSET_CLASS|contribution_rate|band|7</t>
        </is>
      </c>
      <c r="B730" t="n">
        <v>0.434345528</v>
      </c>
      <c r="C730" t="n">
        <v>-0.9457792229999999</v>
      </c>
      <c r="D730" t="n">
        <v>-0.287386879</v>
      </c>
      <c r="E730" t="n">
        <v>0.6978537299999999</v>
      </c>
    </row>
    <row r="731">
      <c r="A731" t="inlineStr">
        <is>
          <t>G|FICO x ASSET_CLASS|contribution_rate|rate|8</t>
        </is>
      </c>
      <c r="B731" t="n">
        <v>0.1732090054791082</v>
      </c>
      <c r="C731" t="n">
        <v>0.1646504332501773</v>
      </c>
      <c r="D731" t="n">
        <v>0.1666465824756539</v>
      </c>
      <c r="E731" t="n">
        <v>0.1738366945872596</v>
      </c>
      <c r="F731" t="n">
        <v>0.1695924557349811</v>
      </c>
    </row>
    <row r="732">
      <c r="A732" t="inlineStr">
        <is>
          <t>G|FICO x ASSET_CLASS|contribution_rate|book|8</t>
        </is>
      </c>
      <c r="B732" t="n">
        <v>0.361654974</v>
      </c>
      <c r="C732" t="n">
        <v>-0.494202248</v>
      </c>
      <c r="D732" t="n">
        <v>-0.294587326</v>
      </c>
      <c r="E732" t="n">
        <v>0.424423885</v>
      </c>
      <c r="F732" t="n">
        <v>0</v>
      </c>
    </row>
    <row r="733">
      <c r="A733" t="inlineStr">
        <is>
          <t>G|FICO x ASSET_CLASS|contribution_rate|band|8</t>
        </is>
      </c>
    </row>
    <row r="734">
      <c r="A734" t="inlineStr">
        <is>
          <t>G|FICO x ASSET_CLASS|contribution_rate|meta</t>
        </is>
      </c>
      <c r="B734" t="inlineStr">
        <is>
          <t>pts</t>
        </is>
      </c>
      <c r="C734" t="n">
        <v>11.170403564</v>
      </c>
      <c r="D734" t="n">
        <v>10</v>
      </c>
      <c r="E734" t="n">
        <v>0.1695924557349815</v>
      </c>
      <c r="F734" t="n">
        <v>65</v>
      </c>
    </row>
    <row r="735">
      <c r="A735" t="inlineStr">
        <is>
          <t>G|FICO x ASSET_CLASS|loan_size|rate|1</t>
        </is>
      </c>
      <c r="B735" t="n">
        <v>32069.41071428571</v>
      </c>
      <c r="C735" t="n">
        <v>33676.77170050762</v>
      </c>
      <c r="D735" t="n">
        <v>33497.838</v>
      </c>
      <c r="E735" t="n">
        <v>31341.60354591837</v>
      </c>
      <c r="F735" t="n">
        <v>32614.36532133676</v>
      </c>
    </row>
    <row r="736">
      <c r="A736" t="inlineStr">
        <is>
          <t>G|FICO x ASSET_CLASS|loan_size|median|1</t>
        </is>
      </c>
      <c r="B736" t="n">
        <v>30522.735</v>
      </c>
      <c r="C736" t="n">
        <v>34580.375</v>
      </c>
      <c r="D736" t="n">
        <v>33487.69500000001</v>
      </c>
      <c r="E736" t="n">
        <v>31415.885</v>
      </c>
      <c r="F736" t="n">
        <v>32375.37</v>
      </c>
    </row>
    <row r="737">
      <c r="A737" t="inlineStr">
        <is>
          <t>G|FICO x ASSET_CLASS|loan_size|book|1</t>
        </is>
      </c>
      <c r="B737" t="n">
        <v>0.9940123259925819</v>
      </c>
      <c r="C737" t="n">
        <v>1.043833529346108</v>
      </c>
      <c r="D737" t="n">
        <v>1.038287362457522</v>
      </c>
      <c r="E737" t="n">
        <v>0.97145346756053</v>
      </c>
      <c r="F737" t="n">
        <v>1.010903549886318</v>
      </c>
    </row>
    <row r="738">
      <c r="A738" t="inlineStr">
        <is>
          <t>G|FICO x ASSET_CLASS|loan_size|band|1</t>
        </is>
      </c>
      <c r="B738" t="n">
        <v>0.9772538448143129</v>
      </c>
      <c r="C738" t="n">
        <v>1.044107123995367</v>
      </c>
      <c r="D738" t="n">
        <v>1.03522687920485</v>
      </c>
      <c r="E738" t="n">
        <v>0.9485098261997063</v>
      </c>
    </row>
    <row r="739">
      <c r="A739" t="inlineStr">
        <is>
          <t>G|FICO x ASSET_CLASS|loan_size|rate|2</t>
        </is>
      </c>
      <c r="B739" t="n">
        <v>31815.63921914358</v>
      </c>
      <c r="C739" t="n">
        <v>31460.45647887324</v>
      </c>
      <c r="D739" t="n">
        <v>31796.6074801061</v>
      </c>
      <c r="E739" t="n">
        <v>33080.49717073171</v>
      </c>
      <c r="F739" t="n">
        <v>32066.01408706952</v>
      </c>
    </row>
    <row r="740">
      <c r="A740" t="inlineStr">
        <is>
          <t>G|FICO x ASSET_CLASS|loan_size|median|2</t>
        </is>
      </c>
      <c r="B740" t="n">
        <v>31668.2</v>
      </c>
      <c r="C740" t="n">
        <v>31111.95</v>
      </c>
      <c r="D740" t="n">
        <v>32702.65</v>
      </c>
      <c r="E740" t="n">
        <v>34305.495</v>
      </c>
      <c r="F740" t="n">
        <v>32343.46</v>
      </c>
    </row>
    <row r="741">
      <c r="A741" t="inlineStr">
        <is>
          <t>G|FICO x ASSET_CLASS|loan_size|book|2</t>
        </is>
      </c>
      <c r="B741" t="n">
        <v>0.9861465127912037</v>
      </c>
      <c r="C741" t="n">
        <v>0.975137391826868</v>
      </c>
      <c r="D741" t="n">
        <v>0.9855566116122619</v>
      </c>
      <c r="E741" t="n">
        <v>1.02535161093628</v>
      </c>
      <c r="F741" t="n">
        <v>0.9939070453140634</v>
      </c>
    </row>
    <row r="742">
      <c r="A742" t="inlineStr">
        <is>
          <t>G|FICO x ASSET_CLASS|loan_size|band|2</t>
        </is>
      </c>
      <c r="B742" t="n">
        <v>0.9895060007651535</v>
      </c>
      <c r="C742" t="n">
        <v>0.9755912653603921</v>
      </c>
      <c r="D742" t="n">
        <v>0.9889027964199246</v>
      </c>
      <c r="E742" t="n">
        <v>1.043627777485393</v>
      </c>
    </row>
    <row r="743">
      <c r="A743" t="inlineStr">
        <is>
          <t>G|FICO x ASSET_CLASS|loan_size|rate|3</t>
        </is>
      </c>
      <c r="B743" t="n">
        <v>31720.4635483871</v>
      </c>
      <c r="C743" t="n">
        <v>32781.94967088608</v>
      </c>
      <c r="D743" t="n">
        <v>32966.61737113402</v>
      </c>
      <c r="E743" t="n">
        <v>33111.78702702703</v>
      </c>
      <c r="F743" t="n">
        <v>32660.96505761844</v>
      </c>
    </row>
    <row r="744">
      <c r="A744" t="inlineStr">
        <is>
          <t>G|FICO x ASSET_CLASS|loan_size|median|3</t>
        </is>
      </c>
      <c r="B744" t="n">
        <v>31225.725</v>
      </c>
      <c r="C744" t="n">
        <v>34227.66</v>
      </c>
      <c r="D744" t="n">
        <v>31813.995</v>
      </c>
      <c r="E744" t="n">
        <v>34082.52</v>
      </c>
      <c r="F744" t="n">
        <v>32657.185</v>
      </c>
    </row>
    <row r="745">
      <c r="A745" t="inlineStr">
        <is>
          <t>G|FICO x ASSET_CLASS|loan_size|book|3</t>
        </is>
      </c>
      <c r="B745" t="n">
        <v>0.9831964807276456</v>
      </c>
      <c r="C745" t="n">
        <v>1.016097936230975</v>
      </c>
      <c r="D745" t="n">
        <v>1.021821832185739</v>
      </c>
      <c r="E745" t="n">
        <v>1.026321460464018</v>
      </c>
      <c r="F745" t="n">
        <v>1.012347939141384</v>
      </c>
    </row>
    <row r="746">
      <c r="A746" t="inlineStr">
        <is>
          <t>G|FICO x ASSET_CLASS|loan_size|band|3</t>
        </is>
      </c>
      <c r="B746" t="n">
        <v>0.9625395804749474</v>
      </c>
      <c r="C746" t="n">
        <v>1.004964278754078</v>
      </c>
      <c r="D746" t="n">
        <v>1.012489840917477</v>
      </c>
      <c r="E746" t="n">
        <v>1.018758263916326</v>
      </c>
    </row>
    <row r="747">
      <c r="A747" t="inlineStr">
        <is>
          <t>G|FICO x ASSET_CLASS|loan_size|rate|4</t>
        </is>
      </c>
      <c r="B747" t="n">
        <v>32044.75894736842</v>
      </c>
      <c r="C747" t="n">
        <v>32771.12886046512</v>
      </c>
      <c r="D747" t="n">
        <v>31378.45494897959</v>
      </c>
      <c r="E747" t="n">
        <v>30801.84119437939</v>
      </c>
      <c r="F747" t="n">
        <v>31746.88442236025</v>
      </c>
    </row>
    <row r="748">
      <c r="A748" t="inlineStr">
        <is>
          <t>G|FICO x ASSET_CLASS|loan_size|median|4</t>
        </is>
      </c>
      <c r="B748" t="n">
        <v>30778.99</v>
      </c>
      <c r="C748" t="n">
        <v>33664.825</v>
      </c>
      <c r="D748" t="n">
        <v>31689.86</v>
      </c>
      <c r="E748" t="n">
        <v>29518.1</v>
      </c>
      <c r="F748" t="n">
        <v>31495.24</v>
      </c>
    </row>
    <row r="749">
      <c r="A749" t="inlineStr">
        <is>
          <t>G|FICO x ASSET_CLASS|loan_size|book|4</t>
        </is>
      </c>
      <c r="B749" t="n">
        <v>0.9932482283797011</v>
      </c>
      <c r="C749" t="n">
        <v>1.01576253814613</v>
      </c>
      <c r="D749" t="n">
        <v>0.9725957008618941</v>
      </c>
      <c r="E749" t="n">
        <v>0.9547231810168649</v>
      </c>
      <c r="F749" t="n">
        <v>0.9840154129689267</v>
      </c>
    </row>
    <row r="750">
      <c r="A750" t="inlineStr">
        <is>
          <t>G|FICO x ASSET_CLASS|loan_size|band|4</t>
        </is>
      </c>
      <c r="B750" t="n">
        <v>1.01212760551263</v>
      </c>
      <c r="C750" t="n">
        <v>1.044543315038759</v>
      </c>
      <c r="D750" t="n">
        <v>0.9847168537629402</v>
      </c>
      <c r="E750" t="n">
        <v>0.9599179220277211</v>
      </c>
    </row>
    <row r="751">
      <c r="A751" t="inlineStr">
        <is>
          <t>G|FICO x ASSET_CLASS|loan_size|rate|5</t>
        </is>
      </c>
      <c r="B751" t="n">
        <v>32219.84024154589</v>
      </c>
      <c r="C751" t="n">
        <v>32731.6756641604</v>
      </c>
      <c r="D751" t="n">
        <v>32583.63457142857</v>
      </c>
      <c r="E751" t="n">
        <v>31051.18646112601</v>
      </c>
      <c r="F751" t="n">
        <v>32161.51770210057</v>
      </c>
    </row>
    <row r="752">
      <c r="A752" t="inlineStr">
        <is>
          <t>G|FICO x ASSET_CLASS|loan_size|median|5</t>
        </is>
      </c>
      <c r="B752" t="n">
        <v>32863.86</v>
      </c>
      <c r="C752" t="n">
        <v>32452.72</v>
      </c>
      <c r="D752" t="n">
        <v>30942.36</v>
      </c>
      <c r="E752" t="n">
        <v>29478.93</v>
      </c>
      <c r="F752" t="n">
        <v>31538.61</v>
      </c>
    </row>
    <row r="753">
      <c r="A753" t="inlineStr">
        <is>
          <t>G|FICO x ASSET_CLASS|loan_size|book|5</t>
        </is>
      </c>
      <c r="B753" t="n">
        <v>0.9986749874185135</v>
      </c>
      <c r="C753" t="n">
        <v>1.014539660564248</v>
      </c>
      <c r="D753" t="n">
        <v>1.009951030226139</v>
      </c>
      <c r="E753" t="n">
        <v>0.9624518003788551</v>
      </c>
      <c r="F753" t="n">
        <v>0.9968672422245548</v>
      </c>
    </row>
    <row r="754">
      <c r="A754" t="inlineStr">
        <is>
          <t>G|FICO x ASSET_CLASS|loan_size|band|5</t>
        </is>
      </c>
      <c r="B754" t="n">
        <v>1.002463908721198</v>
      </c>
      <c r="C754" t="n">
        <v>1.023907617657822</v>
      </c>
      <c r="D754" t="n">
        <v>1.017459909323566</v>
      </c>
      <c r="E754" t="n">
        <v>0.9552088645841196</v>
      </c>
    </row>
    <row r="755">
      <c r="A755" t="inlineStr">
        <is>
          <t>G|FICO x ASSET_CLASS|loan_size|rate|6</t>
        </is>
      </c>
      <c r="C755" t="n">
        <v>27999.47</v>
      </c>
      <c r="F755" t="n">
        <v>27999.47</v>
      </c>
    </row>
    <row r="756">
      <c r="A756" t="inlineStr">
        <is>
          <t>G|FICO x ASSET_CLASS|loan_size|median|6</t>
        </is>
      </c>
      <c r="C756" t="n">
        <v>27999.47</v>
      </c>
      <c r="F756" t="n">
        <v>27999.47</v>
      </c>
    </row>
    <row r="757">
      <c r="A757" t="inlineStr">
        <is>
          <t>G|FICO x ASSET_CLASS|loan_size|book|6</t>
        </is>
      </c>
      <c r="C757" t="n">
        <v>0.8678618559355534</v>
      </c>
      <c r="F757" t="n">
        <v>0.8678618559355534</v>
      </c>
    </row>
    <row r="758">
      <c r="A758" t="inlineStr">
        <is>
          <t>G|FICO x ASSET_CLASS|loan_size|band|6</t>
        </is>
      </c>
    </row>
    <row r="759">
      <c r="A759" t="inlineStr">
        <is>
          <t>G|FICO x ASSET_CLASS|loan_size|rate|7</t>
        </is>
      </c>
      <c r="B759" t="n">
        <v>36082.80619047619</v>
      </c>
      <c r="C759" t="n">
        <v>30183.32888888889</v>
      </c>
      <c r="D759" t="n">
        <v>34259.00325581395</v>
      </c>
      <c r="E759" t="n">
        <v>31103.28076923077</v>
      </c>
      <c r="F759" t="n">
        <v>33051.5174375</v>
      </c>
    </row>
    <row r="760">
      <c r="A760" t="inlineStr">
        <is>
          <t>G|FICO x ASSET_CLASS|loan_size|median|7</t>
        </is>
      </c>
      <c r="B760" t="n">
        <v>39367.89999999999</v>
      </c>
      <c r="C760" t="n">
        <v>25757.3</v>
      </c>
      <c r="D760" t="n">
        <v>38946.05</v>
      </c>
      <c r="E760" t="n">
        <v>30288.67</v>
      </c>
      <c r="F760" t="n">
        <v>33153.41</v>
      </c>
    </row>
    <row r="761">
      <c r="A761" t="inlineStr">
        <is>
          <t>G|FICO x ASSET_CLASS|loan_size|book|7</t>
        </is>
      </c>
      <c r="B761" t="n">
        <v>1.118410139471552</v>
      </c>
      <c r="C761" t="n">
        <v>0.9355519882277885</v>
      </c>
      <c r="D761" t="n">
        <v>1.061880176592373</v>
      </c>
      <c r="E761" t="n">
        <v>0.9640664974754601</v>
      </c>
      <c r="F761" t="n">
        <v>1.024453365181379</v>
      </c>
    </row>
    <row r="762">
      <c r="A762" t="inlineStr">
        <is>
          <t>G|FICO x ASSET_CLASS|loan_size|band|7</t>
        </is>
      </c>
      <c r="B762" t="n">
        <v>1.128554577206641</v>
      </c>
      <c r="C762" t="n">
        <v>0.8907783994882817</v>
      </c>
      <c r="D762" t="n">
        <v>1.050640204663856</v>
      </c>
      <c r="E762" t="n">
        <v>0.9235088506590057</v>
      </c>
    </row>
    <row r="763">
      <c r="A763" t="inlineStr">
        <is>
          <t>G|FICO x ASSET_CLASS|loan_size|rate|8</t>
        </is>
      </c>
      <c r="B763" t="n">
        <v>32065.1163559322</v>
      </c>
      <c r="C763" t="n">
        <v>32662.73807462686</v>
      </c>
      <c r="D763" t="n">
        <v>32465.53108527132</v>
      </c>
      <c r="E763" t="n">
        <v>31871.54123046875</v>
      </c>
      <c r="F763" t="n">
        <v>32262.58857732217</v>
      </c>
    </row>
    <row r="764">
      <c r="A764" t="inlineStr">
        <is>
          <t>G|FICO x ASSET_CLASS|loan_size|median|8</t>
        </is>
      </c>
      <c r="B764" t="n">
        <v>31623.27</v>
      </c>
      <c r="C764" t="n">
        <v>33128.685</v>
      </c>
      <c r="D764" t="n">
        <v>32094.51</v>
      </c>
      <c r="E764" t="n">
        <v>31492.09</v>
      </c>
      <c r="F764" t="n">
        <v>32112.83</v>
      </c>
    </row>
    <row r="765">
      <c r="A765" t="inlineStr">
        <is>
          <t>G|FICO x ASSET_CLASS|loan_size|book|8</t>
        </is>
      </c>
      <c r="B765" t="n">
        <v>0.9938792195512554</v>
      </c>
      <c r="C765" t="n">
        <v>1.012402894961317</v>
      </c>
      <c r="D765" t="n">
        <v>1.006290335552672</v>
      </c>
      <c r="E765" t="n">
        <v>0.9878792321355053</v>
      </c>
      <c r="F765" t="n">
        <v>1</v>
      </c>
    </row>
    <row r="766">
      <c r="A766" t="inlineStr">
        <is>
          <t>G|FICO x ASSET_CLASS|loan_size|band|8</t>
        </is>
      </c>
    </row>
    <row r="767">
      <c r="A767" t="inlineStr">
        <is>
          <t>G|FICO x ASSET_CLASS|loan_size|meta</t>
        </is>
      </c>
      <c r="B767" t="inlineStr">
        <is>
          <t>size</t>
        </is>
      </c>
      <c r="C767" t="n">
        <v>1</v>
      </c>
      <c r="E767" t="n">
        <v>32262.58857732217</v>
      </c>
      <c r="F767" t="n">
        <v>65</v>
      </c>
    </row>
    <row r="768">
      <c r="A768" t="inlineStr">
        <is>
          <t>G|FICO x ASSET_CLASS|where N|cols</t>
        </is>
      </c>
      <c r="B768" t="inlineStr">
        <is>
          <t>1</t>
        </is>
      </c>
      <c r="C768" t="inlineStr">
        <is>
          <t>2</t>
        </is>
      </c>
      <c r="D768" t="inlineStr">
        <is>
          <t>3</t>
        </is>
      </c>
      <c r="E768" t="inlineStr">
        <is>
          <t>4</t>
        </is>
      </c>
      <c r="F768" t="inlineStr">
        <is>
          <t>All</t>
        </is>
      </c>
    </row>
    <row r="769">
      <c r="A769" t="inlineStr">
        <is>
          <t>G|FICO x ASSET_CLASS|where N|heads</t>
        </is>
      </c>
      <c r="B769" t="inlineStr">
        <is>
          <t>1</t>
        </is>
      </c>
      <c r="C769" t="inlineStr">
        <is>
          <t>2</t>
        </is>
      </c>
      <c r="D769" t="inlineStr">
        <is>
          <t>3</t>
        </is>
      </c>
      <c r="E769" t="inlineStr">
        <is>
          <t>4</t>
        </is>
      </c>
      <c r="F769" t="inlineStr">
        <is>
          <t>All</t>
        </is>
      </c>
    </row>
    <row r="770">
      <c r="A770" t="inlineStr">
        <is>
          <t>G|FICO x ASSET_CLASS|where N|segs</t>
        </is>
      </c>
    </row>
    <row r="771">
      <c r="A771" t="inlineStr">
        <is>
          <t>G|FICO x ASSET_CLASS|where N|rows</t>
        </is>
      </c>
      <c r="B771" t="inlineStr">
        <is>
          <t>496 - 653</t>
        </is>
      </c>
      <c r="C771" t="inlineStr">
        <is>
          <t>654 - 685</t>
        </is>
      </c>
      <c r="D771" t="inlineStr">
        <is>
          <t>686 - 711</t>
        </is>
      </c>
      <c r="E771" t="inlineStr">
        <is>
          <t>712 - 745</t>
        </is>
      </c>
      <c r="F771" t="inlineStr">
        <is>
          <t>746 - 921</t>
        </is>
      </c>
      <c r="G771" t="inlineStr">
        <is>
          <t>(blank)</t>
        </is>
      </c>
      <c r="H771" t="inlineStr">
        <is>
          <t>(marked missing)</t>
        </is>
      </c>
      <c r="I771" t="inlineStr">
        <is>
          <t>All</t>
        </is>
      </c>
    </row>
    <row r="772">
      <c r="A772" t="inlineStr">
        <is>
          <t>G|FICO x ASSET_CLASS|where N|names</t>
        </is>
      </c>
      <c r="B772" t="inlineStr">
        <is>
          <t>FICO</t>
        </is>
      </c>
      <c r="C772" t="inlineStr">
        <is>
          <t>ASSET_CLASS</t>
        </is>
      </c>
    </row>
    <row r="773">
      <c r="A773" t="inlineStr">
        <is>
          <t>G|FICO x ASSET_CLASS|where N|total</t>
        </is>
      </c>
      <c r="B773" t="n">
        <v>4329</v>
      </c>
    </row>
    <row r="774">
      <c r="A774" t="inlineStr">
        <is>
          <t>G|FICO x ASSET_CLASS|where N|loans|1</t>
        </is>
      </c>
      <c r="B774" t="n">
        <v>234</v>
      </c>
      <c r="C774" t="n">
        <v>213</v>
      </c>
      <c r="D774" t="n">
        <v>184</v>
      </c>
      <c r="E774" t="n">
        <v>203</v>
      </c>
      <c r="F774" t="n">
        <v>834</v>
      </c>
    </row>
    <row r="775">
      <c r="A775" t="inlineStr">
        <is>
          <t>G|FICO x ASSET_CLASS|where N|loans|2</t>
        </is>
      </c>
      <c r="B775" t="n">
        <v>210</v>
      </c>
      <c r="C775" t="n">
        <v>192</v>
      </c>
      <c r="D775" t="n">
        <v>184</v>
      </c>
      <c r="E775" t="n">
        <v>219</v>
      </c>
      <c r="F775" t="n">
        <v>805</v>
      </c>
    </row>
    <row r="776">
      <c r="A776" t="inlineStr">
        <is>
          <t>G|FICO x ASSET_CLASS|where N|loans|3</t>
        </is>
      </c>
      <c r="B776" t="n">
        <v>205</v>
      </c>
      <c r="C776" t="n">
        <v>216</v>
      </c>
      <c r="D776" t="n">
        <v>192</v>
      </c>
      <c r="E776" t="n">
        <v>235</v>
      </c>
      <c r="F776" t="n">
        <v>848</v>
      </c>
    </row>
    <row r="777">
      <c r="A777" t="inlineStr">
        <is>
          <t>G|FICO x ASSET_CLASS|where N|loans|4</t>
        </is>
      </c>
      <c r="B777" t="n">
        <v>194</v>
      </c>
      <c r="C777" t="n">
        <v>247</v>
      </c>
      <c r="D777" t="n">
        <v>223</v>
      </c>
      <c r="E777" t="n">
        <v>220</v>
      </c>
      <c r="F777" t="n">
        <v>884</v>
      </c>
    </row>
    <row r="778">
      <c r="A778" t="inlineStr">
        <is>
          <t>G|FICO x ASSET_CLASS|where N|loans|5</t>
        </is>
      </c>
      <c r="B778" t="n">
        <v>231</v>
      </c>
      <c r="C778" t="n">
        <v>219</v>
      </c>
      <c r="D778" t="n">
        <v>211</v>
      </c>
      <c r="E778" t="n">
        <v>209</v>
      </c>
      <c r="F778" t="n">
        <v>870</v>
      </c>
    </row>
    <row r="779">
      <c r="A779" t="inlineStr">
        <is>
          <t>G|FICO x ASSET_CLASS|where N|loans|6</t>
        </is>
      </c>
    </row>
    <row r="780">
      <c r="A780" t="inlineStr">
        <is>
          <t>G|FICO x ASSET_CLASS|where N|loans|7</t>
        </is>
      </c>
      <c r="B780" t="n">
        <v>27</v>
      </c>
      <c r="C780" t="n">
        <v>18</v>
      </c>
      <c r="D780" t="n">
        <v>21</v>
      </c>
      <c r="E780" t="n">
        <v>22</v>
      </c>
      <c r="F780" t="n">
        <v>88</v>
      </c>
    </row>
    <row r="781">
      <c r="A781" t="inlineStr">
        <is>
          <t>G|FICO x ASSET_CLASS|where N|loans|8</t>
        </is>
      </c>
      <c r="B781" t="n">
        <v>1101</v>
      </c>
      <c r="C781" t="n">
        <v>1105</v>
      </c>
      <c r="D781" t="n">
        <v>1015</v>
      </c>
      <c r="E781" t="n">
        <v>1108</v>
      </c>
      <c r="F781" t="n">
        <v>4329</v>
      </c>
    </row>
    <row r="782">
      <c r="A782" t="inlineStr">
        <is>
          <t>G|FICO x ASSET_CLASS|where N|outcome_loans|rate|1</t>
        </is>
      </c>
      <c r="B782" t="n">
        <v>0.0811965811965812</v>
      </c>
      <c r="C782" t="n">
        <v>0.09905660377358491</v>
      </c>
      <c r="D782" t="n">
        <v>0.1195652173913044</v>
      </c>
      <c r="E782" t="n">
        <v>0.167487684729064</v>
      </c>
      <c r="F782" t="n">
        <v>0.1152460984393757</v>
      </c>
    </row>
    <row r="783">
      <c r="A783" t="inlineStr">
        <is>
          <t>G|FICO x ASSET_CLASS|where N|outcome_loans|book|1</t>
        </is>
      </c>
      <c r="B783" t="n">
        <v>1.049259213233365</v>
      </c>
      <c r="C783" t="n">
        <v>1.280054561526504</v>
      </c>
      <c r="D783" t="n">
        <v>1.545076209875676</v>
      </c>
      <c r="E783" t="n">
        <v>2.164352165020651</v>
      </c>
      <c r="F783" t="n">
        <v>1.489262587102692</v>
      </c>
    </row>
    <row r="784">
      <c r="A784" t="inlineStr">
        <is>
          <t>G|FICO x ASSET_CLASS|where N|outcome_loans|band|1</t>
        </is>
      </c>
      <c r="B784" t="n">
        <v>0.6316461316461316</v>
      </c>
      <c r="C784" t="n">
        <v>0.820188679245283</v>
      </c>
      <c r="D784" t="n">
        <v>1.048619271445358</v>
      </c>
      <c r="E784" t="n">
        <v>1.701890989988877</v>
      </c>
    </row>
    <row r="785">
      <c r="A785" t="inlineStr">
        <is>
          <t>G|FICO x ASSET_CLASS|where N|outcome_loans|rate|2</t>
        </is>
      </c>
      <c r="B785" t="n">
        <v>0.04761904761904762</v>
      </c>
      <c r="C785" t="n">
        <v>0.02083333333333333</v>
      </c>
      <c r="D785" t="n">
        <v>0.07065217391304347</v>
      </c>
      <c r="E785" t="n">
        <v>0.091324200913242</v>
      </c>
      <c r="F785" t="n">
        <v>0.05838509316770187</v>
      </c>
    </row>
    <row r="786">
      <c r="A786" t="inlineStr">
        <is>
          <t>G|FICO x ASSET_CLASS|where N|outcome_loans|book|2</t>
        </is>
      </c>
      <c r="B786" t="n">
        <v>0.615355027309793</v>
      </c>
      <c r="D786" t="n">
        <v>0.9129995785628994</v>
      </c>
      <c r="E786" t="n">
        <v>1.180132929087274</v>
      </c>
      <c r="F786" t="n">
        <v>0.7544787726146158</v>
      </c>
    </row>
    <row r="787">
      <c r="A787" t="inlineStr">
        <is>
          <t>G|FICO x ASSET_CLASS|where N|outcome_loans|band|2</t>
        </is>
      </c>
      <c r="B787" t="n">
        <v>0.7657657657657657</v>
      </c>
      <c r="D787" t="n">
        <v>1.290441176470588</v>
      </c>
      <c r="E787" t="n">
        <v>1.982073397598512</v>
      </c>
    </row>
    <row r="788">
      <c r="A788" t="inlineStr">
        <is>
          <t>G|FICO x ASSET_CLASS|where N|outcome_loans|rate|3</t>
        </is>
      </c>
      <c r="B788" t="n">
        <v>0.05365853658536585</v>
      </c>
      <c r="C788" t="n">
        <v>0.02314814814814815</v>
      </c>
      <c r="D788" t="n">
        <v>0.05208333333333334</v>
      </c>
      <c r="E788" t="n">
        <v>0.07659574468085106</v>
      </c>
      <c r="F788" t="n">
        <v>0.05188679245283019</v>
      </c>
    </row>
    <row r="789">
      <c r="A789" t="inlineStr">
        <is>
          <t>G|FICO x ASSET_CLASS|where N|outcome_loans|book|3</t>
        </is>
      </c>
      <c r="B789" t="n">
        <v>0.6934000551637181</v>
      </c>
      <c r="D789" t="n">
        <v>0.6730445611200861</v>
      </c>
      <c r="E789" t="n">
        <v>0.9898051077578799</v>
      </c>
      <c r="F789" t="n">
        <v>0.6705047703234066</v>
      </c>
    </row>
    <row r="790">
      <c r="A790" t="inlineStr">
        <is>
          <t>G|FICO x ASSET_CLASS|where N|outcome_loans|band|3</t>
        </is>
      </c>
      <c r="B790" t="n">
        <v>1.045528455284553</v>
      </c>
      <c r="D790" t="n">
        <v>1.004901960784314</v>
      </c>
      <c r="E790" t="n">
        <v>1.805891980360065</v>
      </c>
    </row>
    <row r="791">
      <c r="A791" t="inlineStr">
        <is>
          <t>G|FICO x ASSET_CLASS|where N|outcome_loans|rate|4</t>
        </is>
      </c>
      <c r="B791" t="n">
        <v>0.02577319587628866</v>
      </c>
      <c r="C791" t="n">
        <v>0.03643724696356275</v>
      </c>
      <c r="D791" t="n">
        <v>0.03587443946188341</v>
      </c>
      <c r="E791" t="n">
        <v>0.05909090909090909</v>
      </c>
      <c r="F791" t="n">
        <v>0.03959276018099547</v>
      </c>
    </row>
    <row r="792">
      <c r="A792" t="inlineStr">
        <is>
          <t>G|FICO x ASSET_CLASS|where N|outcome_loans|book|4</t>
        </is>
      </c>
      <c r="E792" t="n">
        <v>0.763599647525334</v>
      </c>
      <c r="F792" t="n">
        <v>0.5116356844713776</v>
      </c>
    </row>
    <row r="793">
      <c r="A793" t="inlineStr">
        <is>
          <t>G|FICO x ASSET_CLASS|where N|outcome_loans|band|4</t>
        </is>
      </c>
      <c r="E793" t="n">
        <v>1.783471074380165</v>
      </c>
    </row>
    <row r="794">
      <c r="A794" t="inlineStr">
        <is>
          <t>G|FICO x ASSET_CLASS|where N|outcome_loans|rate|5</t>
        </is>
      </c>
      <c r="B794" t="n">
        <v>0.01731601731601732</v>
      </c>
      <c r="C794" t="n">
        <v>0.0319634703196347</v>
      </c>
      <c r="D794" t="n">
        <v>0.03317535545023697</v>
      </c>
      <c r="E794" t="n">
        <v>0.03349282296650718</v>
      </c>
      <c r="F794" t="n">
        <v>0.02873563218390805</v>
      </c>
    </row>
    <row r="795">
      <c r="A795" t="inlineStr">
        <is>
          <t>G|FICO x ASSET_CLASS|where N|outcome_loans|book|5</t>
        </is>
      </c>
      <c r="F795" t="n">
        <v>0.371334930273151</v>
      </c>
    </row>
    <row r="796">
      <c r="A796" t="inlineStr">
        <is>
          <t>G|FICO x ASSET_CLASS|where N|outcome_loans|band|5</t>
        </is>
      </c>
    </row>
    <row r="797">
      <c r="A797" t="inlineStr">
        <is>
          <t>G|FICO x ASSET_CLASS|where N|outcome_loans|rate|6</t>
        </is>
      </c>
    </row>
    <row r="798">
      <c r="A798" t="inlineStr">
        <is>
          <t>G|FICO x ASSET_CLASS|where N|outcome_loans|book|6</t>
        </is>
      </c>
    </row>
    <row r="799">
      <c r="A799" t="inlineStr">
        <is>
          <t>G|FICO x ASSET_CLASS|where N|outcome_loans|band|6</t>
        </is>
      </c>
    </row>
    <row r="800">
      <c r="A800" t="inlineStr">
        <is>
          <t>G|FICO x ASSET_CLASS|where N|outcome_loans|rate|7</t>
        </is>
      </c>
      <c r="B800" t="n">
        <v>0</v>
      </c>
      <c r="C800" t="n">
        <v>0.05555555555555555</v>
      </c>
      <c r="D800" t="n">
        <v>0</v>
      </c>
      <c r="E800" t="n">
        <v>0.04545454545454546</v>
      </c>
      <c r="F800" t="n">
        <v>0.02272727272727273</v>
      </c>
    </row>
    <row r="801">
      <c r="A801" t="inlineStr">
        <is>
          <t>G|FICO x ASSET_CLASS|where N|outcome_loans|book|7</t>
        </is>
      </c>
    </row>
    <row r="802">
      <c r="A802" t="inlineStr">
        <is>
          <t>G|FICO x ASSET_CLASS|where N|outcome_loans|band|7</t>
        </is>
      </c>
    </row>
    <row r="803">
      <c r="A803" t="inlineStr">
        <is>
          <t>G|FICO x ASSET_CLASS|where N|outcome_loans|rate|8</t>
        </is>
      </c>
      <c r="B803" t="n">
        <v>0.04450499545867393</v>
      </c>
      <c r="C803" t="n">
        <v>0.04257246376811594</v>
      </c>
      <c r="D803" t="n">
        <v>0.05911330049261083</v>
      </c>
      <c r="E803" t="n">
        <v>0.08393501805054152</v>
      </c>
      <c r="F803" t="n">
        <v>0.05753234750462107</v>
      </c>
    </row>
    <row r="804">
      <c r="A804" t="inlineStr">
        <is>
          <t>G|FICO x ASSET_CLASS|where N|outcome_loans|book|8</t>
        </is>
      </c>
      <c r="B804" t="n">
        <v>0.5751138266137847</v>
      </c>
      <c r="C804" t="n">
        <v>0.5501407716981573</v>
      </c>
      <c r="D804" t="n">
        <v>0.7638889994190534</v>
      </c>
      <c r="E804" t="n">
        <v>1.084646541819518</v>
      </c>
      <c r="F804" t="n">
        <v>0.7434592046679547</v>
      </c>
    </row>
    <row r="805">
      <c r="A805" t="inlineStr">
        <is>
          <t>G|FICO x ASSET_CLASS|where N|outcome_loans|band|8</t>
        </is>
      </c>
    </row>
    <row r="806">
      <c r="A806" t="inlineStr">
        <is>
          <t>G|FICO x ASSET_CLASS|where N|outcome_loans|meta</t>
        </is>
      </c>
      <c r="B806" t="inlineStr">
        <is>
          <t>x</t>
        </is>
      </c>
      <c r="C806" t="n">
        <v>2.164352165020651</v>
      </c>
      <c r="D806" t="n">
        <v>10</v>
      </c>
      <c r="E806" t="n">
        <v>0.07738467308413552</v>
      </c>
      <c r="F806" t="n">
        <v>65</v>
      </c>
    </row>
    <row r="807">
      <c r="A807" t="inlineStr">
        <is>
          <t>G|FICO x ASSET_CLASS|where N|outcome_booked|rate|1</t>
        </is>
      </c>
      <c r="B807" t="n">
        <v>0.06731270350366768</v>
      </c>
      <c r="C807" t="n">
        <v>0.09965571874015894</v>
      </c>
      <c r="D807" t="n">
        <v>0.1076076241390775</v>
      </c>
      <c r="E807" t="n">
        <v>0.1606492890403957</v>
      </c>
      <c r="F807" t="n">
        <v>0.1076058652304739</v>
      </c>
    </row>
    <row r="808">
      <c r="A808" t="inlineStr">
        <is>
          <t>G|FICO x ASSET_CLASS|where N|outcome_booked|book|1</t>
        </is>
      </c>
      <c r="B808" t="n">
        <v>0.8995552757499633</v>
      </c>
      <c r="C808" t="n">
        <v>1.331781712592778</v>
      </c>
      <c r="D808" t="n">
        <v>1.438049594902275</v>
      </c>
      <c r="E808" t="n">
        <v>2.146889190001031</v>
      </c>
      <c r="F808" t="n">
        <v>1.438026089153262</v>
      </c>
    </row>
    <row r="809">
      <c r="A809" t="inlineStr">
        <is>
          <t>G|FICO x ASSET_CLASS|where N|outcome_booked|band|1</t>
        </is>
      </c>
      <c r="B809" t="n">
        <v>0.5502354531930349</v>
      </c>
      <c r="C809" t="n">
        <v>0.9031142699954084</v>
      </c>
      <c r="D809" t="n">
        <v>1.000021344471291</v>
      </c>
      <c r="E809" t="n">
        <v>1.771343193506922</v>
      </c>
    </row>
    <row r="810">
      <c r="A810" t="inlineStr">
        <is>
          <t>G|FICO x ASSET_CLASS|where N|outcome_booked|rate|2</t>
        </is>
      </c>
      <c r="B810" t="n">
        <v>0.03975552659712497</v>
      </c>
      <c r="C810" t="n">
        <v>0.01609372017029523</v>
      </c>
      <c r="D810" t="n">
        <v>0.06340853337381124</v>
      </c>
      <c r="E810" t="n">
        <v>0.08449908386199335</v>
      </c>
      <c r="F810" t="n">
        <v>0.0522224569520557</v>
      </c>
    </row>
    <row r="811">
      <c r="A811" t="inlineStr">
        <is>
          <t>G|FICO x ASSET_CLASS|where N|outcome_booked|book|2</t>
        </is>
      </c>
      <c r="B811" t="n">
        <v>0.5312859509306912</v>
      </c>
      <c r="D811" t="n">
        <v>0.8473806243849884</v>
      </c>
      <c r="E811" t="n">
        <v>1.129231077161431</v>
      </c>
      <c r="F811" t="n">
        <v>0.6978918423813926</v>
      </c>
    </row>
    <row r="812">
      <c r="A812" t="inlineStr">
        <is>
          <t>G|FICO x ASSET_CLASS|where N|outcome_booked|band|2</t>
        </is>
      </c>
      <c r="B812" t="n">
        <v>0.7020487321514124</v>
      </c>
      <c r="D812" t="n">
        <v>1.296083624486715</v>
      </c>
      <c r="E812" t="n">
        <v>2.131021963155055</v>
      </c>
    </row>
    <row r="813">
      <c r="A813" t="inlineStr">
        <is>
          <t>G|FICO x ASSET_CLASS|where N|outcome_booked|rate|3</t>
        </is>
      </c>
      <c r="B813" t="n">
        <v>0.05291828954732022</v>
      </c>
      <c r="C813" t="n">
        <v>0.01679645936086537</v>
      </c>
      <c r="D813" t="n">
        <v>0.04412543201702147</v>
      </c>
      <c r="E813" t="n">
        <v>0.05674800445777357</v>
      </c>
      <c r="F813" t="n">
        <v>0.04253798364971029</v>
      </c>
    </row>
    <row r="814">
      <c r="A814" t="inlineStr">
        <is>
          <t>G|FICO x ASSET_CLASS|where N|outcome_booked|book|3</t>
        </is>
      </c>
      <c r="B814" t="n">
        <v>0.7071908283012625</v>
      </c>
      <c r="D814" t="n">
        <v>0.5896846078020805</v>
      </c>
      <c r="E814" t="n">
        <v>0.7583704730488382</v>
      </c>
      <c r="F814" t="n">
        <v>0.5684702236001797</v>
      </c>
    </row>
    <row r="815">
      <c r="A815" t="inlineStr">
        <is>
          <t>G|FICO x ASSET_CLASS|where N|outcome_booked|band|3</t>
        </is>
      </c>
      <c r="B815" t="n">
        <v>1.341639579533144</v>
      </c>
      <c r="D815" t="n">
        <v>1.049219008834783</v>
      </c>
      <c r="E815" t="n">
        <v>1.530089251764439</v>
      </c>
    </row>
    <row r="816">
      <c r="A816" t="inlineStr">
        <is>
          <t>G|FICO x ASSET_CLASS|where N|outcome_booked|rate|4</t>
        </is>
      </c>
      <c r="B816" t="n">
        <v>0.02812452179275291</v>
      </c>
      <c r="C816" t="n">
        <v>0.03646453087507255</v>
      </c>
      <c r="D816" t="n">
        <v>0.03587580536540905</v>
      </c>
      <c r="E816" t="n">
        <v>0.05537391519389611</v>
      </c>
      <c r="F816" t="n">
        <v>0.03906092651164252</v>
      </c>
    </row>
    <row r="817">
      <c r="A817" t="inlineStr">
        <is>
          <t>G|FICO x ASSET_CLASS|where N|outcome_booked|book|4</t>
        </is>
      </c>
      <c r="E817" t="n">
        <v>0.7400073828394991</v>
      </c>
      <c r="F817" t="n">
        <v>0.5220034360574316</v>
      </c>
    </row>
    <row r="818">
      <c r="A818" t="inlineStr">
        <is>
          <t>G|FICO x ASSET_CLASS|where N|outcome_booked|band|4</t>
        </is>
      </c>
      <c r="E818" t="n">
        <v>1.637875109736126</v>
      </c>
    </row>
    <row r="819">
      <c r="A819" t="inlineStr">
        <is>
          <t>G|FICO x ASSET_CLASS|where N|outcome_booked|rate|5</t>
        </is>
      </c>
      <c r="B819" t="n">
        <v>0.0180056846538079</v>
      </c>
      <c r="C819" t="n">
        <v>0.03513639363437163</v>
      </c>
      <c r="D819" t="n">
        <v>0.02515837883580646</v>
      </c>
      <c r="E819" t="n">
        <v>0.02865350748914057</v>
      </c>
      <c r="F819" t="n">
        <v>0.02658532782159513</v>
      </c>
    </row>
    <row r="820">
      <c r="A820" t="inlineStr">
        <is>
          <t>G|FICO x ASSET_CLASS|where N|outcome_booked|book|5</t>
        </is>
      </c>
      <c r="F820" t="n">
        <v>0.3552817024821343</v>
      </c>
    </row>
    <row r="821">
      <c r="A821" t="inlineStr">
        <is>
          <t>G|FICO x ASSET_CLASS|where N|outcome_booked|band|5</t>
        </is>
      </c>
    </row>
    <row r="822">
      <c r="A822" t="inlineStr">
        <is>
          <t>G|FICO x ASSET_CLASS|where N|outcome_booked|rate|6</t>
        </is>
      </c>
    </row>
    <row r="823">
      <c r="A823" t="inlineStr">
        <is>
          <t>G|FICO x ASSET_CLASS|where N|outcome_booked|book|6</t>
        </is>
      </c>
    </row>
    <row r="824">
      <c r="A824" t="inlineStr">
        <is>
          <t>G|FICO x ASSET_CLASS|where N|outcome_booked|band|6</t>
        </is>
      </c>
    </row>
    <row r="825">
      <c r="A825" t="inlineStr">
        <is>
          <t>G|FICO x ASSET_CLASS|where N|outcome_booked|rate|7</t>
        </is>
      </c>
      <c r="B825" t="n">
        <v>0</v>
      </c>
      <c r="C825" t="n">
        <v>0.03375793858353057</v>
      </c>
      <c r="D825" t="n">
        <v>0</v>
      </c>
      <c r="E825" t="n">
        <v>0.04203560699937842</v>
      </c>
      <c r="F825" t="n">
        <v>0.01627439978445307</v>
      </c>
    </row>
    <row r="826">
      <c r="A826" t="inlineStr">
        <is>
          <t>G|FICO x ASSET_CLASS|where N|outcome_booked|book|7</t>
        </is>
      </c>
    </row>
    <row r="827">
      <c r="A827" t="inlineStr">
        <is>
          <t>G|FICO x ASSET_CLASS|where N|outcome_booked|band|7</t>
        </is>
      </c>
    </row>
    <row r="828">
      <c r="A828" t="inlineStr">
        <is>
          <t>G|FICO x ASSET_CLASS|where N|outcome_booked|rate|8</t>
        </is>
      </c>
      <c r="B828" t="n">
        <v>0.04006131886401177</v>
      </c>
      <c r="C828" t="n">
        <v>0.0411699749517607</v>
      </c>
      <c r="D828" t="n">
        <v>0.05299436180913607</v>
      </c>
      <c r="E828" t="n">
        <v>0.07585305848656562</v>
      </c>
      <c r="F828" t="n">
        <v>0.05260097895035092</v>
      </c>
    </row>
    <row r="829">
      <c r="A829" t="inlineStr">
        <is>
          <t>G|FICO x ASSET_CLASS|where N|outcome_booked|book|8</t>
        </is>
      </c>
      <c r="B829" t="n">
        <v>0.5353725056617246</v>
      </c>
      <c r="C829" t="n">
        <v>0.5501883930175567</v>
      </c>
      <c r="D829" t="n">
        <v>0.7082074447925457</v>
      </c>
      <c r="E829" t="n">
        <v>1.013687096071587</v>
      </c>
      <c r="F829" t="n">
        <v>0.7029503446080239</v>
      </c>
    </row>
    <row r="830">
      <c r="A830" t="inlineStr">
        <is>
          <t>G|FICO x ASSET_CLASS|where N|outcome_booked|band|8</t>
        </is>
      </c>
    </row>
    <row r="831">
      <c r="A831" t="inlineStr">
        <is>
          <t>G|FICO x ASSET_CLASS|where N|outcome_booked|meta</t>
        </is>
      </c>
      <c r="B831" t="inlineStr">
        <is>
          <t>x</t>
        </is>
      </c>
      <c r="C831" t="n">
        <v>2.146889190001031</v>
      </c>
      <c r="D831" t="n">
        <v>10</v>
      </c>
      <c r="E831" t="n">
        <v>0.07482886857347235</v>
      </c>
      <c r="F831" t="n">
        <v>65</v>
      </c>
    </row>
    <row r="832">
      <c r="A832" t="inlineStr">
        <is>
          <t>G|FICO x ASSET_CLASS|where N|gco_rate|rate|1</t>
        </is>
      </c>
      <c r="B832" t="n">
        <v>0.04172092238366356</v>
      </c>
      <c r="C832" t="n">
        <v>0.05780123061655459</v>
      </c>
      <c r="D832" t="n">
        <v>0.06103988115542043</v>
      </c>
      <c r="E832" t="n">
        <v>0.09808637019815246</v>
      </c>
      <c r="F832" t="n">
        <v>0.06398599687243825</v>
      </c>
    </row>
    <row r="833">
      <c r="A833" t="inlineStr">
        <is>
          <t>G|FICO x ASSET_CLASS|where N|gco_rate|book|1</t>
        </is>
      </c>
      <c r="B833" t="n">
        <v>1.002779865706931</v>
      </c>
      <c r="C833" t="n">
        <v>1.389276817572466</v>
      </c>
      <c r="D833" t="n">
        <v>1.467119141444654</v>
      </c>
      <c r="E833" t="n">
        <v>2.357547041517413</v>
      </c>
      <c r="F833" t="n">
        <v>1.537930268195414</v>
      </c>
    </row>
    <row r="834">
      <c r="A834" t="inlineStr">
        <is>
          <t>G|FICO x ASSET_CLASS|where N|gco_rate|band|1</t>
        </is>
      </c>
      <c r="B834" t="n">
        <v>0.5785778415329729</v>
      </c>
      <c r="C834" t="n">
        <v>0.8740594369816773</v>
      </c>
      <c r="D834" t="n">
        <v>0.9407350670403729</v>
      </c>
      <c r="E834" t="n">
        <v>1.846052866939139</v>
      </c>
    </row>
    <row r="835">
      <c r="A835" t="inlineStr">
        <is>
          <t>G|FICO x ASSET_CLASS|where N|gco_rate|rate|2</t>
        </is>
      </c>
      <c r="B835" t="n">
        <v>0.01858443362146788</v>
      </c>
      <c r="C835" t="n">
        <v>0.01200616783057025</v>
      </c>
      <c r="D835" t="n">
        <v>0.04059340477049262</v>
      </c>
      <c r="E835" t="n">
        <v>0.04374525063785453</v>
      </c>
      <c r="F835" t="n">
        <v>0.02913136709315743</v>
      </c>
    </row>
    <row r="836">
      <c r="A836" t="inlineStr">
        <is>
          <t>G|FICO x ASSET_CLASS|where N|gco_rate|book|2</t>
        </is>
      </c>
      <c r="B836" t="n">
        <v>0.446684655717779</v>
      </c>
      <c r="D836" t="n">
        <v>0.9756795070350799</v>
      </c>
      <c r="E836" t="n">
        <v>1.051435444224994</v>
      </c>
      <c r="F836" t="n">
        <v>0.7001846247046121</v>
      </c>
    </row>
    <row r="837">
      <c r="A837" t="inlineStr">
        <is>
          <t>G|FICO x ASSET_CLASS|where N|gco_rate|band|2</t>
        </is>
      </c>
      <c r="B837" t="n">
        <v>0.5655929756886493</v>
      </c>
      <c r="D837" t="n">
        <v>1.576400204189676</v>
      </c>
      <c r="E837" t="n">
        <v>1.866280811872191</v>
      </c>
    </row>
    <row r="838">
      <c r="A838" t="inlineStr">
        <is>
          <t>G|FICO x ASSET_CLASS|where N|gco_rate|rate|3</t>
        </is>
      </c>
      <c r="B838" t="n">
        <v>0.03301687756881314</v>
      </c>
      <c r="C838" t="n">
        <v>0.008632089207745759</v>
      </c>
      <c r="D838" t="n">
        <v>0.02473958629011563</v>
      </c>
      <c r="E838" t="n">
        <v>0.03184498305086605</v>
      </c>
      <c r="F838" t="n">
        <v>0.02442211605269864</v>
      </c>
    </row>
    <row r="839">
      <c r="A839" t="inlineStr">
        <is>
          <t>G|FICO x ASSET_CLASS|where N|gco_rate|book|3</t>
        </is>
      </c>
      <c r="B839" t="n">
        <v>0.7935744984267368</v>
      </c>
      <c r="D839" t="n">
        <v>0.594626331352666</v>
      </c>
      <c r="E839" t="n">
        <v>0.7654075222385542</v>
      </c>
      <c r="F839" t="n">
        <v>0.586995801061044</v>
      </c>
    </row>
    <row r="840">
      <c r="A840" t="inlineStr">
        <is>
          <t>G|FICO x ASSET_CLASS|where N|gco_rate|band|3</t>
        </is>
      </c>
      <c r="B840" t="n">
        <v>1.510412613315087</v>
      </c>
      <c r="D840" t="n">
        <v>1.017017473144833</v>
      </c>
      <c r="E840" t="n">
        <v>1.475997049270814</v>
      </c>
    </row>
    <row r="841">
      <c r="A841" t="inlineStr">
        <is>
          <t>G|FICO x ASSET_CLASS|where N|gco_rate|rate|4</t>
        </is>
      </c>
      <c r="B841" t="n">
        <v>0.01891320083650138</v>
      </c>
      <c r="C841" t="n">
        <v>0.02369039802244191</v>
      </c>
      <c r="D841" t="n">
        <v>0.0183590692608516</v>
      </c>
      <c r="E841" t="n">
        <v>0.0266686031805337</v>
      </c>
      <c r="F841" t="n">
        <v>0.02198043227016771</v>
      </c>
    </row>
    <row r="842">
      <c r="A842" t="inlineStr">
        <is>
          <t>G|FICO x ASSET_CLASS|where N|gco_rate|book|4</t>
        </is>
      </c>
      <c r="E842" t="n">
        <v>0.6409910612723781</v>
      </c>
      <c r="F842" t="n">
        <v>0.5283089073958191</v>
      </c>
    </row>
    <row r="843">
      <c r="A843" t="inlineStr">
        <is>
          <t>G|FICO x ASSET_CLASS|where N|gco_rate|band|4</t>
        </is>
      </c>
      <c r="E843" t="n">
        <v>1.302938941280453</v>
      </c>
    </row>
    <row r="844">
      <c r="A844" t="inlineStr">
        <is>
          <t>G|FICO x ASSET_CLASS|where N|gco_rate|rate|5</t>
        </is>
      </c>
      <c r="B844" t="n">
        <v>0.01278577594342931</v>
      </c>
      <c r="C844" t="n">
        <v>0.01897362857848018</v>
      </c>
      <c r="D844" t="n">
        <v>0.01086228244047657</v>
      </c>
      <c r="E844" t="n">
        <v>0.01617086436154371</v>
      </c>
      <c r="F844" t="n">
        <v>0.01464447203535512</v>
      </c>
    </row>
    <row r="845">
      <c r="A845" t="inlineStr">
        <is>
          <t>G|FICO x ASSET_CLASS|where N|gco_rate|book|5</t>
        </is>
      </c>
      <c r="F845" t="n">
        <v>0.3519860267210324</v>
      </c>
    </row>
    <row r="846">
      <c r="A846" t="inlineStr">
        <is>
          <t>G|FICO x ASSET_CLASS|where N|gco_rate|band|5</t>
        </is>
      </c>
    </row>
    <row r="847">
      <c r="A847" t="inlineStr">
        <is>
          <t>G|FICO x ASSET_CLASS|where N|gco_rate|rate|6</t>
        </is>
      </c>
    </row>
    <row r="848">
      <c r="A848" t="inlineStr">
        <is>
          <t>G|FICO x ASSET_CLASS|where N|gco_rate|book|6</t>
        </is>
      </c>
    </row>
    <row r="849">
      <c r="A849" t="inlineStr">
        <is>
          <t>G|FICO x ASSET_CLASS|where N|gco_rate|band|6</t>
        </is>
      </c>
    </row>
    <row r="850">
      <c r="A850" t="inlineStr">
        <is>
          <t>G|FICO x ASSET_CLASS|where N|gco_rate|rate|7</t>
        </is>
      </c>
      <c r="B850" t="n">
        <v>0</v>
      </c>
      <c r="C850" t="n">
        <v>0.0257165877421385</v>
      </c>
      <c r="D850" t="n">
        <v>0</v>
      </c>
      <c r="E850" t="n">
        <v>0.01529329218068329</v>
      </c>
      <c r="F850" t="n">
        <v>0.008334107450284619</v>
      </c>
    </row>
    <row r="851">
      <c r="A851" t="inlineStr">
        <is>
          <t>G|FICO x ASSET_CLASS|where N|gco_rate|book|7</t>
        </is>
      </c>
    </row>
    <row r="852">
      <c r="A852" t="inlineStr">
        <is>
          <t>G|FICO x ASSET_CLASS|where N|gco_rate|band|7</t>
        </is>
      </c>
    </row>
    <row r="853">
      <c r="A853" t="inlineStr">
        <is>
          <t>G|FICO x ASSET_CLASS|where N|gco_rate|rate|8</t>
        </is>
      </c>
      <c r="B853" t="n">
        <v>0.02428726127203878</v>
      </c>
      <c r="C853" t="n">
        <v>0.02451582735282237</v>
      </c>
      <c r="D853" t="n">
        <v>0.02969455401340456</v>
      </c>
      <c r="E853" t="n">
        <v>0.04228479189813641</v>
      </c>
      <c r="F853" t="n">
        <v>0.03024578450313005</v>
      </c>
    </row>
    <row r="854">
      <c r="A854" t="inlineStr">
        <is>
          <t>G|FICO x ASSET_CLASS|where N|gco_rate|book|8</t>
        </is>
      </c>
      <c r="B854" t="n">
        <v>0.5837545098547647</v>
      </c>
      <c r="C854" t="n">
        <v>0.5892481914585798</v>
      </c>
      <c r="D854" t="n">
        <v>0.7137210585125677</v>
      </c>
      <c r="E854" t="n">
        <v>1.016332705953357</v>
      </c>
      <c r="F854" t="n">
        <v>0.7269701144988501</v>
      </c>
    </row>
    <row r="855">
      <c r="A855" t="inlineStr">
        <is>
          <t>G|FICO x ASSET_CLASS|where N|gco_rate|band|8</t>
        </is>
      </c>
    </row>
    <row r="856">
      <c r="A856" t="inlineStr">
        <is>
          <t>G|FICO x ASSET_CLASS|where N|gco_rate|meta</t>
        </is>
      </c>
      <c r="B856" t="inlineStr">
        <is>
          <t>x</t>
        </is>
      </c>
      <c r="C856" t="n">
        <v>2.357547041517413</v>
      </c>
      <c r="D856" t="n">
        <v>10</v>
      </c>
      <c r="E856" t="n">
        <v>0.04160526533333565</v>
      </c>
      <c r="F856" t="n">
        <v>65</v>
      </c>
    </row>
    <row r="857">
      <c r="A857" t="inlineStr">
        <is>
          <t>G|FICO x ASSET_CLASS|where N|ranr_rate|rate|1</t>
        </is>
      </c>
      <c r="B857" t="n">
        <v>0.2398803715901472</v>
      </c>
      <c r="C857" t="n">
        <v>0.2147832988507138</v>
      </c>
      <c r="D857" t="n">
        <v>0.2047372623939214</v>
      </c>
      <c r="E857" t="n">
        <v>0.1800685302531461</v>
      </c>
      <c r="F857" t="n">
        <v>0.2107617244538728</v>
      </c>
    </row>
    <row r="858">
      <c r="A858" t="inlineStr">
        <is>
          <t>G|FICO x ASSET_CLASS|where N|ranr_rate|book|1</t>
        </is>
      </c>
      <c r="B858" t="n">
        <v>11.189032194</v>
      </c>
      <c r="C858" t="n">
        <v>8.679324920000001</v>
      </c>
      <c r="D858" t="n">
        <v>7.674721275</v>
      </c>
      <c r="E858" t="n">
        <v>5.20784806</v>
      </c>
      <c r="F858" t="n">
        <v>8.277167480999999</v>
      </c>
    </row>
    <row r="859">
      <c r="A859" t="inlineStr">
        <is>
          <t>G|FICO x ASSET_CLASS|where N|ranr_rate|band|1</t>
        </is>
      </c>
      <c r="B859" t="n">
        <v>3.97426217</v>
      </c>
      <c r="C859" t="n">
        <v>0.541545019</v>
      </c>
      <c r="D859" t="n">
        <v>-0.786344071</v>
      </c>
      <c r="E859" t="n">
        <v>-4.046177998</v>
      </c>
    </row>
    <row r="860">
      <c r="A860" t="inlineStr">
        <is>
          <t>G|FICO x ASSET_CLASS|where N|ranr_rate|rate|2</t>
        </is>
      </c>
      <c r="B860" t="n">
        <v>0.1829562284896517</v>
      </c>
      <c r="C860" t="n">
        <v>0.2018347740781281</v>
      </c>
      <c r="D860" t="n">
        <v>0.1813363173258022</v>
      </c>
      <c r="E860" t="n">
        <v>0.1621883576261506</v>
      </c>
      <c r="F860" t="n">
        <v>0.1811238843240996</v>
      </c>
    </row>
    <row r="861">
      <c r="A861" t="inlineStr">
        <is>
          <t>G|FICO x ASSET_CLASS|where N|ranr_rate|book|2</t>
        </is>
      </c>
      <c r="B861" t="n">
        <v>5.496617884</v>
      </c>
      <c r="C861" t="n">
        <v>7.384472443</v>
      </c>
      <c r="D861" t="n">
        <v>5.334626768</v>
      </c>
      <c r="E861" t="n">
        <v>3.419830798</v>
      </c>
      <c r="F861" t="n">
        <v>5.313383468</v>
      </c>
    </row>
    <row r="862">
      <c r="A862" t="inlineStr">
        <is>
          <t>G|FICO x ASSET_CLASS|where N|ranr_rate|band|2</t>
        </is>
      </c>
      <c r="B862" t="n">
        <v>0.247983626</v>
      </c>
      <c r="C862" t="n">
        <v>2.692640275</v>
      </c>
      <c r="D862" t="n">
        <v>0.027508903</v>
      </c>
      <c r="E862" t="n">
        <v>-2.631021279</v>
      </c>
    </row>
    <row r="863">
      <c r="A863" t="inlineStr">
        <is>
          <t>G|FICO x ASSET_CLASS|where N|ranr_rate|rate|3</t>
        </is>
      </c>
      <c r="B863" t="n">
        <v>0.1414557799347373</v>
      </c>
      <c r="C863" t="n">
        <v>0.1738554191758612</v>
      </c>
      <c r="D863" t="n">
        <v>0.1439600433422341</v>
      </c>
      <c r="E863" t="n">
        <v>0.1553115142321899</v>
      </c>
      <c r="F863" t="n">
        <v>0.1543050177520466</v>
      </c>
    </row>
    <row r="864">
      <c r="A864" t="inlineStr">
        <is>
          <t>G|FICO x ASSET_CLASS|where N|ranr_rate|book|3</t>
        </is>
      </c>
      <c r="B864" t="n">
        <v>1.346573029</v>
      </c>
      <c r="C864" t="n">
        <v>4.586536953</v>
      </c>
      <c r="D864" t="n">
        <v>1.596999369</v>
      </c>
      <c r="E864" t="n">
        <v>2.732146458</v>
      </c>
      <c r="F864" t="n">
        <v>2.63149681</v>
      </c>
    </row>
    <row r="865">
      <c r="A865" t="inlineStr">
        <is>
          <t>G|FICO x ASSET_CLASS|where N|ranr_rate|band|3</t>
        </is>
      </c>
      <c r="B865" t="n">
        <v>-1.668035658</v>
      </c>
      <c r="C865" t="n">
        <v>2.642018525</v>
      </c>
      <c r="D865" t="n">
        <v>-1.348917833</v>
      </c>
      <c r="E865" t="n">
        <v>0.139251658</v>
      </c>
    </row>
    <row r="866">
      <c r="A866" t="inlineStr">
        <is>
          <t>G|FICO x ASSET_CLASS|where N|ranr_rate|rate|4</t>
        </is>
      </c>
      <c r="B866" t="n">
        <v>0.1104726008896342</v>
      </c>
      <c r="C866" t="n">
        <v>0.09136626046066156</v>
      </c>
      <c r="D866" t="n">
        <v>0.108816162592166</v>
      </c>
      <c r="E866" t="n">
        <v>0.1003003395619969</v>
      </c>
      <c r="F866" t="n">
        <v>0.1023005624670756</v>
      </c>
    </row>
    <row r="867">
      <c r="A867" t="inlineStr">
        <is>
          <t>G|FICO x ASSET_CLASS|where N|ranr_rate|book|4</t>
        </is>
      </c>
      <c r="B867" t="n">
        <v>-1.751744876</v>
      </c>
      <c r="C867" t="n">
        <v>-3.662378919</v>
      </c>
      <c r="D867" t="n">
        <v>-1.917388706</v>
      </c>
      <c r="E867" t="n">
        <v>-2.768971009</v>
      </c>
      <c r="F867" t="n">
        <v>-2.568948718</v>
      </c>
    </row>
    <row r="868">
      <c r="A868" t="inlineStr">
        <is>
          <t>G|FICO x ASSET_CLASS|where N|ranr_rate|band|4</t>
        </is>
      </c>
      <c r="B868" t="n">
        <v>1.051328667</v>
      </c>
      <c r="C868" t="n">
        <v>-1.50956692</v>
      </c>
      <c r="D868" t="n">
        <v>0.878205117</v>
      </c>
      <c r="E868" t="n">
        <v>-0.264426493</v>
      </c>
    </row>
    <row r="869">
      <c r="A869" t="inlineStr">
        <is>
          <t>G|FICO x ASSET_CLASS|where N|ranr_rate|rate|5</t>
        </is>
      </c>
      <c r="B869" t="n">
        <v>0.05573622973509877</v>
      </c>
      <c r="C869" t="n">
        <v>0.0470699412975488</v>
      </c>
      <c r="D869" t="n">
        <v>0.05698362956335362</v>
      </c>
      <c r="E869" t="n">
        <v>0.04922636849033546</v>
      </c>
      <c r="F869" t="n">
        <v>0.05234997022076705</v>
      </c>
    </row>
    <row r="870">
      <c r="A870" t="inlineStr">
        <is>
          <t>G|FICO x ASSET_CLASS|where N|ranr_rate|book|5</t>
        </is>
      </c>
      <c r="B870" t="n">
        <v>-7.225381991</v>
      </c>
      <c r="C870" t="n">
        <v>-8.092010835</v>
      </c>
      <c r="D870" t="n">
        <v>-7.100642008</v>
      </c>
      <c r="E870" t="n">
        <v>-7.876368116</v>
      </c>
      <c r="F870" t="n">
        <v>-7.564007943</v>
      </c>
    </row>
    <row r="871">
      <c r="A871" t="inlineStr">
        <is>
          <t>G|FICO x ASSET_CLASS|where N|ranr_rate|band|5</t>
        </is>
      </c>
      <c r="B871" t="n">
        <v>0.459549868</v>
      </c>
      <c r="C871" t="n">
        <v>-0.702541397</v>
      </c>
      <c r="D871" t="n">
        <v>0.618570861</v>
      </c>
      <c r="E871" t="n">
        <v>-0.409661709</v>
      </c>
    </row>
    <row r="872">
      <c r="A872" t="inlineStr">
        <is>
          <t>G|FICO x ASSET_CLASS|where N|ranr_rate|rate|6</t>
        </is>
      </c>
    </row>
    <row r="873">
      <c r="A873" t="inlineStr">
        <is>
          <t>G|FICO x ASSET_CLASS|where N|ranr_rate|book|6</t>
        </is>
      </c>
    </row>
    <row r="874">
      <c r="A874" t="inlineStr">
        <is>
          <t>G|FICO x ASSET_CLASS|where N|ranr_rate|band|6</t>
        </is>
      </c>
    </row>
    <row r="875">
      <c r="A875" t="inlineStr">
        <is>
          <t>G|FICO x ASSET_CLASS|where N|ranr_rate|rate|7</t>
        </is>
      </c>
      <c r="B875" t="n">
        <v>0.1836483093665673</v>
      </c>
      <c r="C875" t="n">
        <v>0.1417850375433693</v>
      </c>
      <c r="D875" t="n">
        <v>0.2301756883217136</v>
      </c>
      <c r="E875" t="n">
        <v>0.157060210451269</v>
      </c>
      <c r="F875" t="n">
        <v>0.1804053356286098</v>
      </c>
    </row>
    <row r="876">
      <c r="A876" t="inlineStr">
        <is>
          <t>G|FICO x ASSET_CLASS|where N|ranr_rate|book|7</t>
        </is>
      </c>
      <c r="B876" t="n">
        <v>5.565825972</v>
      </c>
      <c r="C876" t="n">
        <v>1.37949879</v>
      </c>
      <c r="D876" t="n">
        <v>10.218563867</v>
      </c>
      <c r="E876" t="n">
        <v>2.90701608</v>
      </c>
      <c r="F876" t="n">
        <v>5.241528598</v>
      </c>
    </row>
    <row r="877">
      <c r="A877" t="inlineStr">
        <is>
          <t>G|FICO x ASSET_CLASS|where N|ranr_rate|band|7</t>
        </is>
      </c>
      <c r="B877" t="n">
        <v>0.496434235</v>
      </c>
      <c r="C877" t="n">
        <v>-4.707621972</v>
      </c>
      <c r="D877" t="n">
        <v>6.469771644</v>
      </c>
      <c r="E877" t="n">
        <v>-3.083520534</v>
      </c>
    </row>
    <row r="878">
      <c r="A878" t="inlineStr">
        <is>
          <t>G|FICO x ASSET_CLASS|where N|ranr_rate|rate|8</t>
        </is>
      </c>
      <c r="B878" t="n">
        <v>0.147728983035105</v>
      </c>
      <c r="C878" t="n">
        <v>0.1434312623085464</v>
      </c>
      <c r="D878" t="n">
        <v>0.1381391917896836</v>
      </c>
      <c r="E878" t="n">
        <v>0.131065555320466</v>
      </c>
      <c r="F878" t="n">
        <v>0.1400760724959788</v>
      </c>
    </row>
    <row r="879">
      <c r="A879" t="inlineStr">
        <is>
          <t>G|FICO x ASSET_CLASS|where N|ranr_rate|book|8</t>
        </is>
      </c>
      <c r="B879" t="n">
        <v>1.973893339</v>
      </c>
      <c r="C879" t="n">
        <v>1.544121266</v>
      </c>
      <c r="D879" t="n">
        <v>1.014914214</v>
      </c>
      <c r="E879" t="n">
        <v>0.307550567</v>
      </c>
      <c r="F879" t="n">
        <v>1.208602285</v>
      </c>
    </row>
    <row r="880">
      <c r="A880" t="inlineStr">
        <is>
          <t>G|FICO x ASSET_CLASS|where N|ranr_rate|band|8</t>
        </is>
      </c>
    </row>
    <row r="881">
      <c r="A881" t="inlineStr">
        <is>
          <t>G|FICO x ASSET_CLASS|where N|ranr_rate|meta</t>
        </is>
      </c>
      <c r="B881" t="inlineStr">
        <is>
          <t>pts</t>
        </is>
      </c>
      <c r="C881" t="n">
        <v>11.189032194</v>
      </c>
      <c r="D881" t="n">
        <v>10</v>
      </c>
      <c r="E881" t="n">
        <v>0.1279900496481481</v>
      </c>
      <c r="F881" t="n">
        <v>65</v>
      </c>
    </row>
    <row r="882">
      <c r="A882" t="inlineStr">
        <is>
          <t>G|FICO x ASSET_CLASS|where N|contribution_rate|rate|1</t>
        </is>
      </c>
      <c r="B882" t="n">
        <v>0.2816012939738109</v>
      </c>
      <c r="C882" t="n">
        <v>0.2725845294672685</v>
      </c>
      <c r="D882" t="n">
        <v>0.265777143549342</v>
      </c>
      <c r="E882" t="n">
        <v>0.2781549004512986</v>
      </c>
      <c r="F882" t="n">
        <v>0.2747477213263111</v>
      </c>
    </row>
    <row r="883">
      <c r="A883" t="inlineStr">
        <is>
          <t>G|FICO x ASSET_CLASS|where N|contribution_rate|book|1</t>
        </is>
      </c>
      <c r="B883" t="n">
        <v>11.200883824</v>
      </c>
      <c r="C883" t="n">
        <v>10.299207373</v>
      </c>
      <c r="D883" t="n">
        <v>9.618468781000001</v>
      </c>
      <c r="E883" t="n">
        <v>10.856244472</v>
      </c>
      <c r="F883" t="n">
        <v>10.515526559</v>
      </c>
    </row>
    <row r="884">
      <c r="A884" t="inlineStr">
        <is>
          <t>G|FICO x ASSET_CLASS|where N|contribution_rate|band|1</t>
        </is>
      </c>
      <c r="B884" t="n">
        <v>0.935410714</v>
      </c>
      <c r="C884" t="n">
        <v>-0.291295314</v>
      </c>
      <c r="D884" t="n">
        <v>-1.170886392</v>
      </c>
      <c r="E884" t="n">
        <v>0.44915668</v>
      </c>
    </row>
    <row r="885">
      <c r="A885" t="inlineStr">
        <is>
          <t>G|FICO x ASSET_CLASS|where N|contribution_rate|rate|2</t>
        </is>
      </c>
      <c r="B885" t="n">
        <v>0.2015406621111196</v>
      </c>
      <c r="C885" t="n">
        <v>0.2138409419086984</v>
      </c>
      <c r="D885" t="n">
        <v>0.2219297220962947</v>
      </c>
      <c r="E885" t="n">
        <v>0.2059336082640051</v>
      </c>
      <c r="F885" t="n">
        <v>0.210255251417257</v>
      </c>
    </row>
    <row r="886">
      <c r="A886" t="inlineStr">
        <is>
          <t>G|FICO x ASSET_CLASS|where N|contribution_rate|book|2</t>
        </is>
      </c>
      <c r="B886" t="n">
        <v>3.194820638</v>
      </c>
      <c r="C886" t="n">
        <v>4.424848617</v>
      </c>
      <c r="D886" t="n">
        <v>5.233726636</v>
      </c>
      <c r="E886" t="n">
        <v>3.634115253</v>
      </c>
      <c r="F886" t="n">
        <v>4.066279568</v>
      </c>
    </row>
    <row r="887">
      <c r="A887" t="inlineStr">
        <is>
          <t>G|FICO x ASSET_CLASS|where N|contribution_rate|band|2</t>
        </is>
      </c>
      <c r="B887" t="n">
        <v>-1.179404771</v>
      </c>
      <c r="C887" t="n">
        <v>0.46617865</v>
      </c>
      <c r="D887" t="n">
        <v>1.511779632</v>
      </c>
      <c r="E887" t="n">
        <v>-0.600476305</v>
      </c>
    </row>
    <row r="888">
      <c r="A888" t="inlineStr">
        <is>
          <t>G|FICO x ASSET_CLASS|where N|contribution_rate|rate|3</t>
        </is>
      </c>
      <c r="B888" t="n">
        <v>0.1744726575035506</v>
      </c>
      <c r="C888" t="n">
        <v>0.182487508383607</v>
      </c>
      <c r="D888" t="n">
        <v>0.1686996296323497</v>
      </c>
      <c r="E888" t="n">
        <v>0.1871564972830558</v>
      </c>
      <c r="F888" t="n">
        <v>0.1787271338047453</v>
      </c>
    </row>
    <row r="889">
      <c r="A889" t="inlineStr">
        <is>
          <t>G|FICO x ASSET_CLASS|where N|contribution_rate|book|3</t>
        </is>
      </c>
      <c r="B889" t="n">
        <v>0.488020177</v>
      </c>
      <c r="C889" t="n">
        <v>1.289505265</v>
      </c>
      <c r="D889" t="n">
        <v>-0.08928261</v>
      </c>
      <c r="E889" t="n">
        <v>1.756404155</v>
      </c>
      <c r="F889" t="n">
        <v>0.913467807</v>
      </c>
    </row>
    <row r="890">
      <c r="A890" t="inlineStr">
        <is>
          <t>G|FICO x ASSET_CLASS|where N|contribution_rate|band|3</t>
        </is>
      </c>
      <c r="B890" t="n">
        <v>-0.552298765</v>
      </c>
      <c r="C890" t="n">
        <v>0.50817265</v>
      </c>
      <c r="D890" t="n">
        <v>-1.307521765</v>
      </c>
      <c r="E890" t="n">
        <v>1.166226473</v>
      </c>
    </row>
    <row r="891">
      <c r="A891" t="inlineStr">
        <is>
          <t>G|FICO x ASSET_CLASS|where N|contribution_rate|rate|4</t>
        </is>
      </c>
      <c r="B891" t="n">
        <v>0.1291512624073555</v>
      </c>
      <c r="C891" t="n">
        <v>0.1150566584831035</v>
      </c>
      <c r="D891" t="n">
        <v>0.1271752318530176</v>
      </c>
      <c r="E891" t="n">
        <v>0.1269689427425306</v>
      </c>
      <c r="F891" t="n">
        <v>0.1242172651261385</v>
      </c>
    </row>
    <row r="892">
      <c r="A892" t="inlineStr">
        <is>
          <t>G|FICO x ASSET_CLASS|where N|contribution_rate|book|4</t>
        </is>
      </c>
      <c r="B892" t="n">
        <v>-4.044119333</v>
      </c>
      <c r="C892" t="n">
        <v>-5.453579725</v>
      </c>
      <c r="D892" t="n">
        <v>-4.241722388</v>
      </c>
      <c r="E892" t="n">
        <v>-4.262351299</v>
      </c>
      <c r="F892" t="n">
        <v>-4.537519061</v>
      </c>
    </row>
    <row r="893">
      <c r="A893" t="inlineStr">
        <is>
          <t>G|FICO x ASSET_CLASS|where N|contribution_rate|band|4</t>
        </is>
      </c>
      <c r="B893" t="n">
        <v>0.633844042</v>
      </c>
      <c r="C893" t="n">
        <v>-1.265387343</v>
      </c>
      <c r="D893" t="n">
        <v>0.398889223</v>
      </c>
      <c r="E893" t="n">
        <v>0.36393634</v>
      </c>
    </row>
    <row r="894">
      <c r="A894" t="inlineStr">
        <is>
          <t>G|FICO x ASSET_CLASS|where N|contribution_rate|rate|5</t>
        </is>
      </c>
      <c r="B894" t="n">
        <v>0.06852200567852806</v>
      </c>
      <c r="C894" t="n">
        <v>0.06604356987602898</v>
      </c>
      <c r="D894" t="n">
        <v>0.06784591200383021</v>
      </c>
      <c r="E894" t="n">
        <v>0.06539723285187914</v>
      </c>
      <c r="F894" t="n">
        <v>0.06699444225612217</v>
      </c>
    </row>
    <row r="895">
      <c r="A895" t="inlineStr">
        <is>
          <t>G|FICO x ASSET_CLASS|where N|contribution_rate|book|5</t>
        </is>
      </c>
      <c r="B895" t="n">
        <v>-10.107045006</v>
      </c>
      <c r="C895" t="n">
        <v>-10.354888586</v>
      </c>
      <c r="D895" t="n">
        <v>-10.174654373</v>
      </c>
      <c r="E895" t="n">
        <v>-10.419522288</v>
      </c>
      <c r="F895" t="n">
        <v>-10.259801348</v>
      </c>
    </row>
    <row r="896">
      <c r="A896" t="inlineStr">
        <is>
          <t>G|FICO x ASSET_CLASS|where N|contribution_rate|band|5</t>
        </is>
      </c>
      <c r="B896" t="n">
        <v>0.207305898</v>
      </c>
      <c r="C896" t="n">
        <v>-0.126519612</v>
      </c>
      <c r="D896" t="n">
        <v>0.113667047</v>
      </c>
      <c r="E896" t="n">
        <v>-0.209474699</v>
      </c>
    </row>
    <row r="897">
      <c r="A897" t="inlineStr">
        <is>
          <t>G|FICO x ASSET_CLASS|where N|contribution_rate|rate|6</t>
        </is>
      </c>
    </row>
    <row r="898">
      <c r="A898" t="inlineStr">
        <is>
          <t>G|FICO x ASSET_CLASS|where N|contribution_rate|book|6</t>
        </is>
      </c>
    </row>
    <row r="899">
      <c r="A899" t="inlineStr">
        <is>
          <t>G|FICO x ASSET_CLASS|where N|contribution_rate|band|6</t>
        </is>
      </c>
    </row>
    <row r="900">
      <c r="A900" t="inlineStr">
        <is>
          <t>G|FICO x ASSET_CLASS|where N|contribution_rate|rate|7</t>
        </is>
      </c>
      <c r="B900" t="n">
        <v>0.1836483093665673</v>
      </c>
      <c r="C900" t="n">
        <v>0.1675016252855078</v>
      </c>
      <c r="D900" t="n">
        <v>0.2301756883217136</v>
      </c>
      <c r="E900" t="n">
        <v>0.1723535026319523</v>
      </c>
      <c r="F900" t="n">
        <v>0.1887394430788944</v>
      </c>
    </row>
    <row r="901">
      <c r="A901" t="inlineStr">
        <is>
          <t>G|FICO x ASSET_CLASS|where N|contribution_rate|book|7</t>
        </is>
      </c>
      <c r="B901" t="n">
        <v>1.405585363</v>
      </c>
      <c r="C901" t="n">
        <v>-0.209083045</v>
      </c>
      <c r="D901" t="n">
        <v>6.058323259</v>
      </c>
      <c r="E901" t="n">
        <v>0.27610469</v>
      </c>
      <c r="F901" t="n">
        <v>1.914698734</v>
      </c>
    </row>
    <row r="902">
      <c r="A902" t="inlineStr">
        <is>
          <t>G|FICO x ASSET_CLASS|where N|contribution_rate|band|7</t>
        </is>
      </c>
      <c r="B902" t="n">
        <v>-0.779350458</v>
      </c>
      <c r="C902" t="n">
        <v>-2.588784205</v>
      </c>
      <c r="D902" t="n">
        <v>5.386400336</v>
      </c>
      <c r="E902" t="n">
        <v>-2.164322678</v>
      </c>
    </row>
    <row r="903">
      <c r="A903" t="inlineStr">
        <is>
          <t>G|FICO x ASSET_CLASS|where N|contribution_rate|rate|8</t>
        </is>
      </c>
      <c r="B903" t="n">
        <v>0.1720175555717959</v>
      </c>
      <c r="C903" t="n">
        <v>0.1679470896613687</v>
      </c>
      <c r="D903" t="n">
        <v>0.1678337458030882</v>
      </c>
      <c r="E903" t="n">
        <v>0.1733503472186024</v>
      </c>
      <c r="F903" t="n">
        <v>0.1703199959681273</v>
      </c>
    </row>
    <row r="904">
      <c r="A904" t="inlineStr">
        <is>
          <t>G|FICO x ASSET_CLASS|where N|contribution_rate|book|8</t>
        </is>
      </c>
      <c r="B904" t="n">
        <v>0.242509984</v>
      </c>
      <c r="C904" t="n">
        <v>-0.164536607</v>
      </c>
      <c r="D904" t="n">
        <v>-0.175870993</v>
      </c>
      <c r="E904" t="n">
        <v>0.375789148</v>
      </c>
      <c r="F904" t="n">
        <v>0.072754023</v>
      </c>
    </row>
    <row r="905">
      <c r="A905" t="inlineStr">
        <is>
          <t>G|FICO x ASSET_CLASS|where N|contribution_rate|band|8</t>
        </is>
      </c>
    </row>
    <row r="906">
      <c r="A906" t="inlineStr">
        <is>
          <t>G|FICO x ASSET_CLASS|where N|contribution_rate|meta</t>
        </is>
      </c>
      <c r="B906" t="inlineStr">
        <is>
          <t>pts</t>
        </is>
      </c>
      <c r="C906" t="n">
        <v>11.200883824</v>
      </c>
      <c r="D906" t="n">
        <v>10</v>
      </c>
      <c r="E906" t="n">
        <v>0.1695924557349815</v>
      </c>
      <c r="F906" t="n">
        <v>65</v>
      </c>
    </row>
    <row r="907">
      <c r="A907" t="inlineStr">
        <is>
          <t>G|FICO x ASSET_CLASS|where N|loan_size|rate|1</t>
        </is>
      </c>
      <c r="B907" t="n">
        <v>30901.95833333333</v>
      </c>
      <c r="C907" t="n">
        <v>32687.46624413145</v>
      </c>
      <c r="D907" t="n">
        <v>34380.92820652174</v>
      </c>
      <c r="E907" t="n">
        <v>32170.81201970443</v>
      </c>
      <c r="F907" t="n">
        <v>32434.35754196643</v>
      </c>
    </row>
    <row r="908">
      <c r="A908" t="inlineStr">
        <is>
          <t>G|FICO x ASSET_CLASS|where N|loan_size|median|1</t>
        </is>
      </c>
      <c r="B908" t="n">
        <v>27798.87</v>
      </c>
      <c r="C908" t="n">
        <v>33158.86</v>
      </c>
      <c r="D908" t="n">
        <v>35411.575</v>
      </c>
      <c r="E908" t="n">
        <v>32197.78</v>
      </c>
      <c r="F908" t="n">
        <v>31951.38</v>
      </c>
    </row>
    <row r="909">
      <c r="A909" t="inlineStr">
        <is>
          <t>G|FICO x ASSET_CLASS|where N|loan_size|book|1</t>
        </is>
      </c>
      <c r="B909" t="n">
        <v>0.9578263771139169</v>
      </c>
      <c r="C909" t="n">
        <v>1.013169360722281</v>
      </c>
      <c r="D909" t="n">
        <v>1.06565932005495</v>
      </c>
      <c r="E909" t="n">
        <v>0.9971553256677537</v>
      </c>
      <c r="F909" t="n">
        <v>1.005324091222023</v>
      </c>
    </row>
    <row r="910">
      <c r="A910" t="inlineStr">
        <is>
          <t>G|FICO x ASSET_CLASS|where N|loan_size|band|1</t>
        </is>
      </c>
      <c r="B910" t="n">
        <v>0.9355160045912538</v>
      </c>
      <c r="C910" t="n">
        <v>1.010508488070517</v>
      </c>
      <c r="D910" t="n">
        <v>1.078335607710907</v>
      </c>
      <c r="E910" t="n">
        <v>0.9892884273201973</v>
      </c>
    </row>
    <row r="911">
      <c r="A911" t="inlineStr">
        <is>
          <t>G|FICO x ASSET_CLASS|where N|loan_size|rate|2</t>
        </is>
      </c>
      <c r="B911" t="n">
        <v>32629.76823809524</v>
      </c>
      <c r="C911" t="n">
        <v>31551.44359375</v>
      </c>
      <c r="D911" t="n">
        <v>32485.80293478261</v>
      </c>
      <c r="E911" t="n">
        <v>33588.98538812785</v>
      </c>
      <c r="F911" t="n">
        <v>32600.62613664596</v>
      </c>
    </row>
    <row r="912">
      <c r="A912" t="inlineStr">
        <is>
          <t>G|FICO x ASSET_CLASS|where N|loan_size|median|2</t>
        </is>
      </c>
      <c r="B912" t="n">
        <v>32559.86</v>
      </c>
      <c r="C912" t="n">
        <v>31262.88</v>
      </c>
      <c r="D912" t="n">
        <v>32530.405</v>
      </c>
      <c r="E912" t="n">
        <v>35171.79</v>
      </c>
      <c r="F912" t="n">
        <v>33094.18</v>
      </c>
    </row>
    <row r="913">
      <c r="A913" t="inlineStr">
        <is>
          <t>G|FICO x ASSET_CLASS|where N|loan_size|book|2</t>
        </is>
      </c>
      <c r="B913" t="n">
        <v>1.011380973349149</v>
      </c>
      <c r="C913" t="n">
        <v>0.977957596865862</v>
      </c>
      <c r="D913" t="n">
        <v>1.006918674765525</v>
      </c>
      <c r="E913" t="n">
        <v>1.04111253527059</v>
      </c>
      <c r="F913" t="n">
        <v>1.01047769488532</v>
      </c>
    </row>
    <row r="914">
      <c r="A914" t="inlineStr">
        <is>
          <t>G|FICO x ASSET_CLASS|where N|loan_size|band|2</t>
        </is>
      </c>
      <c r="B914" t="n">
        <v>1.001209792477954</v>
      </c>
      <c r="C914" t="n">
        <v>0.9581587457020477</v>
      </c>
      <c r="D914" t="n">
        <v>0.9954390532388291</v>
      </c>
      <c r="E914" t="n">
        <v>1.042124606927296</v>
      </c>
    </row>
    <row r="915">
      <c r="A915" t="inlineStr">
        <is>
          <t>G|FICO x ASSET_CLASS|where N|loan_size|rate|3</t>
        </is>
      </c>
      <c r="B915" t="n">
        <v>30353.57126829269</v>
      </c>
      <c r="C915" t="n">
        <v>32613.45680555555</v>
      </c>
      <c r="D915" t="n">
        <v>32890.2634375</v>
      </c>
      <c r="E915" t="n">
        <v>31958.40187234043</v>
      </c>
      <c r="F915" t="n">
        <v>31948.28278301887</v>
      </c>
    </row>
    <row r="916">
      <c r="A916" t="inlineStr">
        <is>
          <t>G|FICO x ASSET_CLASS|where N|loan_size|median|3</t>
        </is>
      </c>
      <c r="B916" t="n">
        <v>28757.34</v>
      </c>
      <c r="C916" t="n">
        <v>32506.925</v>
      </c>
      <c r="D916" t="n">
        <v>30613.85</v>
      </c>
      <c r="E916" t="n">
        <v>32100.44</v>
      </c>
      <c r="F916" t="n">
        <v>31000.41</v>
      </c>
    </row>
    <row r="917">
      <c r="A917" t="inlineStr">
        <is>
          <t>G|FICO x ASSET_CLASS|where N|loan_size|book|3</t>
        </is>
      </c>
      <c r="B917" t="n">
        <v>0.9408287619434431</v>
      </c>
      <c r="C917" t="n">
        <v>1.010875389846431</v>
      </c>
      <c r="D917" t="n">
        <v>1.019455192154638</v>
      </c>
      <c r="E917" t="n">
        <v>0.9905715344491745</v>
      </c>
      <c r="F917" t="n">
        <v>0.9902578866680205</v>
      </c>
    </row>
    <row r="918">
      <c r="A918" t="inlineStr">
        <is>
          <t>G|FICO x ASSET_CLASS|where N|loan_size|band|3</t>
        </is>
      </c>
      <c r="B918" t="n">
        <v>0.9352018549905011</v>
      </c>
      <c r="C918" t="n">
        <v>1.028136361779365</v>
      </c>
      <c r="D918" t="n">
        <v>1.038445944917727</v>
      </c>
      <c r="E918" t="n">
        <v>1.000438209737612</v>
      </c>
    </row>
    <row r="919">
      <c r="A919" t="inlineStr">
        <is>
          <t>G|FICO x ASSET_CLASS|where N|loan_size|rate|4</t>
        </is>
      </c>
      <c r="B919" t="n">
        <v>31697.26288659794</v>
      </c>
      <c r="C919" t="n">
        <v>30817.77279352227</v>
      </c>
      <c r="D919" t="n">
        <v>31956.56201793722</v>
      </c>
      <c r="E919" t="n">
        <v>30570.39818181818</v>
      </c>
      <c r="F919" t="n">
        <v>31236.49299773755</v>
      </c>
    </row>
    <row r="920">
      <c r="A920" t="inlineStr">
        <is>
          <t>G|FICO x ASSET_CLASS|where N|loan_size|median|4</t>
        </is>
      </c>
      <c r="B920" t="n">
        <v>30151.805</v>
      </c>
      <c r="C920" t="n">
        <v>30925.17</v>
      </c>
      <c r="D920" t="n">
        <v>31900.11</v>
      </c>
      <c r="E920" t="n">
        <v>28917.645</v>
      </c>
      <c r="F920" t="n">
        <v>30298.59</v>
      </c>
    </row>
    <row r="921">
      <c r="A921" t="inlineStr">
        <is>
          <t>G|FICO x ASSET_CLASS|where N|loan_size|book|4</t>
        </is>
      </c>
      <c r="B921" t="n">
        <v>0.9824773610657638</v>
      </c>
      <c r="C921" t="n">
        <v>0.955216991335423</v>
      </c>
      <c r="D921" t="n">
        <v>0.9905145069605463</v>
      </c>
      <c r="E921" t="n">
        <v>0.9475494537132879</v>
      </c>
      <c r="F921" t="n">
        <v>0.9681954974838606</v>
      </c>
    </row>
    <row r="922">
      <c r="A922" t="inlineStr">
        <is>
          <t>G|FICO x ASSET_CLASS|where N|loan_size|band|4</t>
        </is>
      </c>
      <c r="B922" t="n">
        <v>1.018977103595456</v>
      </c>
      <c r="C922" t="n">
        <v>0.981493557003612</v>
      </c>
      <c r="D922" t="n">
        <v>1.031070868889695</v>
      </c>
      <c r="E922" t="n">
        <v>0.9718096573717254</v>
      </c>
    </row>
    <row r="923">
      <c r="A923" t="inlineStr">
        <is>
          <t>G|FICO x ASSET_CLASS|where N|loan_size|rate|5</t>
        </is>
      </c>
      <c r="B923" t="n">
        <v>31772.85168831169</v>
      </c>
      <c r="C923" t="n">
        <v>31641.99310502283</v>
      </c>
      <c r="D923" t="n">
        <v>33168.22303317535</v>
      </c>
      <c r="E923" t="n">
        <v>31698.34966507177</v>
      </c>
      <c r="F923" t="n">
        <v>32060.43145977012</v>
      </c>
    </row>
    <row r="924">
      <c r="A924" t="inlineStr">
        <is>
          <t>G|FICO x ASSET_CLASS|where N|loan_size|median|5</t>
        </is>
      </c>
      <c r="B924" t="n">
        <v>32408.09</v>
      </c>
      <c r="C924" t="n">
        <v>31958.4</v>
      </c>
      <c r="D924" t="n">
        <v>31386.63</v>
      </c>
      <c r="E924" t="n">
        <v>29406.48</v>
      </c>
      <c r="F924" t="n">
        <v>31425.52</v>
      </c>
    </row>
    <row r="925">
      <c r="A925" t="inlineStr">
        <is>
          <t>G|FICO x ASSET_CLASS|where N|loan_size|book|5</t>
        </is>
      </c>
      <c r="B925" t="n">
        <v>0.9848202853333746</v>
      </c>
      <c r="C925" t="n">
        <v>0.9807642380954031</v>
      </c>
      <c r="D925" t="n">
        <v>1.028070731326555</v>
      </c>
      <c r="E925" t="n">
        <v>0.9825110464742123</v>
      </c>
      <c r="F925" t="n">
        <v>0.9937340081355359</v>
      </c>
    </row>
    <row r="926">
      <c r="A926" t="inlineStr">
        <is>
          <t>G|FICO x ASSET_CLASS|where N|loan_size|band|5</t>
        </is>
      </c>
      <c r="B926" t="n">
        <v>0.9878268946851101</v>
      </c>
      <c r="C926" t="n">
        <v>0.9826340821734331</v>
      </c>
      <c r="D926" t="n">
        <v>1.046126876826509</v>
      </c>
      <c r="E926" t="n">
        <v>0.985188227122163</v>
      </c>
    </row>
    <row r="927">
      <c r="A927" t="inlineStr">
        <is>
          <t>G|FICO x ASSET_CLASS|where N|loan_size|rate|6</t>
        </is>
      </c>
    </row>
    <row r="928">
      <c r="A928" t="inlineStr">
        <is>
          <t>G|FICO x ASSET_CLASS|where N|loan_size|median|6</t>
        </is>
      </c>
    </row>
    <row r="929">
      <c r="A929" t="inlineStr">
        <is>
          <t>G|FICO x ASSET_CLASS|where N|loan_size|book|6</t>
        </is>
      </c>
    </row>
    <row r="930">
      <c r="A930" t="inlineStr">
        <is>
          <t>G|FICO x ASSET_CLASS|where N|loan_size|band|6</t>
        </is>
      </c>
    </row>
    <row r="931">
      <c r="A931" t="inlineStr">
        <is>
          <t>G|FICO x ASSET_CLASS|where N|loan_size|rate|7</t>
        </is>
      </c>
      <c r="B931" t="n">
        <v>36687.01629629629</v>
      </c>
      <c r="C931" t="n">
        <v>28506.95722222222</v>
      </c>
      <c r="D931" t="n">
        <v>31386.20952380952</v>
      </c>
      <c r="E931" t="n">
        <v>31541.39818181818</v>
      </c>
      <c r="F931" t="n">
        <v>32462.45261363636</v>
      </c>
    </row>
    <row r="932">
      <c r="A932" t="inlineStr">
        <is>
          <t>G|FICO x ASSET_CLASS|where N|loan_size|median|7</t>
        </is>
      </c>
      <c r="B932" t="n">
        <v>41604.16</v>
      </c>
      <c r="C932" t="n">
        <v>23563.15</v>
      </c>
      <c r="D932" t="n">
        <v>33165.97</v>
      </c>
      <c r="E932" t="n">
        <v>30414.62</v>
      </c>
      <c r="F932" t="n">
        <v>31235.955</v>
      </c>
    </row>
    <row r="933">
      <c r="A933" t="inlineStr">
        <is>
          <t>G|FICO x ASSET_CLASS|where N|loan_size|book|7</t>
        </is>
      </c>
      <c r="B933" t="n">
        <v>1.137138026242696</v>
      </c>
      <c r="C933" t="n">
        <v>0.8835917537708108</v>
      </c>
      <c r="D933" t="n">
        <v>0.9728360589723832</v>
      </c>
      <c r="E933" t="n">
        <v>0.9776462327635136</v>
      </c>
      <c r="F933" t="n">
        <v>1.006194916314145</v>
      </c>
    </row>
    <row r="934">
      <c r="A934" t="inlineStr">
        <is>
          <t>G|FICO x ASSET_CLASS|where N|loan_size|band|7</t>
        </is>
      </c>
      <c r="B934" t="n">
        <v>1.199213526905611</v>
      </c>
      <c r="C934" t="n">
        <v>0.8514729641836074</v>
      </c>
      <c r="D934" t="n">
        <v>0.9569029760518745</v>
      </c>
      <c r="E934" t="n">
        <v>0.9625238813027314</v>
      </c>
    </row>
    <row r="935">
      <c r="A935" t="inlineStr">
        <is>
          <t>G|FICO x ASSET_CLASS|where N|loan_size|rate|8</t>
        </is>
      </c>
      <c r="B935" t="n">
        <v>31594.13158038147</v>
      </c>
      <c r="C935" t="n">
        <v>31782.37624434389</v>
      </c>
      <c r="D935" t="n">
        <v>32908.69743842365</v>
      </c>
      <c r="E935" t="n">
        <v>31986.67916967509</v>
      </c>
      <c r="F935" t="n">
        <v>32050.87388311388</v>
      </c>
    </row>
    <row r="936">
      <c r="A936" t="inlineStr">
        <is>
          <t>G|FICO x ASSET_CLASS|where N|loan_size|median|8</t>
        </is>
      </c>
      <c r="B936" t="n">
        <v>30767.26</v>
      </c>
      <c r="C936" t="n">
        <v>31745.09</v>
      </c>
      <c r="D936" t="n">
        <v>32117.38</v>
      </c>
      <c r="E936" t="n">
        <v>31475.255</v>
      </c>
      <c r="F936" t="n">
        <v>31561.19</v>
      </c>
    </row>
    <row r="937">
      <c r="A937" t="inlineStr">
        <is>
          <t>G|FICO x ASSET_CLASS|where N|loan_size|book|8</t>
        </is>
      </c>
      <c r="B937" t="n">
        <v>0.9792807388861982</v>
      </c>
      <c r="C937" t="n">
        <v>0.9851155051670024</v>
      </c>
      <c r="D937" t="n">
        <v>1.020026566050426</v>
      </c>
      <c r="E937" t="n">
        <v>0.9914480077447655</v>
      </c>
      <c r="F937" t="n">
        <v>0.9934377648061041</v>
      </c>
    </row>
    <row r="938">
      <c r="A938" t="inlineStr">
        <is>
          <t>G|FICO x ASSET_CLASS|where N|loan_size|band|8</t>
        </is>
      </c>
    </row>
    <row r="939">
      <c r="A939" t="inlineStr">
        <is>
          <t>G|FICO x ASSET_CLASS|where N|loan_size|meta</t>
        </is>
      </c>
      <c r="B939" t="inlineStr">
        <is>
          <t>size</t>
        </is>
      </c>
      <c r="C939" t="n">
        <v>1</v>
      </c>
      <c r="E939" t="n">
        <v>32262.58857732217</v>
      </c>
      <c r="F939" t="n">
        <v>65</v>
      </c>
    </row>
    <row r="940">
      <c r="A940" t="inlineStr">
        <is>
          <t>G|FICO x ASSET_CLASS|where Y|cols</t>
        </is>
      </c>
      <c r="B940" t="inlineStr">
        <is>
          <t>1</t>
        </is>
      </c>
      <c r="C940" t="inlineStr">
        <is>
          <t>2</t>
        </is>
      </c>
      <c r="D940" t="inlineStr">
        <is>
          <t>3</t>
        </is>
      </c>
      <c r="E940" t="inlineStr">
        <is>
          <t>4</t>
        </is>
      </c>
      <c r="F940" t="inlineStr">
        <is>
          <t>All</t>
        </is>
      </c>
    </row>
    <row r="941">
      <c r="A941" t="inlineStr">
        <is>
          <t>G|FICO x ASSET_CLASS|where Y|heads</t>
        </is>
      </c>
      <c r="B941" t="inlineStr">
        <is>
          <t>1</t>
        </is>
      </c>
      <c r="C941" t="inlineStr">
        <is>
          <t>2</t>
        </is>
      </c>
      <c r="D941" t="inlineStr">
        <is>
          <t>3</t>
        </is>
      </c>
      <c r="E941" t="inlineStr">
        <is>
          <t>4</t>
        </is>
      </c>
      <c r="F941" t="inlineStr">
        <is>
          <t>All</t>
        </is>
      </c>
    </row>
    <row r="942">
      <c r="A942" t="inlineStr">
        <is>
          <t>G|FICO x ASSET_CLASS|where Y|segs</t>
        </is>
      </c>
    </row>
    <row r="943">
      <c r="A943" t="inlineStr">
        <is>
          <t>G|FICO x ASSET_CLASS|where Y|rows</t>
        </is>
      </c>
      <c r="B943" t="inlineStr">
        <is>
          <t>496 - 653</t>
        </is>
      </c>
      <c r="C943" t="inlineStr">
        <is>
          <t>654 - 685</t>
        </is>
      </c>
      <c r="D943" t="inlineStr">
        <is>
          <t>686 - 711</t>
        </is>
      </c>
      <c r="E943" t="inlineStr">
        <is>
          <t>712 - 745</t>
        </is>
      </c>
      <c r="F943" t="inlineStr">
        <is>
          <t>746 - 921</t>
        </is>
      </c>
      <c r="G943" t="inlineStr">
        <is>
          <t>(blank)</t>
        </is>
      </c>
      <c r="H943" t="inlineStr">
        <is>
          <t>(marked missing)</t>
        </is>
      </c>
      <c r="I943" t="inlineStr">
        <is>
          <t>All</t>
        </is>
      </c>
    </row>
    <row r="944">
      <c r="A944" t="inlineStr">
        <is>
          <t>G|FICO x ASSET_CLASS|where Y|names</t>
        </is>
      </c>
      <c r="B944" t="inlineStr">
        <is>
          <t>FICO</t>
        </is>
      </c>
      <c r="C944" t="inlineStr">
        <is>
          <t>ASSET_CLASS</t>
        </is>
      </c>
    </row>
    <row r="945">
      <c r="A945" t="inlineStr">
        <is>
          <t>G|FICO x ASSET_CLASS|where Y|total</t>
        </is>
      </c>
      <c r="B945" t="n">
        <v>3671</v>
      </c>
    </row>
    <row r="946">
      <c r="A946" t="inlineStr">
        <is>
          <t>G|FICO x ASSET_CLASS|where Y|loans|1</t>
        </is>
      </c>
      <c r="B946" t="n">
        <v>186</v>
      </c>
      <c r="C946" t="n">
        <v>181</v>
      </c>
      <c r="D946" t="n">
        <v>166</v>
      </c>
      <c r="E946" t="n">
        <v>189</v>
      </c>
      <c r="F946" t="n">
        <v>722</v>
      </c>
    </row>
    <row r="947">
      <c r="A947" t="inlineStr">
        <is>
          <t>G|FICO x ASSET_CLASS|where Y|loans|2</t>
        </is>
      </c>
      <c r="B947" t="n">
        <v>187</v>
      </c>
      <c r="C947" t="n">
        <v>163</v>
      </c>
      <c r="D947" t="n">
        <v>193</v>
      </c>
      <c r="E947" t="n">
        <v>191</v>
      </c>
      <c r="F947" t="n">
        <v>734</v>
      </c>
    </row>
    <row r="948">
      <c r="A948" t="inlineStr">
        <is>
          <t>G|FICO x ASSET_CLASS|where Y|loans|3</t>
        </is>
      </c>
      <c r="B948" t="n">
        <v>167</v>
      </c>
      <c r="C948" t="n">
        <v>179</v>
      </c>
      <c r="D948" t="n">
        <v>196</v>
      </c>
      <c r="E948" t="n">
        <v>172</v>
      </c>
      <c r="F948" t="n">
        <v>714</v>
      </c>
    </row>
    <row r="949">
      <c r="A949" t="inlineStr">
        <is>
          <t>G|FICO x ASSET_CLASS|where Y|loans|4</t>
        </is>
      </c>
      <c r="B949" t="n">
        <v>167</v>
      </c>
      <c r="C949" t="n">
        <v>184</v>
      </c>
      <c r="D949" t="n">
        <v>169</v>
      </c>
      <c r="E949" t="n">
        <v>207</v>
      </c>
      <c r="F949" t="n">
        <v>727</v>
      </c>
    </row>
    <row r="950">
      <c r="A950" t="inlineStr">
        <is>
          <t>G|FICO x ASSET_CLASS|where Y|loans|5</t>
        </is>
      </c>
      <c r="B950" t="n">
        <v>183</v>
      </c>
      <c r="C950" t="n">
        <v>180</v>
      </c>
      <c r="D950" t="n">
        <v>174</v>
      </c>
      <c r="E950" t="n">
        <v>164</v>
      </c>
      <c r="F950" t="n">
        <v>701</v>
      </c>
    </row>
    <row r="951">
      <c r="A951" t="inlineStr">
        <is>
          <t>G|FICO x ASSET_CLASS|where Y|loans|6</t>
        </is>
      </c>
      <c r="C951" t="n">
        <v>1</v>
      </c>
      <c r="F951" t="n">
        <v>1</v>
      </c>
    </row>
    <row r="952">
      <c r="A952" t="inlineStr">
        <is>
          <t>G|FICO x ASSET_CLASS|where Y|loans|7</t>
        </is>
      </c>
      <c r="B952" t="n">
        <v>15</v>
      </c>
      <c r="C952" t="n">
        <v>18</v>
      </c>
      <c r="D952" t="n">
        <v>22</v>
      </c>
      <c r="E952" t="n">
        <v>17</v>
      </c>
      <c r="F952" t="n">
        <v>72</v>
      </c>
    </row>
    <row r="953">
      <c r="A953" t="inlineStr">
        <is>
          <t>G|FICO x ASSET_CLASS|where Y|loans|8</t>
        </is>
      </c>
      <c r="B953" t="n">
        <v>905</v>
      </c>
      <c r="C953" t="n">
        <v>906</v>
      </c>
      <c r="D953" t="n">
        <v>920</v>
      </c>
      <c r="E953" t="n">
        <v>940</v>
      </c>
      <c r="F953" t="n">
        <v>3671</v>
      </c>
    </row>
    <row r="954">
      <c r="A954" t="inlineStr">
        <is>
          <t>G|FICO x ASSET_CLASS|where Y|outcome_loans|rate|1</t>
        </is>
      </c>
      <c r="B954" t="n">
        <v>0.2043010752688172</v>
      </c>
      <c r="C954" t="n">
        <v>0.1270718232044199</v>
      </c>
      <c r="D954" t="n">
        <v>0.1867469879518072</v>
      </c>
      <c r="E954" t="n">
        <v>0.2433862433862434</v>
      </c>
      <c r="F954" t="n">
        <v>0.1911357340720222</v>
      </c>
    </row>
    <row r="955">
      <c r="A955" t="inlineStr">
        <is>
          <t>G|FICO x ASSET_CLASS|where Y|outcome_loans|book|1</t>
        </is>
      </c>
      <c r="B955" t="n">
        <v>2.640071568780725</v>
      </c>
      <c r="C955" t="n">
        <v>1.642079990003481</v>
      </c>
      <c r="D955" t="n">
        <v>2.413229655293224</v>
      </c>
      <c r="E955" t="n">
        <v>3.145147917361164</v>
      </c>
      <c r="F955" t="n">
        <v>2.469943032055097</v>
      </c>
    </row>
    <row r="956">
      <c r="A956" t="inlineStr">
        <is>
          <t>G|FICO x ASSET_CLASS|where Y|outcome_loans|band|1</t>
        </is>
      </c>
      <c r="B956" t="n">
        <v>1.09505376344086</v>
      </c>
      <c r="C956" t="n">
        <v>0.5977900552486188</v>
      </c>
      <c r="D956" t="n">
        <v>0.9703862177682693</v>
      </c>
      <c r="E956" t="n">
        <v>1.41005291005291</v>
      </c>
    </row>
    <row r="957">
      <c r="A957" t="inlineStr">
        <is>
          <t>G|FICO x ASSET_CLASS|where Y|outcome_loans|rate|2</t>
        </is>
      </c>
      <c r="B957" t="n">
        <v>0.106951871657754</v>
      </c>
      <c r="C957" t="n">
        <v>0.1042944785276074</v>
      </c>
      <c r="D957" t="n">
        <v>0.09326424870466321</v>
      </c>
      <c r="E957" t="n">
        <v>0.1465968586387434</v>
      </c>
      <c r="F957" t="n">
        <v>0.1130790190735695</v>
      </c>
    </row>
    <row r="958">
      <c r="A958" t="inlineStr">
        <is>
          <t>G|FICO x ASSET_CLASS|where Y|outcome_loans|book|2</t>
        </is>
      </c>
      <c r="B958" t="n">
        <v>1.382080810000605</v>
      </c>
      <c r="C958" t="n">
        <v>1.347740765334945</v>
      </c>
      <c r="D958" t="n">
        <v>1.205203110482393</v>
      </c>
      <c r="E958" t="n">
        <v>1.894391392974651</v>
      </c>
      <c r="F958" t="n">
        <v>1.4612586002738</v>
      </c>
    </row>
    <row r="959">
      <c r="A959" t="inlineStr">
        <is>
          <t>G|FICO x ASSET_CLASS|where Y|outcome_loans|band|2</t>
        </is>
      </c>
      <c r="B959" t="n">
        <v>0.9286138697903403</v>
      </c>
      <c r="C959" t="n">
        <v>0.9023052612009667</v>
      </c>
      <c r="D959" t="n">
        <v>0.7762455161418892</v>
      </c>
      <c r="E959" t="n">
        <v>1.447310804378867</v>
      </c>
    </row>
    <row r="960">
      <c r="A960" t="inlineStr">
        <is>
          <t>G|FICO x ASSET_CLASS|where Y|outcome_loans|rate|3</t>
        </is>
      </c>
      <c r="B960" t="n">
        <v>0.05389221556886228</v>
      </c>
      <c r="C960" t="n">
        <v>0.06145251396648044</v>
      </c>
      <c r="D960" t="n">
        <v>0.08673469387755102</v>
      </c>
      <c r="E960" t="n">
        <v>0.0872093023255814</v>
      </c>
      <c r="F960" t="n">
        <v>0.07282913165266107</v>
      </c>
    </row>
    <row r="961">
      <c r="A961" t="inlineStr">
        <is>
          <t>G|FICO x ASSET_CLASS|where Y|outcome_loans|book|3</t>
        </is>
      </c>
      <c r="C961" t="n">
        <v>0.7941173816120792</v>
      </c>
      <c r="D961" t="n">
        <v>1.120825228314266</v>
      </c>
      <c r="E961" t="n">
        <v>1.126958334898749</v>
      </c>
      <c r="F961" t="n">
        <v>0.9411312182385071</v>
      </c>
    </row>
    <row r="962">
      <c r="A962" t="inlineStr">
        <is>
          <t>G|FICO x ASSET_CLASS|where Y|outcome_loans|band|3</t>
        </is>
      </c>
      <c r="C962" t="n">
        <v>0.8018803651723667</v>
      </c>
      <c r="D962" t="n">
        <v>1.283673469387755</v>
      </c>
      <c r="E962" t="n">
        <v>1.277498428661219</v>
      </c>
    </row>
    <row r="963">
      <c r="A963" t="inlineStr">
        <is>
          <t>G|FICO x ASSET_CLASS|where Y|outcome_loans|rate|4</t>
        </is>
      </c>
      <c r="B963" t="n">
        <v>0.04790419161676647</v>
      </c>
      <c r="C963" t="n">
        <v>0.05978260869565218</v>
      </c>
      <c r="D963" t="n">
        <v>0.0650887573964497</v>
      </c>
      <c r="E963" t="n">
        <v>0.106280193236715</v>
      </c>
      <c r="F963" t="n">
        <v>0.07152682255845942</v>
      </c>
    </row>
    <row r="964">
      <c r="A964" t="inlineStr">
        <is>
          <t>G|FICO x ASSET_CLASS|where Y|outcome_loans|book|4</t>
        </is>
      </c>
      <c r="C964" t="n">
        <v>0.772538104937838</v>
      </c>
      <c r="D964" t="n">
        <v>0.8411065757903088</v>
      </c>
      <c r="E964" t="n">
        <v>1.373401075445045</v>
      </c>
      <c r="F964" t="n">
        <v>0.9243021868257139</v>
      </c>
    </row>
    <row r="965">
      <c r="A965" t="inlineStr">
        <is>
          <t>G|FICO x ASSET_CLASS|where Y|outcome_loans|band|4</t>
        </is>
      </c>
      <c r="C965" t="n">
        <v>0.7917550371155886</v>
      </c>
      <c r="D965" t="n">
        <v>0.8858421128589984</v>
      </c>
      <c r="E965" t="n">
        <v>1.84219001610306</v>
      </c>
    </row>
    <row r="966">
      <c r="A966" t="inlineStr">
        <is>
          <t>G|FICO x ASSET_CLASS|where Y|outcome_loans|rate|5</t>
        </is>
      </c>
      <c r="B966" t="n">
        <v>0.06010928961748634</v>
      </c>
      <c r="C966" t="n">
        <v>0.05</v>
      </c>
      <c r="D966" t="n">
        <v>0.05172413793103448</v>
      </c>
      <c r="E966" t="n">
        <v>0.04878048780487805</v>
      </c>
      <c r="F966" t="n">
        <v>0.05278174037089872</v>
      </c>
    </row>
    <row r="967">
      <c r="A967" t="inlineStr">
        <is>
          <t>G|FICO x ASSET_CLASS|where Y|outcome_loans|book|5</t>
        </is>
      </c>
      <c r="B967" t="n">
        <v>0.7767596246369518</v>
      </c>
      <c r="F967" t="n">
        <v>0.6820696950352485</v>
      </c>
    </row>
    <row r="968">
      <c r="A968" t="inlineStr">
        <is>
          <t>G|FICO x ASSET_CLASS|where Y|outcome_loans|band|5</t>
        </is>
      </c>
      <c r="B968" t="n">
        <v>1.197562000840689</v>
      </c>
    </row>
    <row r="969">
      <c r="A969" t="inlineStr">
        <is>
          <t>G|FICO x ASSET_CLASS|where Y|outcome_loans|rate|6</t>
        </is>
      </c>
      <c r="C969" t="n">
        <v>0</v>
      </c>
      <c r="F969" t="n">
        <v>0</v>
      </c>
    </row>
    <row r="970">
      <c r="A970" t="inlineStr">
        <is>
          <t>G|FICO x ASSET_CLASS|where Y|outcome_loans|book|6</t>
        </is>
      </c>
    </row>
    <row r="971">
      <c r="A971" t="inlineStr">
        <is>
          <t>G|FICO x ASSET_CLASS|where Y|outcome_loans|band|6</t>
        </is>
      </c>
    </row>
    <row r="972">
      <c r="A972" t="inlineStr">
        <is>
          <t>G|FICO x ASSET_CLASS|where Y|outcome_loans|rate|7</t>
        </is>
      </c>
      <c r="B972" t="n">
        <v>0.06666666666666667</v>
      </c>
      <c r="C972" t="n">
        <v>0.2222222222222222</v>
      </c>
      <c r="D972" t="n">
        <v>0.09090909090909091</v>
      </c>
      <c r="E972" t="n">
        <v>0.05882352941176471</v>
      </c>
      <c r="F972" t="n">
        <v>0.1111111111111111</v>
      </c>
    </row>
    <row r="973">
      <c r="A973" t="inlineStr">
        <is>
          <t>G|FICO x ASSET_CLASS|where Y|outcome_loans|book|7</t>
        </is>
      </c>
    </row>
    <row r="974">
      <c r="A974" t="inlineStr">
        <is>
          <t>G|FICO x ASSET_CLASS|where Y|outcome_loans|band|7</t>
        </is>
      </c>
    </row>
    <row r="975">
      <c r="A975" t="inlineStr">
        <is>
          <t>G|FICO x ASSET_CLASS|where Y|outcome_loans|rate|8</t>
        </is>
      </c>
      <c r="B975" t="n">
        <v>0.09613259668508287</v>
      </c>
      <c r="C975" t="n">
        <v>0.08278145695364239</v>
      </c>
      <c r="D975" t="n">
        <v>0.09565217391304348</v>
      </c>
      <c r="E975" t="n">
        <v>0.1276595744680851</v>
      </c>
      <c r="F975" t="n">
        <v>0.1007899754835195</v>
      </c>
    </row>
    <row r="976">
      <c r="A976" t="inlineStr">
        <is>
          <t>G|FICO x ASSET_CLASS|where Y|outcome_loans|book|8</t>
        </is>
      </c>
      <c r="B976" t="n">
        <v>1.24226920982872</v>
      </c>
      <c r="C976" t="n">
        <v>1.069739699793514</v>
      </c>
      <c r="D976" t="n">
        <v>1.236060967900541</v>
      </c>
      <c r="E976" t="n">
        <v>1.649675179596466</v>
      </c>
      <c r="F976" t="n">
        <v>1.302453980440504</v>
      </c>
    </row>
    <row r="977">
      <c r="A977" t="inlineStr">
        <is>
          <t>G|FICO x ASSET_CLASS|where Y|outcome_loans|band|8</t>
        </is>
      </c>
    </row>
    <row r="978">
      <c r="A978" t="inlineStr">
        <is>
          <t>G|FICO x ASSET_CLASS|where Y|outcome_loans|meta</t>
        </is>
      </c>
      <c r="B978" t="inlineStr">
        <is>
          <t>x</t>
        </is>
      </c>
      <c r="C978" t="n">
        <v>3.145147917361164</v>
      </c>
      <c r="D978" t="n">
        <v>10</v>
      </c>
      <c r="E978" t="n">
        <v>0.07738467308413552</v>
      </c>
      <c r="F978" t="n">
        <v>65</v>
      </c>
    </row>
    <row r="979">
      <c r="A979" t="inlineStr">
        <is>
          <t>G|FICO x ASSET_CLASS|where Y|outcome_booked|rate|1</t>
        </is>
      </c>
      <c r="B979" t="n">
        <v>0.1975596970180436</v>
      </c>
      <c r="C979" t="n">
        <v>0.118633819960679</v>
      </c>
      <c r="D979" t="n">
        <v>0.1798777485818013</v>
      </c>
      <c r="E979" t="n">
        <v>0.2964275934057412</v>
      </c>
      <c r="F979" t="n">
        <v>0.1965399453932198</v>
      </c>
    </row>
    <row r="980">
      <c r="A980" t="inlineStr">
        <is>
          <t>G|FICO x ASSET_CLASS|where Y|outcome_booked|book|1</t>
        </is>
      </c>
      <c r="B980" t="n">
        <v>2.640153469968149</v>
      </c>
      <c r="C980" t="n">
        <v>1.585401760340607</v>
      </c>
      <c r="D980" t="n">
        <v>2.403854982855773</v>
      </c>
      <c r="E980" t="n">
        <v>3.961406861506764</v>
      </c>
      <c r="F980" t="n">
        <v>2.626525686409955</v>
      </c>
    </row>
    <row r="981">
      <c r="A981" t="inlineStr">
        <is>
          <t>G|FICO x ASSET_CLASS|where Y|outcome_booked|band|1</t>
        </is>
      </c>
      <c r="B981" t="n">
        <v>1.007055392674375</v>
      </c>
      <c r="C981" t="n">
        <v>0.5277563256847192</v>
      </c>
      <c r="D981" t="n">
        <v>0.8928925076187745</v>
      </c>
      <c r="E981" t="n">
        <v>1.801992169849558</v>
      </c>
    </row>
    <row r="982">
      <c r="A982" t="inlineStr">
        <is>
          <t>G|FICO x ASSET_CLASS|where Y|outcome_booked|rate|2</t>
        </is>
      </c>
      <c r="B982" t="n">
        <v>0.09162670190572685</v>
      </c>
      <c r="C982" t="n">
        <v>0.1023998313868138</v>
      </c>
      <c r="D982" t="n">
        <v>0.1033361338746842</v>
      </c>
      <c r="E982" t="n">
        <v>0.1444515712899625</v>
      </c>
      <c r="F982" t="n">
        <v>0.1112455416540537</v>
      </c>
    </row>
    <row r="983">
      <c r="A983" t="inlineStr">
        <is>
          <t>G|FICO x ASSET_CLASS|where Y|outcome_booked|book|2</t>
        </is>
      </c>
      <c r="B983" t="n">
        <v>1.224483326455233</v>
      </c>
      <c r="C983" t="n">
        <v>1.368453557282779</v>
      </c>
      <c r="D983" t="n">
        <v>1.380966141071897</v>
      </c>
      <c r="E983" t="n">
        <v>1.930425703926414</v>
      </c>
      <c r="F983" t="n">
        <v>1.486666092576621</v>
      </c>
    </row>
    <row r="984">
      <c r="A984" t="inlineStr">
        <is>
          <t>G|FICO x ASSET_CLASS|where Y|outcome_booked|band|2</t>
        </is>
      </c>
      <c r="B984" t="n">
        <v>0.7778935532408902</v>
      </c>
      <c r="C984" t="n">
        <v>0.9001577200630291</v>
      </c>
      <c r="D984" t="n">
        <v>0.9062506925027304</v>
      </c>
      <c r="E984" t="n">
        <v>1.458385022732666</v>
      </c>
    </row>
    <row r="985">
      <c r="A985" t="inlineStr">
        <is>
          <t>G|FICO x ASSET_CLASS|where Y|outcome_booked|rate|3</t>
        </is>
      </c>
      <c r="B985" t="n">
        <v>0.06888557789339712</v>
      </c>
      <c r="C985" t="n">
        <v>0.06370414070631102</v>
      </c>
      <c r="D985" t="n">
        <v>0.08392400930325386</v>
      </c>
      <c r="E985" t="n">
        <v>0.0745218093343394</v>
      </c>
      <c r="F985" t="n">
        <v>0.07308318935570284</v>
      </c>
    </row>
    <row r="986">
      <c r="A986" t="inlineStr">
        <is>
          <t>G|FICO x ASSET_CLASS|where Y|outcome_booked|book|3</t>
        </is>
      </c>
      <c r="C986" t="n">
        <v>0.8513310694222475</v>
      </c>
      <c r="D986" t="n">
        <v>1.121545880663039</v>
      </c>
      <c r="E986" t="n">
        <v>0.9958965136719733</v>
      </c>
      <c r="F986" t="n">
        <v>0.9766710462011666</v>
      </c>
    </row>
    <row r="987">
      <c r="A987" t="inlineStr">
        <is>
          <t>G|FICO x ASSET_CLASS|where Y|outcome_booked|band|3</t>
        </is>
      </c>
      <c r="C987" t="n">
        <v>0.8364920026200479</v>
      </c>
      <c r="D987" t="n">
        <v>1.215242482775744</v>
      </c>
      <c r="E987" t="n">
        <v>1.026397262858444</v>
      </c>
    </row>
    <row r="988">
      <c r="A988" t="inlineStr">
        <is>
          <t>G|FICO x ASSET_CLASS|where Y|outcome_booked|rate|4</t>
        </is>
      </c>
      <c r="B988" t="n">
        <v>0.05464694905043065</v>
      </c>
      <c r="C988" t="n">
        <v>0.05604451517361919</v>
      </c>
      <c r="D988" t="n">
        <v>0.05117970064176201</v>
      </c>
      <c r="E988" t="n">
        <v>0.1219647873734382</v>
      </c>
      <c r="F988" t="n">
        <v>0.07267976959797931</v>
      </c>
    </row>
    <row r="989">
      <c r="A989" t="inlineStr">
        <is>
          <t>G|FICO x ASSET_CLASS|where Y|outcome_booked|book|4</t>
        </is>
      </c>
      <c r="C989" t="n">
        <v>0.7489691644687995</v>
      </c>
      <c r="D989" t="n">
        <v>0.6839566282030592</v>
      </c>
      <c r="E989" t="n">
        <v>1.629916230173712</v>
      </c>
      <c r="F989" t="n">
        <v>0.9712798146428888</v>
      </c>
    </row>
    <row r="990">
      <c r="A990" t="inlineStr">
        <is>
          <t>G|FICO x ASSET_CLASS|where Y|outcome_booked|band|4</t>
        </is>
      </c>
      <c r="C990" t="n">
        <v>0.7093079302987636</v>
      </c>
      <c r="D990" t="n">
        <v>0.6498996361301214</v>
      </c>
      <c r="E990" t="n">
        <v>2.253325232757716</v>
      </c>
    </row>
    <row r="991">
      <c r="A991" t="inlineStr">
        <is>
          <t>G|FICO x ASSET_CLASS|where Y|outcome_booked|rate|5</t>
        </is>
      </c>
      <c r="B991" t="n">
        <v>0.05289851606465854</v>
      </c>
      <c r="C991" t="n">
        <v>0.05986134118029075</v>
      </c>
      <c r="D991" t="n">
        <v>0.04374574016093979</v>
      </c>
      <c r="E991" t="n">
        <v>0.0388062790600802</v>
      </c>
      <c r="F991" t="n">
        <v>0.04945508218346732</v>
      </c>
    </row>
    <row r="992">
      <c r="A992" t="inlineStr">
        <is>
          <t>G|FICO x ASSET_CLASS|where Y|outcome_booked|book|5</t>
        </is>
      </c>
      <c r="B992" t="n">
        <v>0.7069265789141124</v>
      </c>
      <c r="F992" t="n">
        <v>0.6609091267350752</v>
      </c>
    </row>
    <row r="993">
      <c r="A993" t="inlineStr">
        <is>
          <t>G|FICO x ASSET_CLASS|where Y|outcome_booked|band|5</t>
        </is>
      </c>
      <c r="B993" t="n">
        <v>1.097181514823739</v>
      </c>
    </row>
    <row r="994">
      <c r="A994" t="inlineStr">
        <is>
          <t>G|FICO x ASSET_CLASS|where Y|outcome_booked|rate|6</t>
        </is>
      </c>
      <c r="C994" t="n">
        <v>0</v>
      </c>
      <c r="F994" t="n">
        <v>0</v>
      </c>
    </row>
    <row r="995">
      <c r="A995" t="inlineStr">
        <is>
          <t>G|FICO x ASSET_CLASS|where Y|outcome_booked|book|6</t>
        </is>
      </c>
    </row>
    <row r="996">
      <c r="A996" t="inlineStr">
        <is>
          <t>G|FICO x ASSET_CLASS|where Y|outcome_booked|band|6</t>
        </is>
      </c>
    </row>
    <row r="997">
      <c r="A997" t="inlineStr">
        <is>
          <t>G|FICO x ASSET_CLASS|where Y|outcome_booked|rate|7</t>
        </is>
      </c>
      <c r="B997" t="n">
        <v>0.02767746886327854</v>
      </c>
      <c r="C997" t="n">
        <v>0.189353195601807</v>
      </c>
      <c r="D997" t="n">
        <v>0.06685551877571001</v>
      </c>
      <c r="E997" t="n">
        <v>0.05894574594996555</v>
      </c>
      <c r="F997" t="n">
        <v>0.08559977389867067</v>
      </c>
    </row>
    <row r="998">
      <c r="A998" t="inlineStr">
        <is>
          <t>G|FICO x ASSET_CLASS|where Y|outcome_booked|book|7</t>
        </is>
      </c>
    </row>
    <row r="999">
      <c r="A999" t="inlineStr">
        <is>
          <t>G|FICO x ASSET_CLASS|where Y|outcome_booked|band|7</t>
        </is>
      </c>
    </row>
    <row r="1000">
      <c r="A1000" t="inlineStr">
        <is>
          <t>G|FICO x ASSET_CLASS|where Y|outcome_booked|rate|8</t>
        </is>
      </c>
      <c r="B1000" t="n">
        <v>0.09391781030789158</v>
      </c>
      <c r="C1000" t="n">
        <v>0.08143078150540617</v>
      </c>
      <c r="D1000" t="n">
        <v>0.09169079542439569</v>
      </c>
      <c r="E1000" t="n">
        <v>0.1358979596343107</v>
      </c>
      <c r="F1000" t="n">
        <v>0.1006690692129982</v>
      </c>
    </row>
    <row r="1001">
      <c r="A1001" t="inlineStr">
        <is>
          <t>G|FICO x ASSET_CLASS|where Y|outcome_booked|book|8</t>
        </is>
      </c>
      <c r="B1001" t="n">
        <v>1.255101301119852</v>
      </c>
      <c r="C1001" t="n">
        <v>1.088226817507625</v>
      </c>
      <c r="D1001" t="n">
        <v>1.225339861104102</v>
      </c>
      <c r="E1001" t="n">
        <v>1.816116723733119</v>
      </c>
      <c r="F1001" t="n">
        <v>1.345323952267889</v>
      </c>
    </row>
    <row r="1002">
      <c r="A1002" t="inlineStr">
        <is>
          <t>G|FICO x ASSET_CLASS|where Y|outcome_booked|band|8</t>
        </is>
      </c>
    </row>
    <row r="1003">
      <c r="A1003" t="inlineStr">
        <is>
          <t>G|FICO x ASSET_CLASS|where Y|outcome_booked|meta</t>
        </is>
      </c>
      <c r="B1003" t="inlineStr">
        <is>
          <t>x</t>
        </is>
      </c>
      <c r="C1003" t="n">
        <v>3.961406861506764</v>
      </c>
      <c r="D1003" t="n">
        <v>10</v>
      </c>
      <c r="E1003" t="n">
        <v>0.07482886857347235</v>
      </c>
      <c r="F1003" t="n">
        <v>65</v>
      </c>
    </row>
    <row r="1004">
      <c r="A1004" t="inlineStr">
        <is>
          <t>G|FICO x ASSET_CLASS|where Y|gco_rate|rate|1</t>
        </is>
      </c>
      <c r="B1004" t="n">
        <v>0.1104503655102678</v>
      </c>
      <c r="C1004" t="n">
        <v>0.06118025984938478</v>
      </c>
      <c r="D1004" t="n">
        <v>0.1031387884963628</v>
      </c>
      <c r="E1004" t="n">
        <v>0.1516244739842235</v>
      </c>
      <c r="F1004" t="n">
        <v>0.1056730912674188</v>
      </c>
    </row>
    <row r="1005">
      <c r="A1005" t="inlineStr">
        <is>
          <t>G|FICO x ASSET_CLASS|where Y|gco_rate|book|1</t>
        </is>
      </c>
      <c r="B1005" t="n">
        <v>2.654720853847578</v>
      </c>
      <c r="C1005" t="n">
        <v>1.470493202223732</v>
      </c>
      <c r="D1005" t="n">
        <v>2.478984034112726</v>
      </c>
      <c r="E1005" t="n">
        <v>3.6443578179211</v>
      </c>
      <c r="F1005" t="n">
        <v>2.539897064008138</v>
      </c>
    </row>
    <row r="1006">
      <c r="A1006" t="inlineStr">
        <is>
          <t>G|FICO x ASSET_CLASS|where Y|gco_rate|band|1</t>
        </is>
      </c>
      <c r="B1006" t="n">
        <v>1.06236768796116</v>
      </c>
      <c r="C1006" t="n">
        <v>0.5022747440111719</v>
      </c>
      <c r="D1006" t="n">
        <v>0.9691611396226035</v>
      </c>
      <c r="E1006" t="n">
        <v>1.667417786691833</v>
      </c>
    </row>
    <row r="1007">
      <c r="A1007" t="inlineStr">
        <is>
          <t>G|FICO x ASSET_CLASS|where Y|gco_rate|rate|2</t>
        </is>
      </c>
      <c r="B1007" t="n">
        <v>0.04928305428421943</v>
      </c>
      <c r="C1007" t="n">
        <v>0.05615619283090746</v>
      </c>
      <c r="D1007" t="n">
        <v>0.05745304546875105</v>
      </c>
      <c r="E1007" t="n">
        <v>0.08856833403639801</v>
      </c>
      <c r="F1007" t="n">
        <v>0.06348152741940742</v>
      </c>
    </row>
    <row r="1008">
      <c r="A1008" t="inlineStr">
        <is>
          <t>G|FICO x ASSET_CLASS|where Y|gco_rate|book|2</t>
        </is>
      </c>
      <c r="B1008" t="n">
        <v>1.18453887721591</v>
      </c>
      <c r="C1008" t="n">
        <v>1.349737644526283</v>
      </c>
      <c r="D1008" t="n">
        <v>1.380908041529003</v>
      </c>
      <c r="E1008" t="n">
        <v>2.128777050856442</v>
      </c>
      <c r="F1008" t="n">
        <v>1.525805133335941</v>
      </c>
    </row>
    <row r="1009">
      <c r="A1009" t="inlineStr">
        <is>
          <t>G|FICO x ASSET_CLASS|where Y|gco_rate|band|2</t>
        </is>
      </c>
      <c r="B1009" t="n">
        <v>0.7224498525130796</v>
      </c>
      <c r="C1009" t="n">
        <v>0.8565374415096368</v>
      </c>
      <c r="D1009" t="n">
        <v>0.8757984434371527</v>
      </c>
      <c r="E1009" t="n">
        <v>1.63207962708588</v>
      </c>
    </row>
    <row r="1010">
      <c r="A1010" t="inlineStr">
        <is>
          <t>G|FICO x ASSET_CLASS|where Y|gco_rate|rate|3</t>
        </is>
      </c>
      <c r="B1010" t="n">
        <v>0.03718135585647276</v>
      </c>
      <c r="C1010" t="n">
        <v>0.03072773407944593</v>
      </c>
      <c r="D1010" t="n">
        <v>0.04378049404469063</v>
      </c>
      <c r="E1010" t="n">
        <v>0.04589130358382132</v>
      </c>
      <c r="F1010" t="n">
        <v>0.03954707714671374</v>
      </c>
    </row>
    <row r="1011">
      <c r="A1011" t="inlineStr">
        <is>
          <t>G|FICO x ASSET_CLASS|where Y|gco_rate|book|3</t>
        </is>
      </c>
      <c r="C1011" t="n">
        <v>0.7385539746774733</v>
      </c>
      <c r="D1011" t="n">
        <v>1.052282534288085</v>
      </c>
      <c r="E1011" t="n">
        <v>1.103016726756734</v>
      </c>
      <c r="F1011" t="n">
        <v>0.9505305838063527</v>
      </c>
    </row>
    <row r="1012">
      <c r="A1012" t="inlineStr">
        <is>
          <t>G|FICO x ASSET_CLASS|where Y|gco_rate|band|3</t>
        </is>
      </c>
      <c r="C1012" t="n">
        <v>0.7240822306222701</v>
      </c>
      <c r="D1012" t="n">
        <v>1.152852792846912</v>
      </c>
      <c r="E1012" t="n">
        <v>1.225752000182147</v>
      </c>
    </row>
    <row r="1013">
      <c r="A1013" t="inlineStr">
        <is>
          <t>G|FICO x ASSET_CLASS|where Y|gco_rate|rate|4</t>
        </is>
      </c>
      <c r="B1013" t="n">
        <v>0.03104911737830068</v>
      </c>
      <c r="C1013" t="n">
        <v>0.02944005210152369</v>
      </c>
      <c r="D1013" t="n">
        <v>0.02993234682536851</v>
      </c>
      <c r="E1013" t="n">
        <v>0.06623856033178828</v>
      </c>
      <c r="F1013" t="n">
        <v>0.03998357770819432</v>
      </c>
    </row>
    <row r="1014">
      <c r="A1014" t="inlineStr">
        <is>
          <t>G|FICO x ASSET_CLASS|where Y|gco_rate|book|4</t>
        </is>
      </c>
      <c r="C1014" t="n">
        <v>0.7076039983317991</v>
      </c>
      <c r="D1014" t="n">
        <v>0.7194365084696535</v>
      </c>
      <c r="E1014" t="n">
        <v>1.5920715755829</v>
      </c>
      <c r="F1014" t="n">
        <v>0.9610220578537694</v>
      </c>
    </row>
    <row r="1015">
      <c r="A1015" t="inlineStr">
        <is>
          <t>G|FICO x ASSET_CLASS|where Y|gco_rate|band|4</t>
        </is>
      </c>
      <c r="C1015" t="n">
        <v>0.6691287608554165</v>
      </c>
      <c r="D1015" t="n">
        <v>0.6990032374826688</v>
      </c>
      <c r="E1015" t="n">
        <v>2.200618669925067</v>
      </c>
    </row>
    <row r="1016">
      <c r="A1016" t="inlineStr">
        <is>
          <t>G|FICO x ASSET_CLASS|where Y|gco_rate|rate|5</t>
        </is>
      </c>
      <c r="B1016" t="n">
        <v>0.02540911544089303</v>
      </c>
      <c r="C1016" t="n">
        <v>0.03031117300941493</v>
      </c>
      <c r="D1016" t="n">
        <v>0.02435615853851757</v>
      </c>
      <c r="E1016" t="n">
        <v>0.01993195480213301</v>
      </c>
      <c r="F1016" t="n">
        <v>0.02527923250680246</v>
      </c>
    </row>
    <row r="1017">
      <c r="A1017" t="inlineStr">
        <is>
          <t>G|FICO x ASSET_CLASS|where Y|gco_rate|book|5</t>
        </is>
      </c>
      <c r="B1017" t="n">
        <v>0.6107187452674246</v>
      </c>
      <c r="F1017" t="n">
        <v>0.6075969544784474</v>
      </c>
    </row>
    <row r="1018">
      <c r="A1018" t="inlineStr">
        <is>
          <t>G|FICO x ASSET_CLASS|where Y|gco_rate|band|5</t>
        </is>
      </c>
      <c r="B1018" t="n">
        <v>1.007004073502552</v>
      </c>
    </row>
    <row r="1019">
      <c r="A1019" t="inlineStr">
        <is>
          <t>G|FICO x ASSET_CLASS|where Y|gco_rate|rate|6</t>
        </is>
      </c>
      <c r="C1019" t="n">
        <v>0</v>
      </c>
      <c r="F1019" t="n">
        <v>0</v>
      </c>
    </row>
    <row r="1020">
      <c r="A1020" t="inlineStr">
        <is>
          <t>G|FICO x ASSET_CLASS|where Y|gco_rate|book|6</t>
        </is>
      </c>
    </row>
    <row r="1021">
      <c r="A1021" t="inlineStr">
        <is>
          <t>G|FICO x ASSET_CLASS|where Y|gco_rate|band|6</t>
        </is>
      </c>
    </row>
    <row r="1022">
      <c r="A1022" t="inlineStr">
        <is>
          <t>G|FICO x ASSET_CLASS|where Y|gco_rate|rate|7</t>
        </is>
      </c>
      <c r="B1022" t="n">
        <v>0.01191651997047521</v>
      </c>
      <c r="C1022" t="n">
        <v>0.09282250525441747</v>
      </c>
      <c r="D1022" t="n">
        <v>0.04450000008599227</v>
      </c>
      <c r="E1022" t="n">
        <v>0.02966701988812969</v>
      </c>
      <c r="F1022" t="n">
        <v>0.04569581498027084</v>
      </c>
    </row>
    <row r="1023">
      <c r="A1023" t="inlineStr">
        <is>
          <t>G|FICO x ASSET_CLASS|where Y|gco_rate|book|7</t>
        </is>
      </c>
    </row>
    <row r="1024">
      <c r="A1024" t="inlineStr">
        <is>
          <t>G|FICO x ASSET_CLASS|where Y|gco_rate|band|7</t>
        </is>
      </c>
    </row>
    <row r="1025">
      <c r="A1025" t="inlineStr">
        <is>
          <t>G|FICO x ASSET_CLASS|where Y|gco_rate|rate|8</t>
        </is>
      </c>
      <c r="B1025" t="n">
        <v>0.05105761588999549</v>
      </c>
      <c r="C1025" t="n">
        <v>0.04205486969531598</v>
      </c>
      <c r="D1025" t="n">
        <v>0.05138794933615651</v>
      </c>
      <c r="E1025" t="n">
        <v>0.07495703613824992</v>
      </c>
      <c r="F1025" t="n">
        <v>0.05481054765254322</v>
      </c>
    </row>
    <row r="1026">
      <c r="A1026" t="inlineStr">
        <is>
          <t>G|FICO x ASSET_CLASS|where Y|gco_rate|book|8</t>
        </is>
      </c>
      <c r="B1026" t="n">
        <v>1.227191209596404</v>
      </c>
      <c r="C1026" t="n">
        <v>1.010806429387679</v>
      </c>
      <c r="D1026" t="n">
        <v>1.235130912504544</v>
      </c>
      <c r="E1026" t="n">
        <v>1.801623797798295</v>
      </c>
      <c r="F1026" t="n">
        <v>1.317394498350357</v>
      </c>
    </row>
    <row r="1027">
      <c r="A1027" t="inlineStr">
        <is>
          <t>G|FICO x ASSET_CLASS|where Y|gco_rate|band|8</t>
        </is>
      </c>
    </row>
    <row r="1028">
      <c r="A1028" t="inlineStr">
        <is>
          <t>G|FICO x ASSET_CLASS|where Y|gco_rate|meta</t>
        </is>
      </c>
      <c r="B1028" t="inlineStr">
        <is>
          <t>x</t>
        </is>
      </c>
      <c r="C1028" t="n">
        <v>3.6443578179211</v>
      </c>
      <c r="D1028" t="n">
        <v>10</v>
      </c>
      <c r="E1028" t="n">
        <v>0.04160526533333565</v>
      </c>
      <c r="F1028" t="n">
        <v>65</v>
      </c>
    </row>
    <row r="1029">
      <c r="A1029" t="inlineStr">
        <is>
          <t>G|FICO x ASSET_CLASS|where Y|ranr_rate|rate|1</t>
        </is>
      </c>
      <c r="B1029" t="n">
        <v>0.1704928055551581</v>
      </c>
      <c r="C1029" t="n">
        <v>0.1953761637795907</v>
      </c>
      <c r="D1029" t="n">
        <v>0.1765216392524634</v>
      </c>
      <c r="E1029" t="n">
        <v>0.1218269892165544</v>
      </c>
      <c r="F1029" t="n">
        <v>0.1666688599176505</v>
      </c>
    </row>
    <row r="1030">
      <c r="A1030" t="inlineStr">
        <is>
          <t>G|FICO x ASSET_CLASS|where Y|ranr_rate|book|1</t>
        </is>
      </c>
      <c r="B1030" t="n">
        <v>4.250275591</v>
      </c>
      <c r="C1030" t="n">
        <v>6.738611413</v>
      </c>
      <c r="D1030" t="n">
        <v>4.85315896</v>
      </c>
      <c r="E1030" t="n">
        <v>-0.616306043</v>
      </c>
      <c r="F1030" t="n">
        <v>3.867881027</v>
      </c>
    </row>
    <row r="1031">
      <c r="A1031" t="inlineStr">
        <is>
          <t>G|FICO x ASSET_CLASS|where Y|ranr_rate|band|1</t>
        </is>
      </c>
      <c r="B1031" t="n">
        <v>0.519019274</v>
      </c>
      <c r="C1031" t="n">
        <v>3.911668268</v>
      </c>
      <c r="D1031" t="n">
        <v>1.27592343</v>
      </c>
      <c r="E1031" t="n">
        <v>-5.922537123</v>
      </c>
    </row>
    <row r="1032">
      <c r="A1032" t="inlineStr">
        <is>
          <t>G|FICO x ASSET_CLASS|where Y|ranr_rate|rate|2</t>
        </is>
      </c>
      <c r="B1032" t="n">
        <v>0.1718519111925623</v>
      </c>
      <c r="C1032" t="n">
        <v>0.149797089369544</v>
      </c>
      <c r="D1032" t="n">
        <v>0.1382416062362677</v>
      </c>
      <c r="E1032" t="n">
        <v>0.1135734087775936</v>
      </c>
      <c r="F1032" t="n">
        <v>0.1425763271144025</v>
      </c>
    </row>
    <row r="1033">
      <c r="A1033" t="inlineStr">
        <is>
          <t>G|FICO x ASSET_CLASS|where Y|ranr_rate|book|2</t>
        </is>
      </c>
      <c r="B1033" t="n">
        <v>4.386186154</v>
      </c>
      <c r="C1033" t="n">
        <v>2.180703972</v>
      </c>
      <c r="D1033" t="n">
        <v>1.025155659</v>
      </c>
      <c r="E1033" t="n">
        <v>-1.441664087</v>
      </c>
      <c r="F1033" t="n">
        <v>1.458627747</v>
      </c>
    </row>
    <row r="1034">
      <c r="A1034" t="inlineStr">
        <is>
          <t>G|FICO x ASSET_CLASS|where Y|ranr_rate|band|2</t>
        </is>
      </c>
      <c r="B1034" t="n">
        <v>3.903869533</v>
      </c>
      <c r="C1034" t="n">
        <v>0.9271402949999999</v>
      </c>
      <c r="D1034" t="n">
        <v>-0.585853592</v>
      </c>
      <c r="E1034" t="n">
        <v>-3.965566548</v>
      </c>
    </row>
    <row r="1035">
      <c r="A1035" t="inlineStr">
        <is>
          <t>G|FICO x ASSET_CLASS|where Y|ranr_rate|rate|3</t>
        </is>
      </c>
      <c r="B1035" t="n">
        <v>0.1372645588105658</v>
      </c>
      <c r="C1035" t="n">
        <v>0.128090415910965</v>
      </c>
      <c r="D1035" t="n">
        <v>0.1210020904254947</v>
      </c>
      <c r="E1035" t="n">
        <v>0.1264103059262016</v>
      </c>
      <c r="F1035" t="n">
        <v>0.1278914649482825</v>
      </c>
    </row>
    <row r="1036">
      <c r="A1036" t="inlineStr">
        <is>
          <t>G|FICO x ASSET_CLASS|where Y|ranr_rate|book|3</t>
        </is>
      </c>
      <c r="B1036" t="n">
        <v>0.927450916</v>
      </c>
      <c r="C1036" t="n">
        <v>0.010036626</v>
      </c>
      <c r="D1036" t="n">
        <v>-0.698795922</v>
      </c>
      <c r="E1036" t="n">
        <v>-0.157974372</v>
      </c>
      <c r="F1036" t="n">
        <v>-0.009858469999999999</v>
      </c>
    </row>
    <row r="1037">
      <c r="A1037" t="inlineStr">
        <is>
          <t>G|FICO x ASSET_CLASS|where Y|ranr_rate|band|3</t>
        </is>
      </c>
      <c r="B1037" t="n">
        <v>1.222257434</v>
      </c>
      <c r="C1037" t="n">
        <v>0.026413875</v>
      </c>
      <c r="D1037" t="n">
        <v>-0.944645665</v>
      </c>
      <c r="E1037" t="n">
        <v>-0.197325133</v>
      </c>
    </row>
    <row r="1038">
      <c r="A1038" t="inlineStr">
        <is>
          <t>G|FICO x ASSET_CLASS|where Y|ranr_rate|rate|4</t>
        </is>
      </c>
      <c r="B1038" t="n">
        <v>0.09100720125843952</v>
      </c>
      <c r="C1038" t="n">
        <v>0.09760033895202101</v>
      </c>
      <c r="D1038" t="n">
        <v>0.08989942273379853</v>
      </c>
      <c r="E1038" t="n">
        <v>0.0761927270428582</v>
      </c>
      <c r="F1038" t="n">
        <v>0.0885296107794703</v>
      </c>
    </row>
    <row r="1039">
      <c r="A1039" t="inlineStr">
        <is>
          <t>G|FICO x ASSET_CLASS|where Y|ranr_rate|book|4</t>
        </is>
      </c>
      <c r="B1039" t="n">
        <v>-3.698284839</v>
      </c>
      <c r="C1039" t="n">
        <v>-3.03897107</v>
      </c>
      <c r="D1039" t="n">
        <v>-3.809062691</v>
      </c>
      <c r="E1039" t="n">
        <v>-5.179732261</v>
      </c>
      <c r="F1039" t="n">
        <v>-3.946043887</v>
      </c>
    </row>
    <row r="1040">
      <c r="A1040" t="inlineStr">
        <is>
          <t>G|FICO x ASSET_CLASS|where Y|ranr_rate|band|4</t>
        </is>
      </c>
      <c r="B1040" t="n">
        <v>0.322014526</v>
      </c>
      <c r="C1040" t="n">
        <v>1.252403262</v>
      </c>
      <c r="D1040" t="n">
        <v>0.175656857</v>
      </c>
      <c r="E1040" t="n">
        <v>-1.698106486</v>
      </c>
    </row>
    <row r="1041">
      <c r="A1041" t="inlineStr">
        <is>
          <t>G|FICO x ASSET_CLASS|where Y|ranr_rate|rate|5</t>
        </is>
      </c>
      <c r="B1041" t="n">
        <v>0.04062459446519969</v>
      </c>
      <c r="C1041" t="n">
        <v>0.03068785019354794</v>
      </c>
      <c r="D1041" t="n">
        <v>0.04388813123858536</v>
      </c>
      <c r="E1041" t="n">
        <v>0.04565220580820405</v>
      </c>
      <c r="F1041" t="n">
        <v>0.03983403616126589</v>
      </c>
    </row>
    <row r="1042">
      <c r="A1042" t="inlineStr">
        <is>
          <t>G|FICO x ASSET_CLASS|where Y|ranr_rate|book|5</t>
        </is>
      </c>
      <c r="B1042" t="n">
        <v>-8.736545518</v>
      </c>
      <c r="C1042" t="n">
        <v>-9.730219945</v>
      </c>
      <c r="D1042" t="n">
        <v>-8.410191841</v>
      </c>
      <c r="E1042" t="n">
        <v>-8.233784384</v>
      </c>
      <c r="F1042" t="n">
        <v>-8.815601349</v>
      </c>
    </row>
    <row r="1043">
      <c r="A1043" t="inlineStr">
        <is>
          <t>G|FICO x ASSET_CLASS|where Y|ranr_rate|band|5</t>
        </is>
      </c>
      <c r="B1043" t="n">
        <v>0.107569916</v>
      </c>
      <c r="C1043" t="n">
        <v>-1.254374018</v>
      </c>
      <c r="D1043" t="n">
        <v>0.537000108</v>
      </c>
      <c r="E1043" t="n">
        <v>0.744984058</v>
      </c>
    </row>
    <row r="1044">
      <c r="A1044" t="inlineStr">
        <is>
          <t>G|FICO x ASSET_CLASS|where Y|ranr_rate|rate|6</t>
        </is>
      </c>
      <c r="C1044" t="n">
        <v>0.140296941334961</v>
      </c>
      <c r="F1044" t="n">
        <v>0.140296941334961</v>
      </c>
    </row>
    <row r="1045">
      <c r="A1045" t="inlineStr">
        <is>
          <t>G|FICO x ASSET_CLASS|where Y|ranr_rate|book|6</t>
        </is>
      </c>
      <c r="C1045" t="n">
        <v>1.230689169</v>
      </c>
      <c r="F1045" t="n">
        <v>1.230689169</v>
      </c>
    </row>
    <row r="1046">
      <c r="A1046" t="inlineStr">
        <is>
          <t>G|FICO x ASSET_CLASS|where Y|ranr_rate|band|6</t>
        </is>
      </c>
    </row>
    <row r="1047">
      <c r="A1047" t="inlineStr">
        <is>
          <t>G|FICO x ASSET_CLASS|where Y|ranr_rate|rate|7</t>
        </is>
      </c>
      <c r="B1047" t="n">
        <v>0.1721265348902237</v>
      </c>
      <c r="C1047" t="n">
        <v>0.08542287512955458</v>
      </c>
      <c r="D1047" t="n">
        <v>0.09236315750512079</v>
      </c>
      <c r="E1047" t="n">
        <v>0.1747242082274332</v>
      </c>
      <c r="F1047" t="n">
        <v>0.1255292967897276</v>
      </c>
    </row>
    <row r="1048">
      <c r="A1048" t="inlineStr">
        <is>
          <t>G|FICO x ASSET_CLASS|where Y|ranr_rate|book|7</t>
        </is>
      </c>
      <c r="B1048" t="n">
        <v>4.413648524</v>
      </c>
      <c r="C1048" t="n">
        <v>-4.256717452</v>
      </c>
      <c r="D1048" t="n">
        <v>-3.562689214</v>
      </c>
      <c r="E1048" t="n">
        <v>4.673415858</v>
      </c>
      <c r="F1048" t="n">
        <v>-0.246075286</v>
      </c>
    </row>
    <row r="1049">
      <c r="A1049" t="inlineStr">
        <is>
          <t>G|FICO x ASSET_CLASS|where Y|ranr_rate|band|7</t>
        </is>
      </c>
      <c r="B1049" t="n">
        <v>5.942634579</v>
      </c>
      <c r="C1049" t="n">
        <v>-5.248484951</v>
      </c>
      <c r="D1049" t="n">
        <v>-4.985719755</v>
      </c>
      <c r="E1049" t="n">
        <v>6.254856478</v>
      </c>
    </row>
    <row r="1050">
      <c r="A1050" t="inlineStr">
        <is>
          <t>G|FICO x ASSET_CLASS|where Y|ranr_rate|rate|8</t>
        </is>
      </c>
      <c r="B1050" t="n">
        <v>0.1235529127423794</v>
      </c>
      <c r="C1050" t="n">
        <v>0.1188036462606205</v>
      </c>
      <c r="D1050" t="n">
        <v>0.1139107040211186</v>
      </c>
      <c r="E1050" t="n">
        <v>0.09945745884195699</v>
      </c>
      <c r="F1050" t="n">
        <v>0.1139361498721039</v>
      </c>
    </row>
    <row r="1051">
      <c r="A1051" t="inlineStr">
        <is>
          <t>G|FICO x ASSET_CLASS|where Y|ranr_rate|book|8</t>
        </is>
      </c>
      <c r="B1051" t="n">
        <v>-0.443713691</v>
      </c>
      <c r="C1051" t="n">
        <v>-0.918640339</v>
      </c>
      <c r="D1051" t="n">
        <v>-1.407934563</v>
      </c>
      <c r="E1051" t="n">
        <v>-2.853259081</v>
      </c>
      <c r="F1051" t="n">
        <v>-1.405389978</v>
      </c>
    </row>
    <row r="1052">
      <c r="A1052" t="inlineStr">
        <is>
          <t>G|FICO x ASSET_CLASS|where Y|ranr_rate|band|8</t>
        </is>
      </c>
    </row>
    <row r="1053">
      <c r="A1053" t="inlineStr">
        <is>
          <t>G|FICO x ASSET_CLASS|where Y|ranr_rate|meta</t>
        </is>
      </c>
      <c r="B1053" t="inlineStr">
        <is>
          <t>pts</t>
        </is>
      </c>
      <c r="C1053" t="n">
        <v>9.730219945</v>
      </c>
      <c r="D1053" t="n">
        <v>10</v>
      </c>
      <c r="E1053" t="n">
        <v>0.1279900496481481</v>
      </c>
      <c r="F1053" t="n">
        <v>65</v>
      </c>
    </row>
    <row r="1054">
      <c r="A1054" t="inlineStr">
        <is>
          <t>G|FICO x ASSET_CLASS|where Y|contribution_rate|rate|1</t>
        </is>
      </c>
      <c r="B1054" t="n">
        <v>0.280943171065426</v>
      </c>
      <c r="C1054" t="n">
        <v>0.2565564236289755</v>
      </c>
      <c r="D1054" t="n">
        <v>0.2796604277488262</v>
      </c>
      <c r="E1054" t="n">
        <v>0.2734514632007779</v>
      </c>
      <c r="F1054" t="n">
        <v>0.2723419511850693</v>
      </c>
    </row>
    <row r="1055">
      <c r="A1055" t="inlineStr">
        <is>
          <t>G|FICO x ASSET_CLASS|where Y|contribution_rate|book|1</t>
        </is>
      </c>
      <c r="B1055" t="n">
        <v>11.135071533</v>
      </c>
      <c r="C1055" t="n">
        <v>8.696396789</v>
      </c>
      <c r="D1055" t="n">
        <v>11.006797201</v>
      </c>
      <c r="E1055" t="n">
        <v>10.385900747</v>
      </c>
      <c r="F1055" t="n">
        <v>10.274949545</v>
      </c>
    </row>
    <row r="1056">
      <c r="A1056" t="inlineStr">
        <is>
          <t>G|FICO x ASSET_CLASS|where Y|contribution_rate|band|1</t>
        </is>
      </c>
      <c r="B1056" t="n">
        <v>1.167432625</v>
      </c>
      <c r="C1056" t="n">
        <v>-2.150942058</v>
      </c>
      <c r="D1056" t="n">
        <v>0.947734177</v>
      </c>
      <c r="E1056" t="n">
        <v>0.146539964</v>
      </c>
    </row>
    <row r="1057">
      <c r="A1057" t="inlineStr">
        <is>
          <t>G|FICO x ASSET_CLASS|where Y|contribution_rate|rate|2</t>
        </is>
      </c>
      <c r="B1057" t="n">
        <v>0.2211349654767817</v>
      </c>
      <c r="C1057" t="n">
        <v>0.2059532822004514</v>
      </c>
      <c r="D1057" t="n">
        <v>0.1956946517050188</v>
      </c>
      <c r="E1057" t="n">
        <v>0.2021417428139917</v>
      </c>
      <c r="F1057" t="n">
        <v>0.20605785453381</v>
      </c>
    </row>
    <row r="1058">
      <c r="A1058" t="inlineStr">
        <is>
          <t>G|FICO x ASSET_CLASS|where Y|contribution_rate|book|2</t>
        </is>
      </c>
      <c r="B1058" t="n">
        <v>5.154250974</v>
      </c>
      <c r="C1058" t="n">
        <v>3.636082647</v>
      </c>
      <c r="D1058" t="n">
        <v>2.610219597</v>
      </c>
      <c r="E1058" t="n">
        <v>3.254928708</v>
      </c>
      <c r="F1058" t="n">
        <v>3.64653988</v>
      </c>
    </row>
    <row r="1059">
      <c r="A1059" t="inlineStr">
        <is>
          <t>G|FICO x ASSET_CLASS|where Y|contribution_rate|band|2</t>
        </is>
      </c>
      <c r="B1059" t="n">
        <v>2.010517498</v>
      </c>
      <c r="C1059" t="n">
        <v>-0.013427007</v>
      </c>
      <c r="D1059" t="n">
        <v>-1.40062527</v>
      </c>
      <c r="E1059" t="n">
        <v>-0.535449621</v>
      </c>
    </row>
    <row r="1060">
      <c r="A1060" t="inlineStr">
        <is>
          <t>G|FICO x ASSET_CLASS|where Y|contribution_rate|rate|3</t>
        </is>
      </c>
      <c r="B1060" t="n">
        <v>0.1744459146670386</v>
      </c>
      <c r="C1060" t="n">
        <v>0.1588181499904109</v>
      </c>
      <c r="D1060" t="n">
        <v>0.1647825844701854</v>
      </c>
      <c r="E1060" t="n">
        <v>0.1723016095100228</v>
      </c>
      <c r="F1060" t="n">
        <v>0.1674385420949962</v>
      </c>
    </row>
    <row r="1061">
      <c r="A1061" t="inlineStr">
        <is>
          <t>G|FICO x ASSET_CLASS|where Y|contribution_rate|book|3</t>
        </is>
      </c>
      <c r="B1061" t="n">
        <v>0.485345893</v>
      </c>
      <c r="C1061" t="n">
        <v>-1.077430574</v>
      </c>
      <c r="D1061" t="n">
        <v>-0.480987126</v>
      </c>
      <c r="E1061" t="n">
        <v>0.270915378</v>
      </c>
      <c r="F1061" t="n">
        <v>-0.215391364</v>
      </c>
    </row>
    <row r="1062">
      <c r="A1062" t="inlineStr">
        <is>
          <t>G|FICO x ASSET_CLASS|where Y|contribution_rate|band|3</t>
        </is>
      </c>
      <c r="B1062" t="n">
        <v>0.913765865</v>
      </c>
      <c r="C1062" t="n">
        <v>-1.144492893</v>
      </c>
      <c r="D1062" t="n">
        <v>-0.364175129</v>
      </c>
      <c r="E1062" t="n">
        <v>0.647874677</v>
      </c>
    </row>
    <row r="1063">
      <c r="A1063" t="inlineStr">
        <is>
          <t>G|FICO x ASSET_CLASS|where Y|contribution_rate|rate|4</t>
        </is>
      </c>
      <c r="B1063" t="n">
        <v>0.1220563186367403</v>
      </c>
      <c r="C1063" t="n">
        <v>0.1270403910535447</v>
      </c>
      <c r="D1063" t="n">
        <v>0.1198317695591671</v>
      </c>
      <c r="E1063" t="n">
        <v>0.1424312873746464</v>
      </c>
      <c r="F1063" t="n">
        <v>0.1285131884876646</v>
      </c>
    </row>
    <row r="1064">
      <c r="A1064" t="inlineStr">
        <is>
          <t>G|FICO x ASSET_CLASS|where Y|contribution_rate|book|4</t>
        </is>
      </c>
      <c r="B1064" t="n">
        <v>-4.75361371</v>
      </c>
      <c r="C1064" t="n">
        <v>-4.255206468</v>
      </c>
      <c r="D1064" t="n">
        <v>-4.976068618</v>
      </c>
      <c r="E1064" t="n">
        <v>-2.716116836</v>
      </c>
      <c r="F1064" t="n">
        <v>-4.107926725</v>
      </c>
    </row>
    <row r="1065">
      <c r="A1065" t="inlineStr">
        <is>
          <t>G|FICO x ASSET_CLASS|where Y|contribution_rate|band|4</t>
        </is>
      </c>
      <c r="B1065" t="n">
        <v>-0.839204824</v>
      </c>
      <c r="C1065" t="n">
        <v>-0.203350412</v>
      </c>
      <c r="D1065" t="n">
        <v>-1.113255555</v>
      </c>
      <c r="E1065" t="n">
        <v>1.915752348</v>
      </c>
    </row>
    <row r="1066">
      <c r="A1066" t="inlineStr">
        <is>
          <t>G|FICO x ASSET_CLASS|where Y|contribution_rate|rate|5</t>
        </is>
      </c>
      <c r="B1066" t="n">
        <v>0.0660337099060927</v>
      </c>
      <c r="C1066" t="n">
        <v>0.06099902320296288</v>
      </c>
      <c r="D1066" t="n">
        <v>0.06824428977710294</v>
      </c>
      <c r="E1066" t="n">
        <v>0.06558416061033709</v>
      </c>
      <c r="F1066" t="n">
        <v>0.06511326866806837</v>
      </c>
    </row>
    <row r="1067">
      <c r="A1067" t="inlineStr">
        <is>
          <t>G|FICO x ASSET_CLASS|where Y|contribution_rate|book|5</t>
        </is>
      </c>
      <c r="B1067" t="n">
        <v>-10.355874583</v>
      </c>
      <c r="C1067" t="n">
        <v>-10.859343253</v>
      </c>
      <c r="D1067" t="n">
        <v>-10.134816596</v>
      </c>
      <c r="E1067" t="n">
        <v>-10.400829512</v>
      </c>
      <c r="F1067" t="n">
        <v>-10.447918707</v>
      </c>
    </row>
    <row r="1068">
      <c r="A1068" t="inlineStr">
        <is>
          <t>G|FICO x ASSET_CLASS|where Y|contribution_rate|band|5</t>
        </is>
      </c>
      <c r="B1068" t="n">
        <v>0.125242864</v>
      </c>
      <c r="C1068" t="n">
        <v>-0.564257346</v>
      </c>
      <c r="D1068" t="n">
        <v>0.414730943</v>
      </c>
      <c r="E1068" t="n">
        <v>0.060295078</v>
      </c>
    </row>
    <row r="1069">
      <c r="A1069" t="inlineStr">
        <is>
          <t>G|FICO x ASSET_CLASS|where Y|contribution_rate|rate|6</t>
        </is>
      </c>
      <c r="C1069" t="n">
        <v>0.140296941334961</v>
      </c>
      <c r="F1069" t="n">
        <v>0.140296941334961</v>
      </c>
    </row>
    <row r="1070">
      <c r="A1070" t="inlineStr">
        <is>
          <t>G|FICO x ASSET_CLASS|where Y|contribution_rate|book|6</t>
        </is>
      </c>
      <c r="C1070" t="n">
        <v>-2.92955144</v>
      </c>
      <c r="F1070" t="n">
        <v>-2.92955144</v>
      </c>
    </row>
    <row r="1071">
      <c r="A1071" t="inlineStr">
        <is>
          <t>G|FICO x ASSET_CLASS|where Y|contribution_rate|band|6</t>
        </is>
      </c>
    </row>
    <row r="1072">
      <c r="A1072" t="inlineStr">
        <is>
          <t>G|FICO x ASSET_CLASS|where Y|contribution_rate|rate|7</t>
        </is>
      </c>
      <c r="B1072" t="n">
        <v>0.1840430548606989</v>
      </c>
      <c r="C1072" t="n">
        <v>0.178245380383972</v>
      </c>
      <c r="D1072" t="n">
        <v>0.1368631575911131</v>
      </c>
      <c r="E1072" t="n">
        <v>0.2043912281155629</v>
      </c>
      <c r="F1072" t="n">
        <v>0.1712251117699985</v>
      </c>
    </row>
    <row r="1073">
      <c r="A1073" t="inlineStr">
        <is>
          <t>G|FICO x ASSET_CLASS|where Y|contribution_rate|book|7</t>
        </is>
      </c>
      <c r="B1073" t="n">
        <v>1.445059913</v>
      </c>
      <c r="C1073" t="n">
        <v>0.865292465</v>
      </c>
      <c r="D1073" t="n">
        <v>-3.272929814</v>
      </c>
      <c r="E1073" t="n">
        <v>3.479877238</v>
      </c>
      <c r="F1073" t="n">
        <v>0.163265604</v>
      </c>
    </row>
    <row r="1074">
      <c r="A1074" t="inlineStr">
        <is>
          <t>G|FICO x ASSET_CLASS|where Y|contribution_rate|band|7</t>
        </is>
      </c>
      <c r="B1074" t="n">
        <v>1.634696711</v>
      </c>
      <c r="C1074" t="n">
        <v>0.918700114</v>
      </c>
      <c r="D1074" t="n">
        <v>-5.165481345</v>
      </c>
      <c r="E1074" t="n">
        <v>4.216885275</v>
      </c>
    </row>
    <row r="1075">
      <c r="A1075" t="inlineStr">
        <is>
          <t>G|FICO x ASSET_CLASS|where Y|contribution_rate|rate|8</t>
        </is>
      </c>
      <c r="B1075" t="n">
        <v>0.1746105286323749</v>
      </c>
      <c r="C1075" t="n">
        <v>0.1608585159559364</v>
      </c>
      <c r="D1075" t="n">
        <v>0.1652986533572751</v>
      </c>
      <c r="E1075" t="n">
        <v>0.1744144949802069</v>
      </c>
      <c r="F1075" t="n">
        <v>0.1687466975246472</v>
      </c>
    </row>
    <row r="1076">
      <c r="A1076" t="inlineStr">
        <is>
          <t>G|FICO x ASSET_CLASS|where Y|contribution_rate|book|8</t>
        </is>
      </c>
      <c r="B1076" t="n">
        <v>0.50180729</v>
      </c>
      <c r="C1076" t="n">
        <v>-0.873393978</v>
      </c>
      <c r="D1076" t="n">
        <v>-0.429380238</v>
      </c>
      <c r="E1076" t="n">
        <v>0.482203925</v>
      </c>
      <c r="F1076" t="n">
        <v>-0.084575821</v>
      </c>
    </row>
    <row r="1077">
      <c r="A1077" t="inlineStr">
        <is>
          <t>G|FICO x ASSET_CLASS|where Y|contribution_rate|band|8</t>
        </is>
      </c>
    </row>
    <row r="1078">
      <c r="A1078" t="inlineStr">
        <is>
          <t>G|FICO x ASSET_CLASS|where Y|contribution_rate|meta</t>
        </is>
      </c>
      <c r="B1078" t="inlineStr">
        <is>
          <t>pts</t>
        </is>
      </c>
      <c r="C1078" t="n">
        <v>11.135071533</v>
      </c>
      <c r="D1078" t="n">
        <v>10</v>
      </c>
      <c r="E1078" t="n">
        <v>0.1695924557349815</v>
      </c>
      <c r="F1078" t="n">
        <v>65</v>
      </c>
    </row>
    <row r="1079">
      <c r="A1079" t="inlineStr">
        <is>
          <t>G|FICO x ASSET_CLASS|where Y|loan_size|rate|1</t>
        </is>
      </c>
      <c r="B1079" t="n">
        <v>33538.14112903226</v>
      </c>
      <c r="C1079" t="n">
        <v>34840.98198895028</v>
      </c>
      <c r="D1079" t="n">
        <v>32518.99102409638</v>
      </c>
      <c r="E1079" t="n">
        <v>30450.97222222222</v>
      </c>
      <c r="F1079" t="n">
        <v>32822.29674515236</v>
      </c>
    </row>
    <row r="1080">
      <c r="A1080" t="inlineStr">
        <is>
          <t>G|FICO x ASSET_CLASS|where Y|loan_size|median|1</t>
        </is>
      </c>
      <c r="B1080" t="n">
        <v>34434.94</v>
      </c>
      <c r="C1080" t="n">
        <v>36473.8</v>
      </c>
      <c r="D1080" t="n">
        <v>31368.665</v>
      </c>
      <c r="E1080" t="n">
        <v>30177.78</v>
      </c>
      <c r="F1080" t="n">
        <v>33096.61500000001</v>
      </c>
    </row>
    <row r="1081">
      <c r="A1081" t="inlineStr">
        <is>
          <t>G|FICO x ASSET_CLASS|where Y|loan_size|book|1</t>
        </is>
      </c>
      <c r="B1081" t="n">
        <v>1.03953658425929</v>
      </c>
      <c r="C1081" t="n">
        <v>1.07991898745039</v>
      </c>
      <c r="D1081" t="n">
        <v>1.007947361265191</v>
      </c>
      <c r="E1081" t="n">
        <v>0.9438477681120306</v>
      </c>
      <c r="F1081" t="n">
        <v>1.017348520143967</v>
      </c>
    </row>
    <row r="1082">
      <c r="A1082" t="inlineStr">
        <is>
          <t>G|FICO x ASSET_CLASS|where Y|loan_size|band|1</t>
        </is>
      </c>
      <c r="B1082" t="n">
        <v>1.029602025633645</v>
      </c>
      <c r="C1082" t="n">
        <v>1.083804869009516</v>
      </c>
      <c r="D1082" t="n">
        <v>0.9880332149380221</v>
      </c>
      <c r="E1082" t="n">
        <v>0.9045785318089634</v>
      </c>
    </row>
    <row r="1083">
      <c r="A1083" t="inlineStr">
        <is>
          <t>G|FICO x ASSET_CLASS|where Y|loan_size|rate|2</t>
        </is>
      </c>
      <c r="B1083" t="n">
        <v>30901.37668449198</v>
      </c>
      <c r="C1083" t="n">
        <v>31353.28147239264</v>
      </c>
      <c r="D1083" t="n">
        <v>31139.55067357513</v>
      </c>
      <c r="E1083" t="n">
        <v>32497.46617801047</v>
      </c>
      <c r="F1083" t="n">
        <v>31479.68888283379</v>
      </c>
    </row>
    <row r="1084">
      <c r="A1084" t="inlineStr">
        <is>
          <t>G|FICO x ASSET_CLASS|where Y|loan_size|median|2</t>
        </is>
      </c>
      <c r="B1084" t="n">
        <v>30643.61</v>
      </c>
      <c r="C1084" t="n">
        <v>30875.06</v>
      </c>
      <c r="D1084" t="n">
        <v>33777.04</v>
      </c>
      <c r="E1084" t="n">
        <v>32424.21</v>
      </c>
      <c r="F1084" t="n">
        <v>31595.505</v>
      </c>
    </row>
    <row r="1085">
      <c r="A1085" t="inlineStr">
        <is>
          <t>G|FICO x ASSET_CLASS|where Y|loan_size|book|2</t>
        </is>
      </c>
      <c r="B1085" t="n">
        <v>0.9578083485282702</v>
      </c>
      <c r="C1085" t="n">
        <v>0.9718154325171324</v>
      </c>
      <c r="D1085" t="n">
        <v>0.9651907068443839</v>
      </c>
      <c r="E1085" t="n">
        <v>1.007280184605317</v>
      </c>
      <c r="F1085" t="n">
        <v>0.9757335127461318</v>
      </c>
    </row>
    <row r="1086">
      <c r="A1086" t="inlineStr">
        <is>
          <t>G|FICO x ASSET_CLASS|where Y|loan_size|band|2</t>
        </is>
      </c>
      <c r="B1086" t="n">
        <v>0.9755025066646307</v>
      </c>
      <c r="C1086" t="n">
        <v>0.9948440996688106</v>
      </c>
      <c r="D1086" t="n">
        <v>0.9853966347094685</v>
      </c>
      <c r="E1086" t="n">
        <v>1.044206473320924</v>
      </c>
    </row>
    <row r="1087">
      <c r="A1087" t="inlineStr">
        <is>
          <t>G|FICO x ASSET_CLASS|where Y|loan_size|rate|3</t>
        </is>
      </c>
      <c r="B1087" t="n">
        <v>33398.38520958084</v>
      </c>
      <c r="C1087" t="n">
        <v>32985.27067039106</v>
      </c>
      <c r="D1087" t="n">
        <v>33041.41306122449</v>
      </c>
      <c r="E1087" t="n">
        <v>34687.63302325581</v>
      </c>
      <c r="F1087" t="n">
        <v>33507.40002801121</v>
      </c>
    </row>
    <row r="1088">
      <c r="A1088" t="inlineStr">
        <is>
          <t>G|FICO x ASSET_CLASS|where Y|loan_size|median|3</t>
        </is>
      </c>
      <c r="B1088" t="n">
        <v>34707.1</v>
      </c>
      <c r="C1088" t="n">
        <v>34772.23</v>
      </c>
      <c r="D1088" t="n">
        <v>33538.355</v>
      </c>
      <c r="E1088" t="n">
        <v>37858.72</v>
      </c>
      <c r="F1088" t="n">
        <v>34821.65</v>
      </c>
    </row>
    <row r="1089">
      <c r="A1089" t="inlineStr">
        <is>
          <t>G|FICO x ASSET_CLASS|where Y|loan_size|book|3</t>
        </is>
      </c>
      <c r="B1089" t="n">
        <v>1.035204758277116</v>
      </c>
      <c r="C1089" t="n">
        <v>1.02240000337657</v>
      </c>
      <c r="D1089" t="n">
        <v>1.024140173440695</v>
      </c>
      <c r="E1089" t="n">
        <v>1.075165836123833</v>
      </c>
      <c r="F1089" t="n">
        <v>1.038583743759607</v>
      </c>
    </row>
    <row r="1090">
      <c r="A1090" t="inlineStr">
        <is>
          <t>G|FICO x ASSET_CLASS|where Y|loan_size|band|3</t>
        </is>
      </c>
      <c r="B1090" t="n">
        <v>0.9957574738631436</v>
      </c>
      <c r="C1090" t="n">
        <v>0.9793117639909731</v>
      </c>
      <c r="D1090" t="n">
        <v>0.9809312519321322</v>
      </c>
      <c r="E1090" t="n">
        <v>1.046925373350381</v>
      </c>
    </row>
    <row r="1091">
      <c r="A1091" t="inlineStr">
        <is>
          <t>G|FICO x ASSET_CLASS|where Y|loan_size|rate|4</t>
        </is>
      </c>
      <c r="B1091" t="n">
        <v>32448.43700598802</v>
      </c>
      <c r="C1091" t="n">
        <v>35407.62584699454</v>
      </c>
      <c r="D1091" t="n">
        <v>30615.62727810651</v>
      </c>
      <c r="E1091" t="n">
        <v>31047.81927536232</v>
      </c>
      <c r="F1091" t="n">
        <v>32368.35276859504</v>
      </c>
    </row>
    <row r="1092">
      <c r="A1092" t="inlineStr">
        <is>
          <t>G|FICO x ASSET_CLASS|where Y|loan_size|median|4</t>
        </is>
      </c>
      <c r="B1092" t="n">
        <v>32225.4</v>
      </c>
      <c r="C1092" t="n">
        <v>37736.99</v>
      </c>
      <c r="D1092" t="n">
        <v>31284.93</v>
      </c>
      <c r="E1092" t="n">
        <v>29755.38</v>
      </c>
      <c r="F1092" t="n">
        <v>32576.985</v>
      </c>
    </row>
    <row r="1093">
      <c r="A1093" t="inlineStr">
        <is>
          <t>G|FICO x ASSET_CLASS|where Y|loan_size|book|4</t>
        </is>
      </c>
      <c r="B1093" t="n">
        <v>1.005760493403077</v>
      </c>
      <c r="C1093" t="n">
        <v>1.097482483841457</v>
      </c>
      <c r="D1093" t="n">
        <v>0.9489513590867494</v>
      </c>
      <c r="E1093" t="n">
        <v>0.9623474322573816</v>
      </c>
      <c r="F1093" t="n">
        <v>1.003278230171128</v>
      </c>
    </row>
    <row r="1094">
      <c r="A1094" t="inlineStr">
        <is>
          <t>G|FICO x ASSET_CLASS|where Y|loan_size|band|4</t>
        </is>
      </c>
      <c r="B1094" t="n">
        <v>1.003215676744591</v>
      </c>
      <c r="C1094" t="n">
        <v>1.129643623879439</v>
      </c>
      <c r="D1094" t="n">
        <v>0.9305619588332275</v>
      </c>
      <c r="E1094" t="n">
        <v>0.943845020763691</v>
      </c>
    </row>
    <row r="1095">
      <c r="A1095" t="inlineStr">
        <is>
          <t>G|FICO x ASSET_CLASS|where Y|loan_size|rate|5</t>
        </is>
      </c>
      <c r="B1095" t="n">
        <v>32784.07169398907</v>
      </c>
      <c r="C1095" t="n">
        <v>34057.45611111111</v>
      </c>
      <c r="D1095" t="n">
        <v>31874.73706896552</v>
      </c>
      <c r="E1095" t="n">
        <v>30226.44798780488</v>
      </c>
      <c r="F1095" t="n">
        <v>32286.97423680457</v>
      </c>
    </row>
    <row r="1096">
      <c r="A1096" t="inlineStr">
        <is>
          <t>G|FICO x ASSET_CLASS|where Y|loan_size|median|5</t>
        </is>
      </c>
      <c r="B1096" t="n">
        <v>33431.25</v>
      </c>
      <c r="C1096" t="n">
        <v>34205.94</v>
      </c>
      <c r="D1096" t="n">
        <v>30448.165</v>
      </c>
      <c r="E1096" t="n">
        <v>30033.935</v>
      </c>
      <c r="F1096" t="n">
        <v>32112.83</v>
      </c>
    </row>
    <row r="1097">
      <c r="A1097" t="inlineStr">
        <is>
          <t>G|FICO x ASSET_CLASS|where Y|loan_size|book|5</t>
        </is>
      </c>
      <c r="B1097" t="n">
        <v>1.016163709722705</v>
      </c>
      <c r="C1097" t="n">
        <v>1.055633091234675</v>
      </c>
      <c r="D1097" t="n">
        <v>0.9879782892365532</v>
      </c>
      <c r="E1097" t="n">
        <v>0.9368884928548937</v>
      </c>
      <c r="F1097" t="n">
        <v>1.000755849439172</v>
      </c>
    </row>
    <row r="1098">
      <c r="A1098" t="inlineStr">
        <is>
          <t>G|FICO x ASSET_CLASS|where Y|loan_size|band|5</t>
        </is>
      </c>
      <c r="B1098" t="n">
        <v>1.020949377255046</v>
      </c>
      <c r="C1098" t="n">
        <v>1.075205769649152</v>
      </c>
      <c r="D1098" t="n">
        <v>0.9830877947079568</v>
      </c>
      <c r="E1098" t="n">
        <v>0.9182831902624587</v>
      </c>
    </row>
    <row r="1099">
      <c r="A1099" t="inlineStr">
        <is>
          <t>G|FICO x ASSET_CLASS|where Y|loan_size|rate|6</t>
        </is>
      </c>
      <c r="C1099" t="n">
        <v>27999.47</v>
      </c>
      <c r="F1099" t="n">
        <v>27999.47</v>
      </c>
    </row>
    <row r="1100">
      <c r="A1100" t="inlineStr">
        <is>
          <t>G|FICO x ASSET_CLASS|where Y|loan_size|median|6</t>
        </is>
      </c>
      <c r="C1100" t="n">
        <v>27999.47</v>
      </c>
      <c r="F1100" t="n">
        <v>27999.47</v>
      </c>
    </row>
    <row r="1101">
      <c r="A1101" t="inlineStr">
        <is>
          <t>G|FICO x ASSET_CLASS|where Y|loan_size|book|6</t>
        </is>
      </c>
      <c r="C1101" t="n">
        <v>0.8678618559355534</v>
      </c>
      <c r="F1101" t="n">
        <v>0.8678618559355534</v>
      </c>
    </row>
    <row r="1102">
      <c r="A1102" t="inlineStr">
        <is>
          <t>G|FICO x ASSET_CLASS|where Y|loan_size|band|6</t>
        </is>
      </c>
    </row>
    <row r="1103">
      <c r="A1103" t="inlineStr">
        <is>
          <t>G|FICO x ASSET_CLASS|where Y|loan_size|rate|7</t>
        </is>
      </c>
      <c r="B1103" t="n">
        <v>34995.228</v>
      </c>
      <c r="C1103" t="n">
        <v>31859.70055555556</v>
      </c>
      <c r="D1103" t="n">
        <v>37001.21545454545</v>
      </c>
      <c r="E1103" t="n">
        <v>30536.30529411765</v>
      </c>
      <c r="F1103" t="n">
        <v>33771.48555555556</v>
      </c>
    </row>
    <row r="1104">
      <c r="A1104" t="inlineStr">
        <is>
          <t>G|FICO x ASSET_CLASS|where Y|loan_size|median|7</t>
        </is>
      </c>
      <c r="B1104" t="n">
        <v>36279.01</v>
      </c>
      <c r="C1104" t="n">
        <v>30762.21</v>
      </c>
      <c r="D1104" t="n">
        <v>39658.815</v>
      </c>
      <c r="E1104" t="n">
        <v>30017.95</v>
      </c>
      <c r="F1104" t="n">
        <v>35774.8</v>
      </c>
    </row>
    <row r="1105">
      <c r="A1105" t="inlineStr">
        <is>
          <t>G|FICO x ASSET_CLASS|where Y|loan_size|book|7</t>
        </is>
      </c>
      <c r="B1105" t="n">
        <v>1.084699943283492</v>
      </c>
      <c r="C1105" t="n">
        <v>0.987512222684766</v>
      </c>
      <c r="D1105" t="n">
        <v>1.146876834320546</v>
      </c>
      <c r="E1105" t="n">
        <v>0.9464927223968027</v>
      </c>
      <c r="F1105" t="n">
        <v>1.04676924713022</v>
      </c>
    </row>
    <row r="1106">
      <c r="A1106" t="inlineStr">
        <is>
          <t>G|FICO x ASSET_CLASS|where Y|loan_size|band|7</t>
        </is>
      </c>
      <c r="B1106" t="n">
        <v>1.046212419606494</v>
      </c>
      <c r="C1106" t="n">
        <v>0.9259186435878022</v>
      </c>
      <c r="D1106" t="n">
        <v>1.143763614112516</v>
      </c>
      <c r="E1106" t="n">
        <v>0.8782005057244379</v>
      </c>
    </row>
    <row r="1107">
      <c r="A1107" t="inlineStr">
        <is>
          <t>G|FICO x ASSET_CLASS|where Y|loan_size|rate|8</t>
        </is>
      </c>
      <c r="B1107" t="n">
        <v>32638.1044640884</v>
      </c>
      <c r="C1107" t="n">
        <v>33737.65500552487</v>
      </c>
      <c r="D1107" t="n">
        <v>31976.60298913044</v>
      </c>
      <c r="E1107" t="n">
        <v>31735.82544680851</v>
      </c>
      <c r="F1107" t="n">
        <v>32512.31961580381</v>
      </c>
    </row>
    <row r="1108">
      <c r="A1108" t="inlineStr">
        <is>
          <t>G|FICO x ASSET_CLASS|where Y|loan_size|median|8</t>
        </is>
      </c>
      <c r="B1108" t="n">
        <v>32843.59</v>
      </c>
      <c r="C1108" t="n">
        <v>34831.73</v>
      </c>
      <c r="D1108" t="n">
        <v>32062.34</v>
      </c>
      <c r="E1108" t="n">
        <v>31537.565</v>
      </c>
      <c r="F1108" t="n">
        <v>32864.335</v>
      </c>
    </row>
    <row r="1109">
      <c r="A1109" t="inlineStr">
        <is>
          <t>G|FICO x ASSET_CLASS|where Y|loan_size|book|8</t>
        </is>
      </c>
      <c r="B1109" t="n">
        <v>1.011639360117253</v>
      </c>
      <c r="C1109" t="n">
        <v>1.045720647141114</v>
      </c>
      <c r="D1109" t="n">
        <v>0.9911356899491706</v>
      </c>
      <c r="E1109" t="n">
        <v>0.9836726328003351</v>
      </c>
      <c r="F1109" t="n">
        <v>1.007740576608821</v>
      </c>
    </row>
    <row r="1110">
      <c r="A1110" t="inlineStr">
        <is>
          <t>G|FICO x ASSET_CLASS|where Y|loan_size|band|8</t>
        </is>
      </c>
    </row>
    <row r="1111">
      <c r="A1111" t="inlineStr">
        <is>
          <t>G|FICO x ASSET_CLASS|where Y|loan_size|meta</t>
        </is>
      </c>
      <c r="B1111" t="inlineStr">
        <is>
          <t>size</t>
        </is>
      </c>
      <c r="C1111" t="n">
        <v>1</v>
      </c>
      <c r="E1111" t="n">
        <v>32262.58857732217</v>
      </c>
      <c r="F1111" t="n">
        <v>65</v>
      </c>
    </row>
    <row r="1112">
      <c r="A1112" t="inlineStr">
        <is>
          <t>G|ORIG_BAL x CHANNEL|cols</t>
        </is>
      </c>
      <c r="B1112" t="inlineStr">
        <is>
          <t>Branch</t>
        </is>
      </c>
      <c r="C1112" t="inlineStr">
        <is>
          <t>Broker</t>
        </is>
      </c>
      <c r="D1112" t="inlineStr">
        <is>
          <t>Online</t>
        </is>
      </c>
      <c r="E1112" t="inlineStr">
        <is>
          <t>All</t>
        </is>
      </c>
    </row>
    <row r="1113">
      <c r="A1113" t="inlineStr">
        <is>
          <t>G|ORIG_BAL x CHANNEL|heads</t>
        </is>
      </c>
      <c r="B1113" t="inlineStr">
        <is>
          <t>Branch</t>
        </is>
      </c>
      <c r="C1113" t="inlineStr">
        <is>
          <t>Broker</t>
        </is>
      </c>
      <c r="D1113" t="inlineStr">
        <is>
          <t>Online</t>
        </is>
      </c>
      <c r="E1113" t="inlineStr">
        <is>
          <t>All</t>
        </is>
      </c>
    </row>
    <row r="1114">
      <c r="A1114" t="inlineStr">
        <is>
          <t>G|ORIG_BAL x CHANNEL|segs</t>
        </is>
      </c>
    </row>
    <row r="1115">
      <c r="A1115" t="inlineStr">
        <is>
          <t>G|ORIG_BAL x CHANNEL|rows</t>
        </is>
      </c>
      <c r="B1115" t="inlineStr">
        <is>
          <t>5,005 - 15,448</t>
        </is>
      </c>
      <c r="C1115" t="inlineStr">
        <is>
          <t>15,449 - 26,323</t>
        </is>
      </c>
      <c r="D1115" t="inlineStr">
        <is>
          <t>26,324 - 37,950</t>
        </is>
      </c>
      <c r="E1115" t="inlineStr">
        <is>
          <t>37,951 - 49,151</t>
        </is>
      </c>
      <c r="F1115" t="inlineStr">
        <is>
          <t>49,152 - 59,984</t>
        </is>
      </c>
      <c r="G1115" t="inlineStr">
        <is>
          <t>(blank)</t>
        </is>
      </c>
      <c r="H1115" t="inlineStr">
        <is>
          <t>All</t>
        </is>
      </c>
    </row>
    <row r="1116">
      <c r="A1116" t="inlineStr">
        <is>
          <t>G|ORIG_BAL x CHANNEL|names</t>
        </is>
      </c>
      <c r="B1116" t="inlineStr">
        <is>
          <t>ORIG_BAL</t>
        </is>
      </c>
      <c r="C1116" t="inlineStr">
        <is>
          <t>CHANNEL</t>
        </is>
      </c>
    </row>
    <row r="1117">
      <c r="A1117" t="inlineStr">
        <is>
          <t>G|ORIG_BAL x CHANNEL|total</t>
        </is>
      </c>
      <c r="B1117" t="n">
        <v>8000</v>
      </c>
    </row>
    <row r="1118">
      <c r="A1118" t="inlineStr">
        <is>
          <t>G|ORIG_BAL x CHANNEL|loans|1</t>
        </is>
      </c>
      <c r="B1118" t="n">
        <v>542</v>
      </c>
      <c r="C1118" t="n">
        <v>514</v>
      </c>
      <c r="D1118" t="n">
        <v>544</v>
      </c>
      <c r="E1118" t="n">
        <v>1600</v>
      </c>
    </row>
    <row r="1119">
      <c r="A1119" t="inlineStr">
        <is>
          <t>G|ORIG_BAL x CHANNEL|loans|2</t>
        </is>
      </c>
      <c r="B1119" t="n">
        <v>525</v>
      </c>
      <c r="C1119" t="n">
        <v>537</v>
      </c>
      <c r="D1119" t="n">
        <v>538</v>
      </c>
      <c r="E1119" t="n">
        <v>1600</v>
      </c>
    </row>
    <row r="1120">
      <c r="A1120" t="inlineStr">
        <is>
          <t>G|ORIG_BAL x CHANNEL|loans|3</t>
        </is>
      </c>
      <c r="B1120" t="n">
        <v>518</v>
      </c>
      <c r="C1120" t="n">
        <v>553</v>
      </c>
      <c r="D1120" t="n">
        <v>528</v>
      </c>
      <c r="E1120" t="n">
        <v>1599</v>
      </c>
    </row>
    <row r="1121">
      <c r="A1121" t="inlineStr">
        <is>
          <t>G|ORIG_BAL x CHANNEL|loans|4</t>
        </is>
      </c>
      <c r="B1121" t="n">
        <v>526</v>
      </c>
      <c r="C1121" t="n">
        <v>531</v>
      </c>
      <c r="D1121" t="n">
        <v>543</v>
      </c>
      <c r="E1121" t="n">
        <v>1600</v>
      </c>
    </row>
    <row r="1122">
      <c r="A1122" t="inlineStr">
        <is>
          <t>G|ORIG_BAL x CHANNEL|loans|5</t>
        </is>
      </c>
      <c r="B1122" t="n">
        <v>515</v>
      </c>
      <c r="C1122" t="n">
        <v>520</v>
      </c>
      <c r="D1122" t="n">
        <v>565</v>
      </c>
      <c r="E1122" t="n">
        <v>1600</v>
      </c>
    </row>
    <row r="1123">
      <c r="A1123" t="inlineStr">
        <is>
          <t>G|ORIG_BAL x CHANNEL|loans|6</t>
        </is>
      </c>
      <c r="B1123" t="n">
        <v>1</v>
      </c>
      <c r="E1123" t="n">
        <v>1</v>
      </c>
    </row>
    <row r="1124">
      <c r="A1124" t="inlineStr">
        <is>
          <t>G|ORIG_BAL x CHANNEL|loans|7</t>
        </is>
      </c>
      <c r="B1124" t="n">
        <v>2627</v>
      </c>
      <c r="C1124" t="n">
        <v>2655</v>
      </c>
      <c r="D1124" t="n">
        <v>2718</v>
      </c>
      <c r="E1124" t="n">
        <v>8000</v>
      </c>
    </row>
    <row r="1125">
      <c r="A1125" t="inlineStr">
        <is>
          <t>G|ORIG_BAL x CHANNEL|outcome_loans|rate|1</t>
        </is>
      </c>
      <c r="B1125" t="n">
        <v>0.06457564575645756</v>
      </c>
      <c r="C1125" t="n">
        <v>0.08365758754863813</v>
      </c>
      <c r="D1125" t="n">
        <v>0.08272058823529412</v>
      </c>
      <c r="E1125" t="n">
        <v>0.076875</v>
      </c>
    </row>
    <row r="1126">
      <c r="A1126" t="inlineStr">
        <is>
          <t>G|ORIG_BAL x CHANNEL|outcome_loans|book|1</t>
        </is>
      </c>
      <c r="B1126" t="n">
        <v>0.8344759134182618</v>
      </c>
      <c r="C1126" t="n">
        <v>1.081061458483936</v>
      </c>
      <c r="D1126" t="n">
        <v>1.068953126484843</v>
      </c>
      <c r="E1126" t="n">
        <v>0.9934137722132471</v>
      </c>
    </row>
    <row r="1127">
      <c r="A1127" t="inlineStr">
        <is>
          <t>G|ORIG_BAL x CHANNEL|outcome_loans|band|1</t>
        </is>
      </c>
      <c r="B1127" t="n">
        <v>0.7763753773901375</v>
      </c>
      <c r="C1127" t="n">
        <v>1.135651750972762</v>
      </c>
      <c r="D1127" t="n">
        <v>1.119909502262443</v>
      </c>
    </row>
    <row r="1128">
      <c r="A1128" t="inlineStr">
        <is>
          <t>G|ORIG_BAL x CHANNEL|outcome_loans|rate|2</t>
        </is>
      </c>
      <c r="B1128" t="n">
        <v>0.07047619047619047</v>
      </c>
      <c r="C1128" t="n">
        <v>0.1173184357541899</v>
      </c>
      <c r="D1128" t="n">
        <v>0.09107806691449814</v>
      </c>
      <c r="E1128" t="n">
        <v>0.093125</v>
      </c>
    </row>
    <row r="1129">
      <c r="A1129" t="inlineStr">
        <is>
          <t>G|ORIG_BAL x CHANNEL|outcome_loans|book|2</t>
        </is>
      </c>
      <c r="B1129" t="n">
        <v>0.9107254404184937</v>
      </c>
      <c r="C1129" t="n">
        <v>1.516042273986697</v>
      </c>
      <c r="D1129" t="n">
        <v>1.176952273423377</v>
      </c>
      <c r="E1129" t="n">
        <v>1.203403675282714</v>
      </c>
    </row>
    <row r="1130">
      <c r="A1130" t="inlineStr">
        <is>
          <t>G|ORIG_BAL x CHANNEL|outcome_loans|band|2</t>
        </is>
      </c>
      <c r="B1130" t="n">
        <v>0.6764455782312925</v>
      </c>
      <c r="C1130" t="n">
        <v>1.450110432636092</v>
      </c>
      <c r="D1130" t="n">
        <v>0.9672490706319703</v>
      </c>
    </row>
    <row r="1131">
      <c r="A1131" t="inlineStr">
        <is>
          <t>G|ORIG_BAL x CHANNEL|outcome_loans|rate|3</t>
        </is>
      </c>
      <c r="B1131" t="n">
        <v>0.06382978723404255</v>
      </c>
      <c r="C1131" t="n">
        <v>0.07414104882459313</v>
      </c>
      <c r="D1131" t="n">
        <v>0.06818181818181818</v>
      </c>
      <c r="E1131" t="n">
        <v>0.06883604505632041</v>
      </c>
    </row>
    <row r="1132">
      <c r="A1132" t="inlineStr">
        <is>
          <t>G|ORIG_BAL x CHANNEL|outcome_loans|book|3</t>
        </is>
      </c>
      <c r="B1132" t="n">
        <v>0.8248375897982332</v>
      </c>
      <c r="C1132" t="n">
        <v>0.9580844096089183</v>
      </c>
      <c r="D1132" t="n">
        <v>0.8810765163753854</v>
      </c>
      <c r="E1132" t="n">
        <v>0.8895307340961339</v>
      </c>
    </row>
    <row r="1133">
      <c r="A1133" t="inlineStr">
        <is>
          <t>G|ORIG_BAL x CHANNEL|outcome_loans|band|3</t>
        </is>
      </c>
      <c r="B1133" t="n">
        <v>0.8961038961038961</v>
      </c>
      <c r="C1133" t="n">
        <v>1.122860811908693</v>
      </c>
      <c r="D1133" t="n">
        <v>0.9858722358722358</v>
      </c>
    </row>
    <row r="1134">
      <c r="A1134" t="inlineStr">
        <is>
          <t>G|ORIG_BAL x CHANNEL|outcome_loans|rate|4</t>
        </is>
      </c>
      <c r="B1134" t="n">
        <v>0.07984790874524715</v>
      </c>
      <c r="C1134" t="n">
        <v>0.09227871939736347</v>
      </c>
      <c r="D1134" t="n">
        <v>0.07918968692449356</v>
      </c>
      <c r="E1134" t="n">
        <v>0.08375</v>
      </c>
    </row>
    <row r="1135">
      <c r="A1135" t="inlineStr">
        <is>
          <t>G|ORIG_BAL x CHANNEL|outcome_loans|book|4</t>
        </is>
      </c>
      <c r="B1135" t="n">
        <v>1.03183105339779</v>
      </c>
      <c r="C1135" t="n">
        <v>1.192467651792424</v>
      </c>
      <c r="D1135" t="n">
        <v>1.02332521116159</v>
      </c>
      <c r="E1135" t="n">
        <v>1.082255654281099</v>
      </c>
    </row>
    <row r="1136">
      <c r="A1136" t="inlineStr">
        <is>
          <t>G|ORIG_BAL x CHANNEL|outcome_loans|band|4</t>
        </is>
      </c>
      <c r="B1136" t="n">
        <v>0.9321375433956025</v>
      </c>
      <c r="C1136" t="n">
        <v>1.160540600420959</v>
      </c>
      <c r="D1136" t="n">
        <v>0.9198186711998868</v>
      </c>
    </row>
    <row r="1137">
      <c r="A1137" t="inlineStr">
        <is>
          <t>G|ORIG_BAL x CHANNEL|outcome_loans|rate|5</t>
        </is>
      </c>
      <c r="B1137" t="n">
        <v>0.04466019417475728</v>
      </c>
      <c r="C1137" t="n">
        <v>0.08461538461538462</v>
      </c>
      <c r="D1137" t="n">
        <v>0.06371681415929203</v>
      </c>
      <c r="E1137" t="n">
        <v>0.064375</v>
      </c>
    </row>
    <row r="1138">
      <c r="A1138" t="inlineStr">
        <is>
          <t>G|ORIG_BAL x CHANNEL|outcome_loans|book|5</t>
        </is>
      </c>
      <c r="B1138" t="n">
        <v>0.5771193751274369</v>
      </c>
      <c r="C1138" t="n">
        <v>1.093438548527402</v>
      </c>
      <c r="D1138" t="n">
        <v>0.8233777002587673</v>
      </c>
      <c r="E1138" t="n">
        <v>0.8318830775444265</v>
      </c>
    </row>
    <row r="1139">
      <c r="A1139" t="inlineStr">
        <is>
          <t>G|ORIG_BAL x CHANNEL|outcome_loans|band|5</t>
        </is>
      </c>
      <c r="B1139" t="n">
        <v>0.6057038834951456</v>
      </c>
      <c r="C1139" t="n">
        <v>1.548891786179922</v>
      </c>
      <c r="D1139" t="n">
        <v>0.9842821291771233</v>
      </c>
    </row>
    <row r="1140">
      <c r="A1140" t="inlineStr">
        <is>
          <t>G|ORIG_BAL x CHANNEL|outcome_loans|rate|6</t>
        </is>
      </c>
      <c r="B1140" t="n">
        <v>0</v>
      </c>
      <c r="E1140" t="n">
        <v>0</v>
      </c>
    </row>
    <row r="1141">
      <c r="A1141" t="inlineStr">
        <is>
          <t>G|ORIG_BAL x CHANNEL|outcome_loans|book|6</t>
        </is>
      </c>
    </row>
    <row r="1142">
      <c r="A1142" t="inlineStr">
        <is>
          <t>G|ORIG_BAL x CHANNEL|outcome_loans|band|6</t>
        </is>
      </c>
    </row>
    <row r="1143">
      <c r="A1143" t="inlineStr">
        <is>
          <t>G|ORIG_BAL x CHANNEL|outcome_loans|rate|7</t>
        </is>
      </c>
      <c r="B1143" t="n">
        <v>0.06473724295506474</v>
      </c>
      <c r="C1143" t="n">
        <v>0.0903954802259887</v>
      </c>
      <c r="D1143" t="n">
        <v>0.07689477557027226</v>
      </c>
      <c r="E1143" t="n">
        <v>0.07738467308413552</v>
      </c>
    </row>
    <row r="1144">
      <c r="A1144" t="inlineStr">
        <is>
          <t>G|ORIG_BAL x CHANNEL|outcome_loans|book|7</t>
        </is>
      </c>
      <c r="B1144" t="n">
        <v>0.8365641460380659</v>
      </c>
      <c r="C1144" t="n">
        <v>1.168131577266048</v>
      </c>
      <c r="D1144" t="n">
        <v>0.9936693211415312</v>
      </c>
      <c r="E1144" t="n">
        <v>1</v>
      </c>
    </row>
    <row r="1145">
      <c r="A1145" t="inlineStr">
        <is>
          <t>G|ORIG_BAL x CHANNEL|outcome_loans|band|7</t>
        </is>
      </c>
    </row>
    <row r="1146">
      <c r="A1146" t="inlineStr">
        <is>
          <t>G|ORIG_BAL x CHANNEL|outcome_loans|meta</t>
        </is>
      </c>
      <c r="B1146" t="inlineStr">
        <is>
          <t>x</t>
        </is>
      </c>
      <c r="C1146" t="n">
        <v>1.548891786179922</v>
      </c>
      <c r="D1146" t="n">
        <v>10</v>
      </c>
      <c r="E1146" t="n">
        <v>0.07738467308413552</v>
      </c>
      <c r="F1146" t="n">
        <v>65</v>
      </c>
    </row>
    <row r="1147">
      <c r="A1147" t="inlineStr">
        <is>
          <t>G|ORIG_BAL x CHANNEL|outcome_booked|rate|1</t>
        </is>
      </c>
      <c r="B1147" t="n">
        <v>0.06711890823290693</v>
      </c>
      <c r="C1147" t="n">
        <v>0.08032199699577761</v>
      </c>
      <c r="D1147" t="n">
        <v>0.07944556391978397</v>
      </c>
      <c r="E1147" t="n">
        <v>0.07557453391360711</v>
      </c>
    </row>
    <row r="1148">
      <c r="A1148" t="inlineStr">
        <is>
          <t>G|ORIG_BAL x CHANNEL|outcome_booked|book|1</t>
        </is>
      </c>
      <c r="B1148" t="n">
        <v>0.8969654294185242</v>
      </c>
      <c r="C1148" t="n">
        <v>1.073409213944104</v>
      </c>
      <c r="D1148" t="n">
        <v>1.061696714574518</v>
      </c>
      <c r="E1148" t="n">
        <v>1.009964942065142</v>
      </c>
    </row>
    <row r="1149">
      <c r="A1149" t="inlineStr">
        <is>
          <t>G|ORIG_BAL x CHANNEL|outcome_booked|band|1</t>
        </is>
      </c>
      <c r="B1149" t="n">
        <v>0.8403190984673156</v>
      </c>
      <c r="C1149" t="n">
        <v>1.095721126639401</v>
      </c>
      <c r="D1149" t="n">
        <v>1.079652489325491</v>
      </c>
    </row>
    <row r="1150">
      <c r="A1150" t="inlineStr">
        <is>
          <t>G|ORIG_BAL x CHANNEL|outcome_booked|rate|2</t>
        </is>
      </c>
      <c r="B1150" t="n">
        <v>0.0689620818748256</v>
      </c>
      <c r="C1150" t="n">
        <v>0.1166491386620997</v>
      </c>
      <c r="D1150" t="n">
        <v>0.09519623101575854</v>
      </c>
      <c r="E1150" t="n">
        <v>0.09377887022910673</v>
      </c>
    </row>
    <row r="1151">
      <c r="A1151" t="inlineStr">
        <is>
          <t>G|ORIG_BAL x CHANNEL|outcome_booked|book|2</t>
        </is>
      </c>
      <c r="B1151" t="n">
        <v>0.9215972817645062</v>
      </c>
      <c r="C1151" t="n">
        <v>1.558878824254374</v>
      </c>
      <c r="D1151" t="n">
        <v>1.27218589336665</v>
      </c>
      <c r="E1151" t="n">
        <v>1.253244530044282</v>
      </c>
    </row>
    <row r="1152">
      <c r="A1152" t="inlineStr">
        <is>
          <t>G|ORIG_BAL x CHANNEL|outcome_booked|band|2</t>
        </is>
      </c>
      <c r="B1152" t="n">
        <v>0.650797960861509</v>
      </c>
      <c r="C1152" t="n">
        <v>1.419585157819046</v>
      </c>
      <c r="D1152" t="n">
        <v>1.022866651792092</v>
      </c>
    </row>
    <row r="1153">
      <c r="A1153" t="inlineStr">
        <is>
          <t>G|ORIG_BAL x CHANNEL|outcome_booked|rate|3</t>
        </is>
      </c>
      <c r="B1153" t="n">
        <v>0.06239969619746574</v>
      </c>
      <c r="C1153" t="n">
        <v>0.07396369442121604</v>
      </c>
      <c r="D1153" t="n">
        <v>0.06784813887066096</v>
      </c>
      <c r="E1153" t="n">
        <v>0.06822026696935879</v>
      </c>
    </row>
    <row r="1154">
      <c r="A1154" t="inlineStr">
        <is>
          <t>G|ORIG_BAL x CHANNEL|outcome_booked|book|3</t>
        </is>
      </c>
      <c r="B1154" t="n">
        <v>0.8338986996201505</v>
      </c>
      <c r="C1154" t="n">
        <v>0.9884379629312875</v>
      </c>
      <c r="D1154" t="n">
        <v>0.9067107409761621</v>
      </c>
      <c r="E1154" t="n">
        <v>0.9116837962393517</v>
      </c>
    </row>
    <row r="1155">
      <c r="A1155" t="inlineStr">
        <is>
          <t>G|ORIG_BAL x CHANNEL|outcome_booked|band|3</t>
        </is>
      </c>
      <c r="B1155" t="n">
        <v>0.8789872479826164</v>
      </c>
      <c r="C1155" t="n">
        <v>1.135231912861252</v>
      </c>
      <c r="D1155" t="n">
        <v>0.9918874669102062</v>
      </c>
    </row>
    <row r="1156">
      <c r="A1156" t="inlineStr">
        <is>
          <t>G|ORIG_BAL x CHANNEL|outcome_booked|rate|4</t>
        </is>
      </c>
      <c r="B1156" t="n">
        <v>0.07817734344322087</v>
      </c>
      <c r="C1156" t="n">
        <v>0.0911667546552818</v>
      </c>
      <c r="D1156" t="n">
        <v>0.07997680019508326</v>
      </c>
      <c r="E1156" t="n">
        <v>0.08308928618120667</v>
      </c>
    </row>
    <row r="1157">
      <c r="A1157" t="inlineStr">
        <is>
          <t>G|ORIG_BAL x CHANNEL|outcome_booked|book|4</t>
        </is>
      </c>
      <c r="B1157" t="n">
        <v>1.044748436446834</v>
      </c>
      <c r="C1157" t="n">
        <v>1.218336671304441</v>
      </c>
      <c r="D1157" t="n">
        <v>1.068796063868803</v>
      </c>
      <c r="E1157" t="n">
        <v>1.110390785871948</v>
      </c>
    </row>
    <row r="1158">
      <c r="A1158" t="inlineStr">
        <is>
          <t>G|ORIG_BAL x CHANNEL|outcome_booked|band|4</t>
        </is>
      </c>
      <c r="B1158" t="n">
        <v>0.9143371209400876</v>
      </c>
      <c r="C1158" t="n">
        <v>1.152685706683168</v>
      </c>
      <c r="D1158" t="n">
        <v>0.9443559022431686</v>
      </c>
    </row>
    <row r="1159">
      <c r="A1159" t="inlineStr">
        <is>
          <t>G|ORIG_BAL x CHANNEL|outcome_booked|rate|5</t>
        </is>
      </c>
      <c r="B1159" t="n">
        <v>0.04509050367088964</v>
      </c>
      <c r="C1159" t="n">
        <v>0.08539735471840343</v>
      </c>
      <c r="D1159" t="n">
        <v>0.06352451543082047</v>
      </c>
      <c r="E1159" t="n">
        <v>0.06473600628619963</v>
      </c>
    </row>
    <row r="1160">
      <c r="A1160" t="inlineStr">
        <is>
          <t>G|ORIG_BAL x CHANNEL|outcome_booked|book|5</t>
        </is>
      </c>
      <c r="B1160" t="n">
        <v>0.6025816577276797</v>
      </c>
      <c r="C1160" t="n">
        <v>1.141235412834743</v>
      </c>
      <c r="D1160" t="n">
        <v>0.8489305884459224</v>
      </c>
      <c r="E1160" t="n">
        <v>0.8651207417714352</v>
      </c>
    </row>
    <row r="1161">
      <c r="A1161" t="inlineStr">
        <is>
          <t>G|ORIG_BAL x CHANNEL|outcome_booked|band|5</t>
        </is>
      </c>
      <c r="B1161" t="n">
        <v>0.6090248351916299</v>
      </c>
      <c r="C1161" t="n">
        <v>1.560230441510857</v>
      </c>
      <c r="D1161" t="n">
        <v>0.9713896390792535</v>
      </c>
    </row>
    <row r="1162">
      <c r="A1162" t="inlineStr">
        <is>
          <t>G|ORIG_BAL x CHANNEL|outcome_booked|rate|6</t>
        </is>
      </c>
    </row>
    <row r="1163">
      <c r="A1163" t="inlineStr">
        <is>
          <t>G|ORIG_BAL x CHANNEL|outcome_booked|book|6</t>
        </is>
      </c>
    </row>
    <row r="1164">
      <c r="A1164" t="inlineStr">
        <is>
          <t>G|ORIG_BAL x CHANNEL|outcome_booked|band|6</t>
        </is>
      </c>
    </row>
    <row r="1165">
      <c r="A1165" t="inlineStr">
        <is>
          <t>G|ORIG_BAL x CHANNEL|outcome_booked|rate|7</t>
        </is>
      </c>
      <c r="B1165" t="n">
        <v>0.06209402737287426</v>
      </c>
      <c r="C1165" t="n">
        <v>0.08834961310910705</v>
      </c>
      <c r="D1165" t="n">
        <v>0.07378839081032539</v>
      </c>
      <c r="E1165" t="n">
        <v>0.07482886857347223</v>
      </c>
    </row>
    <row r="1166">
      <c r="A1166" t="inlineStr">
        <is>
          <t>G|ORIG_BAL x CHANNEL|outcome_booked|book|7</t>
        </is>
      </c>
      <c r="B1166" t="n">
        <v>0.8298137945505067</v>
      </c>
      <c r="C1166" t="n">
        <v>1.180688881088173</v>
      </c>
      <c r="D1166" t="n">
        <v>0.9860952359298959</v>
      </c>
      <c r="E1166" t="n">
        <v>0.9999999999999986</v>
      </c>
    </row>
    <row r="1167">
      <c r="A1167" t="inlineStr">
        <is>
          <t>G|ORIG_BAL x CHANNEL|outcome_booked|band|7</t>
        </is>
      </c>
    </row>
    <row r="1168">
      <c r="A1168" t="inlineStr">
        <is>
          <t>G|ORIG_BAL x CHANNEL|outcome_booked|meta</t>
        </is>
      </c>
      <c r="B1168" t="inlineStr">
        <is>
          <t>x</t>
        </is>
      </c>
      <c r="C1168" t="n">
        <v>1.560230441510857</v>
      </c>
      <c r="D1168" t="n">
        <v>10</v>
      </c>
      <c r="E1168" t="n">
        <v>0.07482886857347235</v>
      </c>
      <c r="F1168" t="n">
        <v>65</v>
      </c>
    </row>
    <row r="1169">
      <c r="A1169" t="inlineStr">
        <is>
          <t>G|ORIG_BAL x CHANNEL|gco_rate|rate|1</t>
        </is>
      </c>
      <c r="B1169" t="n">
        <v>0.03544280615493821</v>
      </c>
      <c r="C1169" t="n">
        <v>0.04581691734433199</v>
      </c>
      <c r="D1169" t="n">
        <v>0.04309844401147397</v>
      </c>
      <c r="E1169" t="n">
        <v>0.04139745179629655</v>
      </c>
    </row>
    <row r="1170">
      <c r="A1170" t="inlineStr">
        <is>
          <t>G|ORIG_BAL x CHANNEL|gco_rate|book|1</t>
        </is>
      </c>
      <c r="B1170" t="n">
        <v>0.8518827093391986</v>
      </c>
      <c r="C1170" t="n">
        <v>1.101228822295764</v>
      </c>
      <c r="D1170" t="n">
        <v>1.035889175713102</v>
      </c>
      <c r="E1170" t="n">
        <v>0.995005114487935</v>
      </c>
    </row>
    <row r="1171">
      <c r="A1171" t="inlineStr">
        <is>
          <t>G|ORIG_BAL x CHANNEL|gco_rate|band|1</t>
        </is>
      </c>
      <c r="B1171" t="n">
        <v>0.7978190990987081</v>
      </c>
      <c r="C1171" t="n">
        <v>1.166274358991177</v>
      </c>
      <c r="D1171" t="n">
        <v>1.063556469663649</v>
      </c>
    </row>
    <row r="1172">
      <c r="A1172" t="inlineStr">
        <is>
          <t>G|ORIG_BAL x CHANNEL|gco_rate|rate|2</t>
        </is>
      </c>
      <c r="B1172" t="n">
        <v>0.04048703755894253</v>
      </c>
      <c r="C1172" t="n">
        <v>0.06798370490301706</v>
      </c>
      <c r="D1172" t="n">
        <v>0.05071441265118935</v>
      </c>
      <c r="E1172" t="n">
        <v>0.05316017920478749</v>
      </c>
    </row>
    <row r="1173">
      <c r="A1173" t="inlineStr">
        <is>
          <t>G|ORIG_BAL x CHANNEL|gco_rate|book|2</t>
        </is>
      </c>
      <c r="B1173" t="n">
        <v>0.9731229264989893</v>
      </c>
      <c r="C1173" t="n">
        <v>1.63401685720163</v>
      </c>
      <c r="D1173" t="n">
        <v>1.218942175824922</v>
      </c>
      <c r="E1173" t="n">
        <v>1.277727200604911</v>
      </c>
    </row>
    <row r="1174">
      <c r="A1174" t="inlineStr">
        <is>
          <t>G|ORIG_BAL x CHANNEL|gco_rate|band|2</t>
        </is>
      </c>
      <c r="B1174" t="n">
        <v>0.6817897670599881</v>
      </c>
      <c r="C1174" t="n">
        <v>1.489673691497575</v>
      </c>
      <c r="D1174" t="n">
        <v>0.9324780292725052</v>
      </c>
    </row>
    <row r="1175">
      <c r="A1175" t="inlineStr">
        <is>
          <t>G|ORIG_BAL x CHANNEL|gco_rate|rate|3</t>
        </is>
      </c>
      <c r="B1175" t="n">
        <v>0.03518654246842046</v>
      </c>
      <c r="C1175" t="n">
        <v>0.04058912713037382</v>
      </c>
      <c r="D1175" t="n">
        <v>0.03635529456334192</v>
      </c>
      <c r="E1175" t="n">
        <v>0.03745072983796681</v>
      </c>
    </row>
    <row r="1176">
      <c r="A1176" t="inlineStr">
        <is>
          <t>G|ORIG_BAL x CHANNEL|gco_rate|book|3</t>
        </is>
      </c>
      <c r="B1176" t="n">
        <v>0.8457233041662092</v>
      </c>
      <c r="C1176" t="n">
        <v>0.97557669216094</v>
      </c>
      <c r="D1176" t="n">
        <v>0.8738147508991547</v>
      </c>
      <c r="E1176" t="n">
        <v>0.9001439971099026</v>
      </c>
    </row>
    <row r="1177">
      <c r="A1177" t="inlineStr">
        <is>
          <t>G|ORIG_BAL x CHANNEL|gco_rate|band|3</t>
        </is>
      </c>
      <c r="B1177" t="n">
        <v>0.9132072498730854</v>
      </c>
      <c r="C1177" t="n">
        <v>1.134519496040276</v>
      </c>
      <c r="D1177" t="n">
        <v>0.9570143539520817</v>
      </c>
    </row>
    <row r="1178">
      <c r="A1178" t="inlineStr">
        <is>
          <t>G|ORIG_BAL x CHANNEL|gco_rate|rate|4</t>
        </is>
      </c>
      <c r="B1178" t="n">
        <v>0.04348156147247659</v>
      </c>
      <c r="C1178" t="n">
        <v>0.05131566132374259</v>
      </c>
      <c r="D1178" t="n">
        <v>0.04550931566329014</v>
      </c>
      <c r="E1178" t="n">
        <v>0.04676588351390012</v>
      </c>
    </row>
    <row r="1179">
      <c r="A1179" t="inlineStr">
        <is>
          <t>G|ORIG_BAL x CHANNEL|gco_rate|book|4</t>
        </is>
      </c>
      <c r="B1179" t="n">
        <v>1.045097564553628</v>
      </c>
      <c r="C1179" t="n">
        <v>1.23339343981125</v>
      </c>
      <c r="D1179" t="n">
        <v>1.093835486895127</v>
      </c>
      <c r="E1179" t="n">
        <v>1.124037622142734</v>
      </c>
    </row>
    <row r="1180">
      <c r="A1180" t="inlineStr">
        <is>
          <t>G|ORIG_BAL x CHANNEL|gco_rate|band|4</t>
        </is>
      </c>
      <c r="B1180" t="n">
        <v>0.8988230917155171</v>
      </c>
      <c r="C1180" t="n">
        <v>1.152857633819869</v>
      </c>
      <c r="D1180" t="n">
        <v>0.959861473156629</v>
      </c>
    </row>
    <row r="1181">
      <c r="A1181" t="inlineStr">
        <is>
          <t>G|ORIG_BAL x CHANNEL|gco_rate|rate|5</t>
        </is>
      </c>
      <c r="B1181" t="n">
        <v>0.02283222249562007</v>
      </c>
      <c r="C1181" t="n">
        <v>0.04914748203538337</v>
      </c>
      <c r="D1181" t="n">
        <v>0.03456842093079401</v>
      </c>
      <c r="E1181" t="n">
        <v>0.03555289463498783</v>
      </c>
    </row>
    <row r="1182">
      <c r="A1182" t="inlineStr">
        <is>
          <t>G|ORIG_BAL x CHANNEL|gco_rate|book|5</t>
        </is>
      </c>
      <c r="B1182" t="n">
        <v>0.5487820426739609</v>
      </c>
      <c r="C1182" t="n">
        <v>1.181280341361136</v>
      </c>
      <c r="D1182" t="n">
        <v>0.8308664937919898</v>
      </c>
      <c r="E1182" t="n">
        <v>0.8545287321242382</v>
      </c>
    </row>
    <row r="1183">
      <c r="A1183" t="inlineStr">
        <is>
          <t>G|ORIG_BAL x CHANNEL|gco_rate|band|5</t>
        </is>
      </c>
      <c r="B1183" t="n">
        <v>0.5491745728203553</v>
      </c>
      <c r="C1183" t="n">
        <v>1.696394485627583</v>
      </c>
      <c r="D1183" t="n">
        <v>0.9578708565973761</v>
      </c>
    </row>
    <row r="1184">
      <c r="A1184" t="inlineStr">
        <is>
          <t>G|ORIG_BAL x CHANNEL|gco_rate|rate|6</t>
        </is>
      </c>
    </row>
    <row r="1185">
      <c r="A1185" t="inlineStr">
        <is>
          <t>G|ORIG_BAL x CHANNEL|gco_rate|book|6</t>
        </is>
      </c>
    </row>
    <row r="1186">
      <c r="A1186" t="inlineStr">
        <is>
          <t>G|ORIG_BAL x CHANNEL|gco_rate|band|6</t>
        </is>
      </c>
    </row>
    <row r="1187">
      <c r="A1187" t="inlineStr">
        <is>
          <t>G|ORIG_BAL x CHANNEL|gco_rate|rate|7</t>
        </is>
      </c>
      <c r="B1187" t="n">
        <v>0.03403247368482894</v>
      </c>
      <c r="C1187" t="n">
        <v>0.0502121555295119</v>
      </c>
      <c r="D1187" t="n">
        <v>0.04043303389582081</v>
      </c>
      <c r="E1187" t="n">
        <v>0.04160526533333562</v>
      </c>
    </row>
    <row r="1188">
      <c r="A1188" t="inlineStr">
        <is>
          <t>G|ORIG_BAL x CHANNEL|gco_rate|book|7</t>
        </is>
      </c>
      <c r="B1188" t="n">
        <v>0.817984776978718</v>
      </c>
      <c r="C1188" t="n">
        <v>1.206870215277298</v>
      </c>
      <c r="D1188" t="n">
        <v>0.9718249258087149</v>
      </c>
      <c r="E1188" t="n">
        <v>0.9999999999999993</v>
      </c>
    </row>
    <row r="1189">
      <c r="A1189" t="inlineStr">
        <is>
          <t>G|ORIG_BAL x CHANNEL|gco_rate|band|7</t>
        </is>
      </c>
    </row>
    <row r="1190">
      <c r="A1190" t="inlineStr">
        <is>
          <t>G|ORIG_BAL x CHANNEL|gco_rate|meta</t>
        </is>
      </c>
      <c r="B1190" t="inlineStr">
        <is>
          <t>x</t>
        </is>
      </c>
      <c r="C1190" t="n">
        <v>1.696394485627583</v>
      </c>
      <c r="D1190" t="n">
        <v>10</v>
      </c>
      <c r="E1190" t="n">
        <v>0.04160526533333565</v>
      </c>
      <c r="F1190" t="n">
        <v>65</v>
      </c>
    </row>
    <row r="1191">
      <c r="A1191" t="inlineStr">
        <is>
          <t>G|ORIG_BAL x CHANNEL|ranr_rate|rate|1</t>
        </is>
      </c>
      <c r="B1191" t="n">
        <v>0.1418756775356384</v>
      </c>
      <c r="C1191" t="n">
        <v>0.1425491297977683</v>
      </c>
      <c r="D1191" t="n">
        <v>0.1553830958841331</v>
      </c>
      <c r="E1191" t="n">
        <v>0.1466798967561383</v>
      </c>
    </row>
    <row r="1192">
      <c r="A1192" t="inlineStr">
        <is>
          <t>G|ORIG_BAL x CHANNEL|ranr_rate|book|1</t>
        </is>
      </c>
      <c r="B1192" t="n">
        <v>1.388562789</v>
      </c>
      <c r="C1192" t="n">
        <v>1.455908015</v>
      </c>
      <c r="D1192" t="n">
        <v>2.739304624</v>
      </c>
      <c r="E1192" t="n">
        <v>1.868984711</v>
      </c>
    </row>
    <row r="1193">
      <c r="A1193" t="inlineStr">
        <is>
          <t>G|ORIG_BAL x CHANNEL|ranr_rate|band|1</t>
        </is>
      </c>
      <c r="B1193" t="n">
        <v>-0.724653998</v>
      </c>
      <c r="C1193" t="n">
        <v>-0.61053612</v>
      </c>
      <c r="D1193" t="n">
        <v>1.317763267</v>
      </c>
    </row>
    <row r="1194">
      <c r="A1194" t="inlineStr">
        <is>
          <t>G|ORIG_BAL x CHANNEL|ranr_rate|rate|2</t>
        </is>
      </c>
      <c r="B1194" t="n">
        <v>0.1245390156125631</v>
      </c>
      <c r="C1194" t="n">
        <v>0.09448227328017</v>
      </c>
      <c r="D1194" t="n">
        <v>0.1384309643305416</v>
      </c>
      <c r="E1194" t="n">
        <v>0.1190597270318928</v>
      </c>
    </row>
    <row r="1195">
      <c r="A1195" t="inlineStr">
        <is>
          <t>G|ORIG_BAL x CHANNEL|ranr_rate|book|2</t>
        </is>
      </c>
      <c r="B1195" t="n">
        <v>-0.345103404</v>
      </c>
      <c r="C1195" t="n">
        <v>-3.350777637</v>
      </c>
      <c r="D1195" t="n">
        <v>1.044091468</v>
      </c>
      <c r="E1195" t="n">
        <v>-0.893032262</v>
      </c>
    </row>
    <row r="1196">
      <c r="A1196" t="inlineStr">
        <is>
          <t>G|ORIG_BAL x CHANNEL|ranr_rate|band|2</t>
        </is>
      </c>
      <c r="B1196" t="n">
        <v>0.816995282</v>
      </c>
      <c r="C1196" t="n">
        <v>-3.705150293</v>
      </c>
      <c r="D1196" t="n">
        <v>2.908574961</v>
      </c>
    </row>
    <row r="1197">
      <c r="A1197" t="inlineStr">
        <is>
          <t>G|ORIG_BAL x CHANNEL|ranr_rate|rate|3</t>
        </is>
      </c>
      <c r="B1197" t="n">
        <v>0.1250621784073144</v>
      </c>
      <c r="C1197" t="n">
        <v>0.1187512108936822</v>
      </c>
      <c r="D1197" t="n">
        <v>0.1506805872937105</v>
      </c>
      <c r="E1197" t="n">
        <v>0.1312994440713133</v>
      </c>
    </row>
    <row r="1198">
      <c r="A1198" t="inlineStr">
        <is>
          <t>G|ORIG_BAL x CHANNEL|ranr_rate|book|3</t>
        </is>
      </c>
      <c r="B1198" t="n">
        <v>-0.292787124</v>
      </c>
      <c r="C1198" t="n">
        <v>-0.923883875</v>
      </c>
      <c r="D1198" t="n">
        <v>2.269053765</v>
      </c>
      <c r="E1198" t="n">
        <v>0.330939442</v>
      </c>
    </row>
    <row r="1199">
      <c r="A1199" t="inlineStr">
        <is>
          <t>G|ORIG_BAL x CHANNEL|ranr_rate|band|3</t>
        </is>
      </c>
      <c r="B1199" t="n">
        <v>-0.921239544</v>
      </c>
      <c r="C1199" t="n">
        <v>-1.924232919</v>
      </c>
      <c r="D1199" t="n">
        <v>2.889118423</v>
      </c>
    </row>
    <row r="1200">
      <c r="A1200" t="inlineStr">
        <is>
          <t>G|ORIG_BAL x CHANNEL|ranr_rate|rate|4</t>
        </is>
      </c>
      <c r="B1200" t="n">
        <v>0.109981552332292</v>
      </c>
      <c r="C1200" t="n">
        <v>0.1153273587483306</v>
      </c>
      <c r="D1200" t="n">
        <v>0.1414284715284809</v>
      </c>
      <c r="E1200" t="n">
        <v>0.1224284738147316</v>
      </c>
    </row>
    <row r="1201">
      <c r="A1201" t="inlineStr">
        <is>
          <t>G|ORIG_BAL x CHANNEL|ranr_rate|book|4</t>
        </is>
      </c>
      <c r="B1201" t="n">
        <v>-1.800849732</v>
      </c>
      <c r="C1201" t="n">
        <v>-1.26626909</v>
      </c>
      <c r="D1201" t="n">
        <v>1.343842188</v>
      </c>
      <c r="E1201" t="n">
        <v>-0.556157583</v>
      </c>
    </row>
    <row r="1202">
      <c r="A1202" t="inlineStr">
        <is>
          <t>G|ORIG_BAL x CHANNEL|ranr_rate|band|4</t>
        </is>
      </c>
      <c r="B1202" t="n">
        <v>-1.855991051</v>
      </c>
      <c r="C1202" t="n">
        <v>-1.061635052</v>
      </c>
      <c r="D1202" t="n">
        <v>2.876693382</v>
      </c>
    </row>
    <row r="1203">
      <c r="A1203" t="inlineStr">
        <is>
          <t>G|ORIG_BAL x CHANNEL|ranr_rate|rate|5</t>
        </is>
      </c>
      <c r="B1203" t="n">
        <v>0.1363602968168651</v>
      </c>
      <c r="C1203" t="n">
        <v>0.1094749751155859</v>
      </c>
      <c r="D1203" t="n">
        <v>0.1443980594250918</v>
      </c>
      <c r="E1203" t="n">
        <v>0.1304237269597044</v>
      </c>
    </row>
    <row r="1204">
      <c r="A1204" t="inlineStr">
        <is>
          <t>G|ORIG_BAL x CHANNEL|ranr_rate|book|5</t>
        </is>
      </c>
      <c r="B1204" t="n">
        <v>0.837024717</v>
      </c>
      <c r="C1204" t="n">
        <v>-1.851507453</v>
      </c>
      <c r="D1204" t="n">
        <v>1.640800978</v>
      </c>
      <c r="E1204" t="n">
        <v>0.243367731</v>
      </c>
    </row>
    <row r="1205">
      <c r="A1205" t="inlineStr">
        <is>
          <t>G|ORIG_BAL x CHANNEL|ranr_rate|band|5</t>
        </is>
      </c>
      <c r="B1205" t="n">
        <v>0.8747253109999999</v>
      </c>
      <c r="C1205" t="n">
        <v>-3.109008183</v>
      </c>
      <c r="D1205" t="n">
        <v>2.158152658</v>
      </c>
    </row>
    <row r="1206">
      <c r="A1206" t="inlineStr">
        <is>
          <t>G|ORIG_BAL x CHANNEL|ranr_rate|rate|6</t>
        </is>
      </c>
    </row>
    <row r="1207">
      <c r="A1207" t="inlineStr">
        <is>
          <t>G|ORIG_BAL x CHANNEL|ranr_rate|book|6</t>
        </is>
      </c>
    </row>
    <row r="1208">
      <c r="A1208" t="inlineStr">
        <is>
          <t>G|ORIG_BAL x CHANNEL|ranr_rate|band|6</t>
        </is>
      </c>
    </row>
    <row r="1209">
      <c r="A1209" t="inlineStr">
        <is>
          <t>G|ORIG_BAL x CHANNEL|ranr_rate|rate|7</t>
        </is>
      </c>
      <c r="B1209" t="n">
        <v>0.1257424641427197</v>
      </c>
      <c r="C1209" t="n">
        <v>0.1130333511764385</v>
      </c>
      <c r="D1209" t="n">
        <v>0.1447377923020618</v>
      </c>
      <c r="E1209" t="n">
        <v>0.1279900496481476</v>
      </c>
    </row>
    <row r="1210">
      <c r="A1210" t="inlineStr">
        <is>
          <t>G|ORIG_BAL x CHANNEL|ranr_rate|book|7</t>
        </is>
      </c>
      <c r="B1210" t="n">
        <v>-0.224758551</v>
      </c>
      <c r="C1210" t="n">
        <v>-1.495669847</v>
      </c>
      <c r="D1210" t="n">
        <v>1.674774265</v>
      </c>
      <c r="E1210" t="n">
        <v>0</v>
      </c>
    </row>
    <row r="1211">
      <c r="A1211" t="inlineStr">
        <is>
          <t>G|ORIG_BAL x CHANNEL|ranr_rate|band|7</t>
        </is>
      </c>
    </row>
    <row r="1212">
      <c r="A1212" t="inlineStr">
        <is>
          <t>G|ORIG_BAL x CHANNEL|ranr_rate|meta</t>
        </is>
      </c>
      <c r="B1212" t="inlineStr">
        <is>
          <t>pts</t>
        </is>
      </c>
      <c r="C1212" t="n">
        <v>3.705150293</v>
      </c>
      <c r="D1212" t="n">
        <v>10</v>
      </c>
      <c r="E1212" t="n">
        <v>0.1279900496481481</v>
      </c>
      <c r="F1212" t="n">
        <v>65</v>
      </c>
    </row>
    <row r="1213">
      <c r="A1213" t="inlineStr">
        <is>
          <t>G|ORIG_BAL x CHANNEL|contribution_rate|rate|1</t>
        </is>
      </c>
      <c r="B1213" t="n">
        <v>0.1773184836905765</v>
      </c>
      <c r="C1213" t="n">
        <v>0.1883660471421006</v>
      </c>
      <c r="D1213" t="n">
        <v>0.1984815398956072</v>
      </c>
      <c r="E1213" t="n">
        <v>0.1880773485524349</v>
      </c>
    </row>
    <row r="1214">
      <c r="A1214" t="inlineStr">
        <is>
          <t>G|ORIG_BAL x CHANNEL|contribution_rate|book|1</t>
        </is>
      </c>
      <c r="B1214" t="n">
        <v>0.772602796</v>
      </c>
      <c r="C1214" t="n">
        <v>1.877359141</v>
      </c>
      <c r="D1214" t="n">
        <v>2.888908416</v>
      </c>
      <c r="E1214" t="n">
        <v>1.848489282</v>
      </c>
    </row>
    <row r="1215">
      <c r="A1215" t="inlineStr">
        <is>
          <t>G|ORIG_BAL x CHANNEL|contribution_rate|band|1</t>
        </is>
      </c>
      <c r="B1215" t="n">
        <v>-1.622834862</v>
      </c>
      <c r="C1215" t="n">
        <v>0.042670264</v>
      </c>
      <c r="D1215" t="n">
        <v>1.575312821</v>
      </c>
    </row>
    <row r="1216">
      <c r="A1216" t="inlineStr">
        <is>
          <t>G|ORIG_BAL x CHANNEL|contribution_rate|rate|2</t>
        </is>
      </c>
      <c r="B1216" t="n">
        <v>0.1650260531715056</v>
      </c>
      <c r="C1216" t="n">
        <v>0.1624659781831869</v>
      </c>
      <c r="D1216" t="n">
        <v>0.189145376981731</v>
      </c>
      <c r="E1216" t="n">
        <v>0.1722199062366803</v>
      </c>
    </row>
    <row r="1217">
      <c r="A1217" t="inlineStr">
        <is>
          <t>G|ORIG_BAL x CHANNEL|contribution_rate|book|2</t>
        </is>
      </c>
      <c r="B1217" t="n">
        <v>-0.456640256</v>
      </c>
      <c r="C1217" t="n">
        <v>-0.712647755</v>
      </c>
      <c r="D1217" t="n">
        <v>1.955292125</v>
      </c>
      <c r="E1217" t="n">
        <v>0.26274505</v>
      </c>
    </row>
    <row r="1218">
      <c r="A1218" t="inlineStr">
        <is>
          <t>G|ORIG_BAL x CHANNEL|contribution_rate|band|2</t>
        </is>
      </c>
      <c r="B1218" t="n">
        <v>-1.072647284</v>
      </c>
      <c r="C1218" t="n">
        <v>-1.470443999</v>
      </c>
      <c r="D1218" t="n">
        <v>2.541345174</v>
      </c>
    </row>
    <row r="1219">
      <c r="A1219" t="inlineStr">
        <is>
          <t>G|ORIG_BAL x CHANNEL|contribution_rate|rate|3</t>
        </is>
      </c>
      <c r="B1219" t="n">
        <v>0.1602487208757348</v>
      </c>
      <c r="C1219" t="n">
        <v>0.159340338024056</v>
      </c>
      <c r="D1219" t="n">
        <v>0.1870358818570524</v>
      </c>
      <c r="E1219" t="n">
        <v>0.1687501739092802</v>
      </c>
    </row>
    <row r="1220">
      <c r="A1220" t="inlineStr">
        <is>
          <t>G|ORIG_BAL x CHANNEL|contribution_rate|book|3</t>
        </is>
      </c>
      <c r="B1220" t="n">
        <v>-0.934373486</v>
      </c>
      <c r="C1220" t="n">
        <v>-1.025211771</v>
      </c>
      <c r="D1220" t="n">
        <v>1.744342612</v>
      </c>
      <c r="E1220" t="n">
        <v>-0.084228183</v>
      </c>
    </row>
    <row r="1221">
      <c r="A1221" t="inlineStr">
        <is>
          <t>G|ORIG_BAL x CHANNEL|contribution_rate|band|3</t>
        </is>
      </c>
      <c r="B1221" t="n">
        <v>-1.255658351</v>
      </c>
      <c r="C1221" t="n">
        <v>-1.442969358</v>
      </c>
      <c r="D1221" t="n">
        <v>2.725823503</v>
      </c>
    </row>
    <row r="1222">
      <c r="A1222" t="inlineStr">
        <is>
          <t>G|ORIG_BAL x CHANNEL|contribution_rate|rate|4</t>
        </is>
      </c>
      <c r="B1222" t="n">
        <v>0.1533997344386167</v>
      </c>
      <c r="C1222" t="n">
        <v>0.1666430200720732</v>
      </c>
      <c r="D1222" t="n">
        <v>0.1869377871917709</v>
      </c>
      <c r="E1222" t="n">
        <v>0.1691805976256634</v>
      </c>
    </row>
    <row r="1223">
      <c r="A1223" t="inlineStr">
        <is>
          <t>G|ORIG_BAL x CHANNEL|contribution_rate|book|4</t>
        </is>
      </c>
      <c r="B1223" t="n">
        <v>-1.61927213</v>
      </c>
      <c r="C1223" t="n">
        <v>-0.294943566</v>
      </c>
      <c r="D1223" t="n">
        <v>1.734533146</v>
      </c>
      <c r="E1223" t="n">
        <v>-0.041185811</v>
      </c>
    </row>
    <row r="1224">
      <c r="A1224" t="inlineStr">
        <is>
          <t>G|ORIG_BAL x CHANNEL|contribution_rate|band|4</t>
        </is>
      </c>
      <c r="B1224" t="n">
        <v>-2.351783475</v>
      </c>
      <c r="C1224" t="n">
        <v>-0.379481422</v>
      </c>
      <c r="D1224" t="n">
        <v>2.689313677</v>
      </c>
    </row>
    <row r="1225">
      <c r="A1225" t="inlineStr">
        <is>
          <t>G|ORIG_BAL x CHANNEL|contribution_rate|rate|5</t>
        </is>
      </c>
      <c r="B1225" t="n">
        <v>0.1591925193124852</v>
      </c>
      <c r="C1225" t="n">
        <v>0.1586224571509692</v>
      </c>
      <c r="D1225" t="n">
        <v>0.1789664803558857</v>
      </c>
      <c r="E1225" t="n">
        <v>0.1659766215946923</v>
      </c>
    </row>
    <row r="1226">
      <c r="A1226" t="inlineStr">
        <is>
          <t>G|ORIG_BAL x CHANNEL|contribution_rate|book|5</t>
        </is>
      </c>
      <c r="B1226" t="n">
        <v>-1.039993642</v>
      </c>
      <c r="C1226" t="n">
        <v>-1.096999858</v>
      </c>
      <c r="D1226" t="n">
        <v>0.937402462</v>
      </c>
      <c r="E1226" t="n">
        <v>-0.361583414</v>
      </c>
    </row>
    <row r="1227">
      <c r="A1227" t="inlineStr">
        <is>
          <t>G|ORIG_BAL x CHANNEL|contribution_rate|band|5</t>
        </is>
      </c>
      <c r="B1227" t="n">
        <v>-0.999605179</v>
      </c>
      <c r="C1227" t="n">
        <v>-1.091432922</v>
      </c>
      <c r="D1227" t="n">
        <v>2.006113586</v>
      </c>
    </row>
    <row r="1228">
      <c r="A1228" t="inlineStr">
        <is>
          <t>G|ORIG_BAL x CHANNEL|contribution_rate|rate|6</t>
        </is>
      </c>
    </row>
    <row r="1229">
      <c r="A1229" t="inlineStr">
        <is>
          <t>G|ORIG_BAL x CHANNEL|contribution_rate|book|6</t>
        </is>
      </c>
    </row>
    <row r="1230">
      <c r="A1230" t="inlineStr">
        <is>
          <t>G|ORIG_BAL x CHANNEL|contribution_rate|band|6</t>
        </is>
      </c>
    </row>
    <row r="1231">
      <c r="A1231" t="inlineStr">
        <is>
          <t>G|ORIG_BAL x CHANNEL|contribution_rate|rate|7</t>
        </is>
      </c>
      <c r="B1231" t="n">
        <v>0.1597650989343296</v>
      </c>
      <c r="C1231" t="n">
        <v>0.1632455067059504</v>
      </c>
      <c r="D1231" t="n">
        <v>0.1851708261978826</v>
      </c>
      <c r="E1231" t="n">
        <v>0.1695924557349811</v>
      </c>
    </row>
    <row r="1232">
      <c r="A1232" t="inlineStr">
        <is>
          <t>G|ORIG_BAL x CHANNEL|contribution_rate|book|7</t>
        </is>
      </c>
      <c r="B1232" t="n">
        <v>-0.98273568</v>
      </c>
      <c r="C1232" t="n">
        <v>-0.634694903</v>
      </c>
      <c r="D1232" t="n">
        <v>1.557837046</v>
      </c>
      <c r="E1232" t="n">
        <v>0</v>
      </c>
    </row>
    <row r="1233">
      <c r="A1233" t="inlineStr">
        <is>
          <t>G|ORIG_BAL x CHANNEL|contribution_rate|band|7</t>
        </is>
      </c>
    </row>
    <row r="1234">
      <c r="A1234" t="inlineStr">
        <is>
          <t>G|ORIG_BAL x CHANNEL|contribution_rate|meta</t>
        </is>
      </c>
      <c r="B1234" t="inlineStr">
        <is>
          <t>pts</t>
        </is>
      </c>
      <c r="C1234" t="n">
        <v>2.888908416</v>
      </c>
      <c r="D1234" t="n">
        <v>10</v>
      </c>
      <c r="E1234" t="n">
        <v>0.1695924557349815</v>
      </c>
      <c r="F1234" t="n">
        <v>65</v>
      </c>
    </row>
    <row r="1235">
      <c r="A1235" t="inlineStr">
        <is>
          <t>G|ORIG_BAL x CHANNEL|loan_size|rate|1</t>
        </is>
      </c>
      <c r="B1235" t="n">
        <v>10094.23896678967</v>
      </c>
      <c r="C1235" t="n">
        <v>10214.19733463035</v>
      </c>
      <c r="D1235" t="n">
        <v>10132.17365808824</v>
      </c>
      <c r="E1235" t="n">
        <v>10145.6733875</v>
      </c>
    </row>
    <row r="1236">
      <c r="A1236" t="inlineStr">
        <is>
          <t>G|ORIG_BAL x CHANNEL|loan_size|median|1</t>
        </is>
      </c>
      <c r="B1236" t="n">
        <v>10025.58</v>
      </c>
      <c r="C1236" t="n">
        <v>10198.485</v>
      </c>
      <c r="D1236" t="n">
        <v>10116.755</v>
      </c>
      <c r="E1236" t="n">
        <v>10109.435</v>
      </c>
    </row>
    <row r="1237">
      <c r="A1237" t="inlineStr">
        <is>
          <t>G|ORIG_BAL x CHANNEL|loan_size|book|1</t>
        </is>
      </c>
      <c r="B1237" t="n">
        <v>0.3128775281808928</v>
      </c>
      <c r="C1237" t="n">
        <v>0.3165957161233508</v>
      </c>
      <c r="D1237" t="n">
        <v>0.3140533387085463</v>
      </c>
      <c r="E1237" t="n">
        <v>0.3144717716368096</v>
      </c>
    </row>
    <row r="1238">
      <c r="A1238" t="inlineStr">
        <is>
          <t>G|ORIG_BAL x CHANNEL|loan_size|band|1</t>
        </is>
      </c>
      <c r="B1238" t="n">
        <v>0.9923531802730706</v>
      </c>
      <c r="C1238" t="n">
        <v>1.009982565342775</v>
      </c>
      <c r="D1238" t="n">
        <v>0.9979853358275044</v>
      </c>
    </row>
    <row r="1239">
      <c r="A1239" t="inlineStr">
        <is>
          <t>G|ORIG_BAL x CHANNEL|loan_size|rate|2</t>
        </is>
      </c>
      <c r="B1239" t="n">
        <v>20958.27099047619</v>
      </c>
      <c r="C1239" t="n">
        <v>20946.04988826815</v>
      </c>
      <c r="D1239" t="n">
        <v>20741.17055762082</v>
      </c>
      <c r="E1239" t="n">
        <v>20881.1692625</v>
      </c>
    </row>
    <row r="1240">
      <c r="A1240" t="inlineStr">
        <is>
          <t>G|ORIG_BAL x CHANNEL|loan_size|median|2</t>
        </is>
      </c>
      <c r="B1240" t="n">
        <v>21031.21</v>
      </c>
      <c r="C1240" t="n">
        <v>20997.11</v>
      </c>
      <c r="D1240" t="n">
        <v>20615.045</v>
      </c>
      <c r="E1240" t="n">
        <v>20863.035</v>
      </c>
    </row>
    <row r="1241">
      <c r="A1241" t="inlineStr">
        <is>
          <t>G|ORIG_BAL x CHANNEL|loan_size|book|2</t>
        </is>
      </c>
      <c r="B1241" t="n">
        <v>0.6496152948250425</v>
      </c>
      <c r="C1241" t="n">
        <v>0.6492364937818855</v>
      </c>
      <c r="D1241" t="n">
        <v>0.6428861251449638</v>
      </c>
      <c r="E1241" t="n">
        <v>0.6472254764200065</v>
      </c>
    </row>
    <row r="1242">
      <c r="A1242" t="inlineStr">
        <is>
          <t>G|ORIG_BAL x CHANNEL|loan_size|band|2</t>
        </is>
      </c>
      <c r="B1242" t="n">
        <v>1.005505600213195</v>
      </c>
      <c r="C1242" t="n">
        <v>1.004684132351838</v>
      </c>
      <c r="D1242" t="n">
        <v>0.9899331846156119</v>
      </c>
    </row>
    <row r="1243">
      <c r="A1243" t="inlineStr">
        <is>
          <t>G|ORIG_BAL x CHANNEL|loan_size|rate|3</t>
        </is>
      </c>
      <c r="B1243" t="n">
        <v>32021.94986486486</v>
      </c>
      <c r="C1243" t="n">
        <v>32311.21992766727</v>
      </c>
      <c r="D1243" t="n">
        <v>32020.44130681819</v>
      </c>
      <c r="E1243" t="n">
        <v>32121.49322076298</v>
      </c>
    </row>
    <row r="1244">
      <c r="A1244" t="inlineStr">
        <is>
          <t>G|ORIG_BAL x CHANNEL|loan_size|median|3</t>
        </is>
      </c>
      <c r="B1244" t="n">
        <v>31918.165</v>
      </c>
      <c r="C1244" t="n">
        <v>32609.4</v>
      </c>
      <c r="D1244" t="n">
        <v>31815.605</v>
      </c>
      <c r="E1244" t="n">
        <v>32112.83</v>
      </c>
    </row>
    <row r="1245">
      <c r="A1245" t="inlineStr">
        <is>
          <t>G|ORIG_BAL x CHANNEL|loan_size|book|3</t>
        </is>
      </c>
      <c r="B1245" t="n">
        <v>0.9925412459734724</v>
      </c>
      <c r="C1245" t="n">
        <v>1.001507360459579</v>
      </c>
      <c r="D1245" t="n">
        <v>0.9924944872317472</v>
      </c>
      <c r="E1245" t="n">
        <v>0.9956266572900363</v>
      </c>
    </row>
    <row r="1246">
      <c r="A1246" t="inlineStr">
        <is>
          <t>G|ORIG_BAL x CHANNEL|loan_size|band|3</t>
        </is>
      </c>
      <c r="B1246" t="n">
        <v>0.9954228527780405</v>
      </c>
      <c r="C1246" t="n">
        <v>1.009057488732519</v>
      </c>
      <c r="D1246" t="n">
        <v>0.995310411130914</v>
      </c>
    </row>
    <row r="1247">
      <c r="A1247" t="inlineStr">
        <is>
          <t>G|ORIG_BAL x CHANNEL|loan_size|rate|4</t>
        </is>
      </c>
      <c r="B1247" t="n">
        <v>43642.68243346008</v>
      </c>
      <c r="C1247" t="n">
        <v>43461.43792843691</v>
      </c>
      <c r="D1247" t="n">
        <v>43579.71489871087</v>
      </c>
      <c r="E1247" t="n">
        <v>43561.16230625</v>
      </c>
    </row>
    <row r="1248">
      <c r="A1248" t="inlineStr">
        <is>
          <t>G|ORIG_BAL x CHANNEL|loan_size|median|4</t>
        </is>
      </c>
      <c r="B1248" t="n">
        <v>43678.905</v>
      </c>
      <c r="C1248" t="n">
        <v>43475.2</v>
      </c>
      <c r="D1248" t="n">
        <v>43590.2</v>
      </c>
      <c r="E1248" t="n">
        <v>43587.85</v>
      </c>
    </row>
    <row r="1249">
      <c r="A1249" t="inlineStr">
        <is>
          <t>G|ORIG_BAL x CHANNEL|loan_size|book|4</t>
        </is>
      </c>
      <c r="B1249" t="n">
        <v>1.352733440122568</v>
      </c>
      <c r="C1249" t="n">
        <v>1.347115648339098</v>
      </c>
      <c r="D1249" t="n">
        <v>1.350781720266044</v>
      </c>
      <c r="E1249" t="n">
        <v>1.350206670548121</v>
      </c>
    </row>
    <row r="1250">
      <c r="A1250" t="inlineStr">
        <is>
          <t>G|ORIG_BAL x CHANNEL|loan_size|band|4</t>
        </is>
      </c>
      <c r="B1250" t="n">
        <v>1.002790482591069</v>
      </c>
      <c r="C1250" t="n">
        <v>0.9965774439020429</v>
      </c>
      <c r="D1250" t="n">
        <v>1.000644829906103</v>
      </c>
    </row>
    <row r="1251">
      <c r="A1251" t="inlineStr">
        <is>
          <t>G|ORIG_BAL x CHANNEL|loan_size|rate|5</t>
        </is>
      </c>
      <c r="B1251" t="n">
        <v>54509.51347572816</v>
      </c>
      <c r="C1251" t="n">
        <v>54803.59248076923</v>
      </c>
      <c r="D1251" t="n">
        <v>54504.60692035398</v>
      </c>
      <c r="E1251" t="n">
        <v>54603.356525</v>
      </c>
    </row>
    <row r="1252">
      <c r="A1252" t="inlineStr">
        <is>
          <t>G|ORIG_BAL x CHANNEL|loan_size|median|5</t>
        </is>
      </c>
      <c r="B1252" t="n">
        <v>54430.92</v>
      </c>
      <c r="C1252" t="n">
        <v>54805.105</v>
      </c>
      <c r="D1252" t="n">
        <v>54270.54</v>
      </c>
      <c r="E1252" t="n">
        <v>54496</v>
      </c>
    </row>
    <row r="1253">
      <c r="A1253" t="inlineStr">
        <is>
          <t>G|ORIG_BAL x CHANNEL|loan_size|book|5</t>
        </is>
      </c>
      <c r="B1253" t="n">
        <v>1.689557964175375</v>
      </c>
      <c r="C1253" t="n">
        <v>1.698673134966345</v>
      </c>
      <c r="D1253" t="n">
        <v>1.689405882287637</v>
      </c>
      <c r="E1253" t="n">
        <v>1.692466690765833</v>
      </c>
    </row>
    <row r="1254">
      <c r="A1254" t="inlineStr">
        <is>
          <t>G|ORIG_BAL x CHANNEL|loan_size|band|5</t>
        </is>
      </c>
      <c r="B1254" t="n">
        <v>0.9974676782710896</v>
      </c>
      <c r="C1254" t="n">
        <v>1.005442349623158</v>
      </c>
      <c r="D1254" t="n">
        <v>0.9972070245672809</v>
      </c>
    </row>
    <row r="1255">
      <c r="A1255" t="inlineStr">
        <is>
          <t>G|ORIG_BAL x CHANNEL|loan_size|rate|6</t>
        </is>
      </c>
    </row>
    <row r="1256">
      <c r="A1256" t="inlineStr">
        <is>
          <t>G|ORIG_BAL x CHANNEL|loan_size|median|6</t>
        </is>
      </c>
    </row>
    <row r="1257">
      <c r="A1257" t="inlineStr">
        <is>
          <t>G|ORIG_BAL x CHANNEL|loan_size|book|6</t>
        </is>
      </c>
    </row>
    <row r="1258">
      <c r="A1258" t="inlineStr">
        <is>
          <t>G|ORIG_BAL x CHANNEL|loan_size|band|6</t>
        </is>
      </c>
    </row>
    <row r="1259">
      <c r="A1259" t="inlineStr">
        <is>
          <t>G|ORIG_BAL x CHANNEL|loan_size|rate|7</t>
        </is>
      </c>
      <c r="B1259" t="n">
        <v>32022.08309977152</v>
      </c>
      <c r="C1259" t="n">
        <v>32369.91430131827</v>
      </c>
      <c r="D1259" t="n">
        <v>32390.11528329654</v>
      </c>
      <c r="E1259" t="n">
        <v>32262.58857732217</v>
      </c>
    </row>
    <row r="1260">
      <c r="A1260" t="inlineStr">
        <is>
          <t>G|ORIG_BAL x CHANNEL|loan_size|median|7</t>
        </is>
      </c>
      <c r="B1260" t="n">
        <v>31587.98</v>
      </c>
      <c r="C1260" t="n">
        <v>32609.4</v>
      </c>
      <c r="D1260" t="n">
        <v>32036.465</v>
      </c>
      <c r="E1260" t="n">
        <v>32112.83</v>
      </c>
    </row>
    <row r="1261">
      <c r="A1261" t="inlineStr">
        <is>
          <t>G|ORIG_BAL x CHANNEL|loan_size|book|7</t>
        </is>
      </c>
      <c r="B1261" t="n">
        <v>0.9925453756764048</v>
      </c>
      <c r="C1261" t="n">
        <v>1.003326630897545</v>
      </c>
      <c r="D1261" t="n">
        <v>1.003952773524937</v>
      </c>
      <c r="E1261" t="n">
        <v>1</v>
      </c>
    </row>
    <row r="1262">
      <c r="A1262" t="inlineStr">
        <is>
          <t>G|ORIG_BAL x CHANNEL|loan_size|band|7</t>
        </is>
      </c>
    </row>
    <row r="1263">
      <c r="A1263" t="inlineStr">
        <is>
          <t>G|ORIG_BAL x CHANNEL|loan_size|meta</t>
        </is>
      </c>
      <c r="B1263" t="inlineStr">
        <is>
          <t>size</t>
        </is>
      </c>
      <c r="C1263" t="n">
        <v>1</v>
      </c>
      <c r="E1263" t="n">
        <v>32262.58857732217</v>
      </c>
      <c r="F1263" t="n">
        <v>65</v>
      </c>
    </row>
    <row r="1264">
      <c r="A1264" t="inlineStr">
        <is>
          <t>G|ORIG_BAL x CHANNEL|where N|cols</t>
        </is>
      </c>
      <c r="B1264" t="inlineStr">
        <is>
          <t>Branch</t>
        </is>
      </c>
      <c r="C1264" t="inlineStr">
        <is>
          <t>Broker</t>
        </is>
      </c>
      <c r="D1264" t="inlineStr">
        <is>
          <t>Online</t>
        </is>
      </c>
      <c r="E1264" t="inlineStr">
        <is>
          <t>All</t>
        </is>
      </c>
    </row>
    <row r="1265">
      <c r="A1265" t="inlineStr">
        <is>
          <t>G|ORIG_BAL x CHANNEL|where N|heads</t>
        </is>
      </c>
      <c r="B1265" t="inlineStr">
        <is>
          <t>Branch</t>
        </is>
      </c>
      <c r="C1265" t="inlineStr">
        <is>
          <t>Broker</t>
        </is>
      </c>
      <c r="D1265" t="inlineStr">
        <is>
          <t>Online</t>
        </is>
      </c>
      <c r="E1265" t="inlineStr">
        <is>
          <t>All</t>
        </is>
      </c>
    </row>
    <row r="1266">
      <c r="A1266" t="inlineStr">
        <is>
          <t>G|ORIG_BAL x CHANNEL|where N|segs</t>
        </is>
      </c>
    </row>
    <row r="1267">
      <c r="A1267" t="inlineStr">
        <is>
          <t>G|ORIG_BAL x CHANNEL|where N|rows</t>
        </is>
      </c>
      <c r="B1267" t="inlineStr">
        <is>
          <t>5,005 - 15,448</t>
        </is>
      </c>
      <c r="C1267" t="inlineStr">
        <is>
          <t>15,449 - 26,323</t>
        </is>
      </c>
      <c r="D1267" t="inlineStr">
        <is>
          <t>26,324 - 37,950</t>
        </is>
      </c>
      <c r="E1267" t="inlineStr">
        <is>
          <t>37,951 - 49,151</t>
        </is>
      </c>
      <c r="F1267" t="inlineStr">
        <is>
          <t>49,152 - 59,984</t>
        </is>
      </c>
      <c r="G1267" t="inlineStr">
        <is>
          <t>(blank)</t>
        </is>
      </c>
      <c r="H1267" t="inlineStr">
        <is>
          <t>All</t>
        </is>
      </c>
    </row>
    <row r="1268">
      <c r="A1268" t="inlineStr">
        <is>
          <t>G|ORIG_BAL x CHANNEL|where N|names</t>
        </is>
      </c>
      <c r="B1268" t="inlineStr">
        <is>
          <t>ORIG_BAL</t>
        </is>
      </c>
      <c r="C1268" t="inlineStr">
        <is>
          <t>CHANNEL</t>
        </is>
      </c>
    </row>
    <row r="1269">
      <c r="A1269" t="inlineStr">
        <is>
          <t>G|ORIG_BAL x CHANNEL|where N|total</t>
        </is>
      </c>
      <c r="B1269" t="n">
        <v>4329</v>
      </c>
    </row>
    <row r="1270">
      <c r="A1270" t="inlineStr">
        <is>
          <t>G|ORIG_BAL x CHANNEL|where N|loans|1</t>
        </is>
      </c>
      <c r="B1270" t="n">
        <v>301</v>
      </c>
      <c r="C1270" t="n">
        <v>277</v>
      </c>
      <c r="D1270" t="n">
        <v>302</v>
      </c>
      <c r="E1270" t="n">
        <v>880</v>
      </c>
    </row>
    <row r="1271">
      <c r="A1271" t="inlineStr">
        <is>
          <t>G|ORIG_BAL x CHANNEL|where N|loans|2</t>
        </is>
      </c>
      <c r="B1271" t="n">
        <v>274</v>
      </c>
      <c r="C1271" t="n">
        <v>293</v>
      </c>
      <c r="D1271" t="n">
        <v>300</v>
      </c>
      <c r="E1271" t="n">
        <v>867</v>
      </c>
    </row>
    <row r="1272">
      <c r="A1272" t="inlineStr">
        <is>
          <t>G|ORIG_BAL x CHANNEL|where N|loans|3</t>
        </is>
      </c>
      <c r="B1272" t="n">
        <v>282</v>
      </c>
      <c r="C1272" t="n">
        <v>305</v>
      </c>
      <c r="D1272" t="n">
        <v>297</v>
      </c>
      <c r="E1272" t="n">
        <v>884</v>
      </c>
    </row>
    <row r="1273">
      <c r="A1273" t="inlineStr">
        <is>
          <t>G|ORIG_BAL x CHANNEL|where N|loans|4</t>
        </is>
      </c>
      <c r="B1273" t="n">
        <v>269</v>
      </c>
      <c r="C1273" t="n">
        <v>282</v>
      </c>
      <c r="D1273" t="n">
        <v>289</v>
      </c>
      <c r="E1273" t="n">
        <v>840</v>
      </c>
    </row>
    <row r="1274">
      <c r="A1274" t="inlineStr">
        <is>
          <t>G|ORIG_BAL x CHANNEL|where N|loans|5</t>
        </is>
      </c>
      <c r="B1274" t="n">
        <v>289</v>
      </c>
      <c r="C1274" t="n">
        <v>278</v>
      </c>
      <c r="D1274" t="n">
        <v>291</v>
      </c>
      <c r="E1274" t="n">
        <v>858</v>
      </c>
    </row>
    <row r="1275">
      <c r="A1275" t="inlineStr">
        <is>
          <t>G|ORIG_BAL x CHANNEL|where N|loans|6</t>
        </is>
      </c>
    </row>
    <row r="1276">
      <c r="A1276" t="inlineStr">
        <is>
          <t>G|ORIG_BAL x CHANNEL|where N|loans|7</t>
        </is>
      </c>
      <c r="B1276" t="n">
        <v>1415</v>
      </c>
      <c r="C1276" t="n">
        <v>1435</v>
      </c>
      <c r="D1276" t="n">
        <v>1479</v>
      </c>
      <c r="E1276" t="n">
        <v>4329</v>
      </c>
    </row>
    <row r="1277">
      <c r="A1277" t="inlineStr">
        <is>
          <t>G|ORIG_BAL x CHANNEL|where N|outcome_loans|rate|1</t>
        </is>
      </c>
      <c r="B1277" t="n">
        <v>0.05647840531561462</v>
      </c>
      <c r="C1277" t="n">
        <v>0.06137184115523465</v>
      </c>
      <c r="D1277" t="n">
        <v>0.05629139072847682</v>
      </c>
      <c r="E1277" t="n">
        <v>0.05795454545454545</v>
      </c>
    </row>
    <row r="1278">
      <c r="A1278" t="inlineStr">
        <is>
          <t>G|ORIG_BAL x CHANNEL|where N|outcome_loans|book|1</t>
        </is>
      </c>
      <c r="B1278" t="n">
        <v>0.7298396835534755</v>
      </c>
      <c r="C1278" t="n">
        <v>0.7930748907927657</v>
      </c>
      <c r="D1278" t="n">
        <v>0.7274229958595898</v>
      </c>
      <c r="E1278" t="n">
        <v>0.7489150389190776</v>
      </c>
    </row>
    <row r="1279">
      <c r="A1279" t="inlineStr">
        <is>
          <t>G|ORIG_BAL x CHANNEL|where N|outcome_loans|band|1</t>
        </is>
      </c>
      <c r="B1279" t="n">
        <v>0.9617940199335548</v>
      </c>
      <c r="C1279" t="n">
        <v>1.088447653429603</v>
      </c>
      <c r="D1279" t="n">
        <v>0.9569536423841061</v>
      </c>
    </row>
    <row r="1280">
      <c r="A1280" t="inlineStr">
        <is>
          <t>G|ORIG_BAL x CHANNEL|where N|outcome_loans|rate|2</t>
        </is>
      </c>
      <c r="B1280" t="n">
        <v>0.072992700729927</v>
      </c>
      <c r="C1280" t="n">
        <v>0.09556313993174062</v>
      </c>
      <c r="D1280" t="n">
        <v>0.09333333333333334</v>
      </c>
      <c r="E1280" t="n">
        <v>0.08765859284890427</v>
      </c>
    </row>
    <row r="1281">
      <c r="A1281" t="inlineStr">
        <is>
          <t>G|ORIG_BAL x CHANNEL|where N|outcome_loans|book|2</t>
        </is>
      </c>
      <c r="B1281" t="n">
        <v>0.9432449323726754</v>
      </c>
      <c r="C1281" t="n">
        <v>1.234910430232622</v>
      </c>
      <c r="D1281" t="n">
        <v>1.206095853527194</v>
      </c>
      <c r="E1281" t="n">
        <v>1.132764271725986</v>
      </c>
    </row>
    <row r="1282">
      <c r="A1282" t="inlineStr">
        <is>
          <t>G|ORIG_BAL x CHANNEL|where N|outcome_loans|band|2</t>
        </is>
      </c>
      <c r="B1282" t="n">
        <v>0.7729405630865485</v>
      </c>
      <c r="C1282" t="n">
        <v>1.142775881683731</v>
      </c>
      <c r="D1282" t="n">
        <v>1.1025</v>
      </c>
    </row>
    <row r="1283">
      <c r="A1283" t="inlineStr">
        <is>
          <t>G|ORIG_BAL x CHANNEL|where N|outcome_loans|rate|3</t>
        </is>
      </c>
      <c r="B1283" t="n">
        <v>0.0498220640569395</v>
      </c>
      <c r="C1283" t="n">
        <v>0.06557377049180328</v>
      </c>
      <c r="D1283" t="n">
        <v>0.04040404040404041</v>
      </c>
      <c r="E1283" t="n">
        <v>0.0520951302378256</v>
      </c>
    </row>
    <row r="1284">
      <c r="A1284" t="inlineStr">
        <is>
          <t>G|ORIG_BAL x CHANNEL|where N|outcome_loans|book|3</t>
        </is>
      </c>
      <c r="B1284" t="n">
        <v>0.6438234093561536</v>
      </c>
      <c r="C1284" t="n">
        <v>0.8473741359675839</v>
      </c>
      <c r="D1284" t="n">
        <v>0.5221194171113396</v>
      </c>
      <c r="E1284" t="n">
        <v>0.6731970060942923</v>
      </c>
    </row>
    <row r="1285">
      <c r="A1285" t="inlineStr">
        <is>
          <t>G|ORIG_BAL x CHANNEL|where N|outcome_loans|band|3</t>
        </is>
      </c>
      <c r="B1285" t="n">
        <v>0.9372775800711743</v>
      </c>
      <c r="C1285" t="n">
        <v>1.457755359394704</v>
      </c>
      <c r="D1285" t="n">
        <v>0.6963755199049317</v>
      </c>
    </row>
    <row r="1286">
      <c r="A1286" t="inlineStr">
        <is>
          <t>G|ORIG_BAL x CHANNEL|where N|outcome_loans|rate|4</t>
        </is>
      </c>
      <c r="B1286" t="n">
        <v>0.07063197026022305</v>
      </c>
      <c r="C1286" t="n">
        <v>0.04964539007092199</v>
      </c>
      <c r="D1286" t="n">
        <v>0.03460207612456748</v>
      </c>
      <c r="E1286" t="n">
        <v>0.05119047619047619</v>
      </c>
    </row>
    <row r="1287">
      <c r="A1287" t="inlineStr">
        <is>
          <t>G|ORIG_BAL x CHANNEL|where N|outcome_loans|book|4</t>
        </is>
      </c>
      <c r="B1287" t="n">
        <v>0.912738497756905</v>
      </c>
      <c r="C1287" t="n">
        <v>0.6415403476208481</v>
      </c>
      <c r="D1287" t="n">
        <v>0.4471437914707839</v>
      </c>
      <c r="E1287" t="n">
        <v>0.6615066543580275</v>
      </c>
    </row>
    <row r="1288">
      <c r="A1288" t="inlineStr">
        <is>
          <t>G|ORIG_BAL x CHANNEL|where N|outcome_loans|band|4</t>
        </is>
      </c>
      <c r="B1288" t="n">
        <v>1.68045229244114</v>
      </c>
      <c r="C1288" t="n">
        <v>0.9552457813646369</v>
      </c>
      <c r="D1288" t="n">
        <v>0.5777498165041418</v>
      </c>
    </row>
    <row r="1289">
      <c r="A1289" t="inlineStr">
        <is>
          <t>G|ORIG_BAL x CHANNEL|where N|outcome_loans|rate|5</t>
        </is>
      </c>
      <c r="B1289" t="n">
        <v>0.01730103806228374</v>
      </c>
      <c r="C1289" t="n">
        <v>0.0683453237410072</v>
      </c>
      <c r="D1289" t="n">
        <v>0.03092783505154639</v>
      </c>
      <c r="E1289" t="n">
        <v>0.03846153846153846</v>
      </c>
    </row>
    <row r="1290">
      <c r="A1290" t="inlineStr">
        <is>
          <t>G|ORIG_BAL x CHANNEL|where N|outcome_loans|book|5</t>
        </is>
      </c>
      <c r="C1290" t="n">
        <v>0.8831894097000268</v>
      </c>
      <c r="E1290" t="n">
        <v>0.4970175220579098</v>
      </c>
    </row>
    <row r="1291">
      <c r="A1291" t="inlineStr">
        <is>
          <t>G|ORIG_BAL x CHANNEL|where N|outcome_loans|band|5</t>
        </is>
      </c>
      <c r="C1291" t="n">
        <v>2.831449126413156</v>
      </c>
    </row>
    <row r="1292">
      <c r="A1292" t="inlineStr">
        <is>
          <t>G|ORIG_BAL x CHANNEL|where N|outcome_loans|rate|6</t>
        </is>
      </c>
    </row>
    <row r="1293">
      <c r="A1293" t="inlineStr">
        <is>
          <t>G|ORIG_BAL x CHANNEL|where N|outcome_loans|book|6</t>
        </is>
      </c>
    </row>
    <row r="1294">
      <c r="A1294" t="inlineStr">
        <is>
          <t>G|ORIG_BAL x CHANNEL|where N|outcome_loans|band|6</t>
        </is>
      </c>
    </row>
    <row r="1295">
      <c r="A1295" t="inlineStr">
        <is>
          <t>G|ORIG_BAL x CHANNEL|where N|outcome_loans|rate|7</t>
        </is>
      </c>
      <c r="B1295" t="n">
        <v>0.05304101838755304</v>
      </c>
      <c r="C1295" t="n">
        <v>0.06829268292682927</v>
      </c>
      <c r="D1295" t="n">
        <v>0.05138607167004733</v>
      </c>
      <c r="E1295" t="n">
        <v>0.05753234750462107</v>
      </c>
    </row>
    <row r="1296">
      <c r="A1296" t="inlineStr">
        <is>
          <t>G|ORIG_BAL x CHANNEL|where N|outcome_loans|book|7</t>
        </is>
      </c>
      <c r="B1296" t="n">
        <v>0.6854202036866507</v>
      </c>
      <c r="C1296" t="n">
        <v>0.8825091611174594</v>
      </c>
      <c r="D1296" t="n">
        <v>0.664034228253164</v>
      </c>
      <c r="E1296" t="n">
        <v>0.7434592046679547</v>
      </c>
    </row>
    <row r="1297">
      <c r="A1297" t="inlineStr">
        <is>
          <t>G|ORIG_BAL x CHANNEL|where N|outcome_loans|band|7</t>
        </is>
      </c>
    </row>
    <row r="1298">
      <c r="A1298" t="inlineStr">
        <is>
          <t>G|ORIG_BAL x CHANNEL|where N|outcome_loans|meta</t>
        </is>
      </c>
      <c r="B1298" t="inlineStr">
        <is>
          <t>x</t>
        </is>
      </c>
      <c r="C1298" t="n">
        <v>2.831449126413156</v>
      </c>
      <c r="D1298" t="n">
        <v>10</v>
      </c>
      <c r="E1298" t="n">
        <v>0.07738467308413552</v>
      </c>
      <c r="F1298" t="n">
        <v>65</v>
      </c>
    </row>
    <row r="1299">
      <c r="A1299" t="inlineStr">
        <is>
          <t>G|ORIG_BAL x CHANNEL|where N|outcome_booked|rate|1</t>
        </is>
      </c>
      <c r="B1299" t="n">
        <v>0.0576191782683389</v>
      </c>
      <c r="C1299" t="n">
        <v>0.06443311502925256</v>
      </c>
      <c r="D1299" t="n">
        <v>0.04875440299822736</v>
      </c>
      <c r="E1299" t="n">
        <v>0.05676692253235505</v>
      </c>
    </row>
    <row r="1300">
      <c r="A1300" t="inlineStr">
        <is>
          <t>G|ORIG_BAL x CHANNEL|where N|outcome_booked|book|1</t>
        </is>
      </c>
      <c r="B1300" t="n">
        <v>0.7700126885089043</v>
      </c>
      <c r="C1300" t="n">
        <v>0.8610729556332595</v>
      </c>
      <c r="D1300" t="n">
        <v>0.6515453718287454</v>
      </c>
      <c r="E1300" t="n">
        <v>0.7586232909110101</v>
      </c>
    </row>
    <row r="1301">
      <c r="A1301" t="inlineStr">
        <is>
          <t>G|ORIG_BAL x CHANNEL|where N|outcome_booked|band|1</t>
        </is>
      </c>
      <c r="B1301" t="n">
        <v>1.023153545594921</v>
      </c>
      <c r="C1301" t="n">
        <v>1.210277384080852</v>
      </c>
      <c r="D1301" t="n">
        <v>0.8010174948026355</v>
      </c>
    </row>
    <row r="1302">
      <c r="A1302" t="inlineStr">
        <is>
          <t>G|ORIG_BAL x CHANNEL|where N|outcome_booked|rate|2</t>
        </is>
      </c>
      <c r="B1302" t="n">
        <v>0.06787981773915373</v>
      </c>
      <c r="C1302" t="n">
        <v>0.0980017326642951</v>
      </c>
      <c r="D1302" t="n">
        <v>0.09691563345514322</v>
      </c>
      <c r="E1302" t="n">
        <v>0.08812095851693784</v>
      </c>
    </row>
    <row r="1303">
      <c r="A1303" t="inlineStr">
        <is>
          <t>G|ORIG_BAL x CHANNEL|where N|outcome_booked|book|2</t>
        </is>
      </c>
      <c r="B1303" t="n">
        <v>0.9071340918713005</v>
      </c>
      <c r="C1303" t="n">
        <v>1.309678130013017</v>
      </c>
      <c r="D1303" t="n">
        <v>1.295163688864071</v>
      </c>
      <c r="E1303" t="n">
        <v>1.177633180841354</v>
      </c>
    </row>
    <row r="1304">
      <c r="A1304" t="inlineStr">
        <is>
          <t>G|ORIG_BAL x CHANNEL|where N|outcome_booked|band|2</t>
        </is>
      </c>
      <c r="B1304" t="n">
        <v>0.6965435662021591</v>
      </c>
      <c r="C1304" t="n">
        <v>1.179741347844585</v>
      </c>
      <c r="D1304" t="n">
        <v>1.161169774281007</v>
      </c>
    </row>
    <row r="1305">
      <c r="A1305" t="inlineStr">
        <is>
          <t>G|ORIG_BAL x CHANNEL|where N|outcome_booked|rate|3</t>
        </is>
      </c>
      <c r="B1305" t="n">
        <v>0.05020839155998448</v>
      </c>
      <c r="C1305" t="n">
        <v>0.06599328325014893</v>
      </c>
      <c r="D1305" t="n">
        <v>0.04078920321890393</v>
      </c>
      <c r="E1305" t="n">
        <v>0.05249434506141382</v>
      </c>
    </row>
    <row r="1306">
      <c r="A1306" t="inlineStr">
        <is>
          <t>G|ORIG_BAL x CHANNEL|where N|outcome_booked|book|3</t>
        </is>
      </c>
      <c r="B1306" t="n">
        <v>0.6709762223744742</v>
      </c>
      <c r="C1306" t="n">
        <v>0.8819227726977055</v>
      </c>
      <c r="D1306" t="n">
        <v>0.5450998257290789</v>
      </c>
      <c r="E1306" t="n">
        <v>0.7015253078411992</v>
      </c>
    </row>
    <row r="1307">
      <c r="A1307" t="inlineStr">
        <is>
          <t>G|ORIG_BAL x CHANNEL|where N|outcome_booked|band|3</t>
        </is>
      </c>
      <c r="B1307" t="n">
        <v>0.9374214057343153</v>
      </c>
      <c r="C1307" t="n">
        <v>1.454689397864064</v>
      </c>
      <c r="D1307" t="n">
        <v>0.6980962736559477</v>
      </c>
    </row>
    <row r="1308">
      <c r="A1308" t="inlineStr">
        <is>
          <t>G|ORIG_BAL x CHANNEL|where N|outcome_booked|rate|4</t>
        </is>
      </c>
      <c r="B1308" t="n">
        <v>0.07060647153692301</v>
      </c>
      <c r="C1308" t="n">
        <v>0.05130960799187668</v>
      </c>
      <c r="D1308" t="n">
        <v>0.03415494612532452</v>
      </c>
      <c r="E1308" t="n">
        <v>0.05161003854763533</v>
      </c>
    </row>
    <row r="1309">
      <c r="A1309" t="inlineStr">
        <is>
          <t>G|ORIG_BAL x CHANNEL|where N|outcome_booked|book|4</t>
        </is>
      </c>
      <c r="B1309" t="n">
        <v>0.943572619537826</v>
      </c>
      <c r="C1309" t="n">
        <v>0.6856926874618882</v>
      </c>
      <c r="D1309" t="n">
        <v>0.4564407664641988</v>
      </c>
      <c r="E1309" t="n">
        <v>0.6897075892168661</v>
      </c>
    </row>
    <row r="1310">
      <c r="A1310" t="inlineStr">
        <is>
          <t>G|ORIG_BAL x CHANNEL|where N|outcome_booked|band|4</t>
        </is>
      </c>
      <c r="B1310" t="n">
        <v>1.656927283397173</v>
      </c>
      <c r="C1310" t="n">
        <v>0.9912774567134081</v>
      </c>
      <c r="D1310" t="n">
        <v>0.5620897387383939</v>
      </c>
    </row>
    <row r="1311">
      <c r="A1311" t="inlineStr">
        <is>
          <t>G|ORIG_BAL x CHANNEL|where N|outcome_booked|rate|5</t>
        </is>
      </c>
      <c r="B1311" t="n">
        <v>0.01738211717332663</v>
      </c>
      <c r="C1311" t="n">
        <v>0.06890092444847121</v>
      </c>
      <c r="D1311" t="n">
        <v>0.03165735523392776</v>
      </c>
      <c r="E1311" t="n">
        <v>0.03896998389941195</v>
      </c>
    </row>
    <row r="1312">
      <c r="A1312" t="inlineStr">
        <is>
          <t>G|ORIG_BAL x CHANNEL|where N|outcome_booked|book|5</t>
        </is>
      </c>
      <c r="C1312" t="n">
        <v>0.920779984543256</v>
      </c>
      <c r="E1312" t="n">
        <v>0.520788094786552</v>
      </c>
    </row>
    <row r="1313">
      <c r="A1313" t="inlineStr">
        <is>
          <t>G|ORIG_BAL x CHANNEL|where N|outcome_booked|band|5</t>
        </is>
      </c>
      <c r="C1313" t="n">
        <v>2.806075606774498</v>
      </c>
    </row>
    <row r="1314">
      <c r="A1314" t="inlineStr">
        <is>
          <t>G|ORIG_BAL x CHANNEL|where N|outcome_booked|rate|6</t>
        </is>
      </c>
    </row>
    <row r="1315">
      <c r="A1315" t="inlineStr">
        <is>
          <t>G|ORIG_BAL x CHANNEL|where N|outcome_booked|book|6</t>
        </is>
      </c>
    </row>
    <row r="1316">
      <c r="A1316" t="inlineStr">
        <is>
          <t>G|ORIG_BAL x CHANNEL|where N|outcome_booked|band|6</t>
        </is>
      </c>
    </row>
    <row r="1317">
      <c r="A1317" t="inlineStr">
        <is>
          <t>G|ORIG_BAL x CHANNEL|where N|outcome_booked|rate|7</t>
        </is>
      </c>
      <c r="B1317" t="n">
        <v>0.04681040497767673</v>
      </c>
      <c r="C1317" t="n">
        <v>0.06720288771668041</v>
      </c>
      <c r="D1317" t="n">
        <v>0.04388565607070748</v>
      </c>
      <c r="E1317" t="n">
        <v>0.05260097895035094</v>
      </c>
    </row>
    <row r="1318">
      <c r="A1318" t="inlineStr">
        <is>
          <t>G|ORIG_BAL x CHANNEL|where N|outcome_booked|book|7</t>
        </is>
      </c>
      <c r="B1318" t="n">
        <v>0.6255661200024015</v>
      </c>
      <c r="C1318" t="n">
        <v>0.89808771665037</v>
      </c>
      <c r="D1318" t="n">
        <v>0.5864802837105227</v>
      </c>
      <c r="E1318" t="n">
        <v>0.7029503446080242</v>
      </c>
    </row>
    <row r="1319">
      <c r="A1319" t="inlineStr">
        <is>
          <t>G|ORIG_BAL x CHANNEL|where N|outcome_booked|band|7</t>
        </is>
      </c>
    </row>
    <row r="1320">
      <c r="A1320" t="inlineStr">
        <is>
          <t>G|ORIG_BAL x CHANNEL|where N|outcome_booked|meta</t>
        </is>
      </c>
      <c r="B1320" t="inlineStr">
        <is>
          <t>x</t>
        </is>
      </c>
      <c r="C1320" t="n">
        <v>2.806075606774498</v>
      </c>
      <c r="D1320" t="n">
        <v>10</v>
      </c>
      <c r="E1320" t="n">
        <v>0.07482886857347235</v>
      </c>
      <c r="F1320" t="n">
        <v>65</v>
      </c>
    </row>
    <row r="1321">
      <c r="A1321" t="inlineStr">
        <is>
          <t>G|ORIG_BAL x CHANNEL|where N|gco_rate|rate|1</t>
        </is>
      </c>
      <c r="B1321" t="n">
        <v>0.02836902486661352</v>
      </c>
      <c r="C1321" t="n">
        <v>0.03707134104682022</v>
      </c>
      <c r="D1321" t="n">
        <v>0.02593608923806244</v>
      </c>
      <c r="E1321" t="n">
        <v>0.03028865191912375</v>
      </c>
    </row>
    <row r="1322">
      <c r="A1322" t="inlineStr">
        <is>
          <t>G|ORIG_BAL x CHANNEL|where N|gco_rate|book|1</t>
        </is>
      </c>
      <c r="B1322" t="n">
        <v>0.6818614095914256</v>
      </c>
      <c r="C1322" t="n">
        <v>0.8910252284130324</v>
      </c>
      <c r="D1322" t="n">
        <v>0.6233847814757596</v>
      </c>
      <c r="E1322" t="n">
        <v>0.7280004508192713</v>
      </c>
    </row>
    <row r="1323">
      <c r="A1323" t="inlineStr">
        <is>
          <t>G|ORIG_BAL x CHANNEL|where N|gco_rate|band|1</t>
        </is>
      </c>
      <c r="B1323" t="n">
        <v>0.9061867892686213</v>
      </c>
      <c r="C1323" t="n">
        <v>1.364587826658739</v>
      </c>
      <c r="D1323" t="n">
        <v>0.7976621386718799</v>
      </c>
    </row>
    <row r="1324">
      <c r="A1324" t="inlineStr">
        <is>
          <t>G|ORIG_BAL x CHANNEL|where N|gco_rate|rate|2</t>
        </is>
      </c>
      <c r="B1324" t="n">
        <v>0.04069753541928629</v>
      </c>
      <c r="C1324" t="n">
        <v>0.05937571387039377</v>
      </c>
      <c r="D1324" t="n">
        <v>0.05040860340592498</v>
      </c>
      <c r="E1324" t="n">
        <v>0.05037744192296544</v>
      </c>
    </row>
    <row r="1325">
      <c r="A1325" t="inlineStr">
        <is>
          <t>G|ORIG_BAL x CHANNEL|where N|gco_rate|book|2</t>
        </is>
      </c>
      <c r="B1325" t="n">
        <v>0.9781823308473878</v>
      </c>
      <c r="C1325" t="n">
        <v>1.427120182858678</v>
      </c>
      <c r="D1325" t="n">
        <v>1.211591922369878</v>
      </c>
      <c r="E1325" t="n">
        <v>1.210842943058969</v>
      </c>
    </row>
    <row r="1326">
      <c r="A1326" t="inlineStr">
        <is>
          <t>G|ORIG_BAL x CHANNEL|where N|gco_rate|band|2</t>
        </is>
      </c>
      <c r="B1326" t="n">
        <v>0.7421141506503521</v>
      </c>
      <c r="C1326" t="n">
        <v>1.297033504971994</v>
      </c>
      <c r="D1326" t="n">
        <v>1.000946425006593</v>
      </c>
    </row>
    <row r="1327">
      <c r="A1327" t="inlineStr">
        <is>
          <t>G|ORIG_BAL x CHANNEL|where N|gco_rate|rate|3</t>
        </is>
      </c>
      <c r="B1327" t="n">
        <v>0.02780156573220761</v>
      </c>
      <c r="C1327" t="n">
        <v>0.04006128756035378</v>
      </c>
      <c r="D1327" t="n">
        <v>0.02245761987566448</v>
      </c>
      <c r="E1327" t="n">
        <v>0.03023717386085458</v>
      </c>
    </row>
    <row r="1328">
      <c r="A1328" t="inlineStr">
        <is>
          <t>G|ORIG_BAL x CHANNEL|where N|gco_rate|book|3</t>
        </is>
      </c>
      <c r="B1328" t="n">
        <v>0.6682222913245548</v>
      </c>
      <c r="C1328" t="n">
        <v>0.962889846739067</v>
      </c>
      <c r="D1328" t="n">
        <v>0.5397783116088102</v>
      </c>
      <c r="E1328" t="n">
        <v>0.7267631541007734</v>
      </c>
    </row>
    <row r="1329">
      <c r="A1329" t="inlineStr">
        <is>
          <t>G|ORIG_BAL x CHANNEL|where N|gco_rate|band|3</t>
        </is>
      </c>
      <c r="B1329" t="n">
        <v>0.8860380066826867</v>
      </c>
      <c r="C1329" t="n">
        <v>1.598634650679924</v>
      </c>
      <c r="D1329" t="n">
        <v>0.657158056600338</v>
      </c>
    </row>
    <row r="1330">
      <c r="A1330" t="inlineStr">
        <is>
          <t>G|ORIG_BAL x CHANNEL|where N|gco_rate|rate|4</t>
        </is>
      </c>
      <c r="B1330" t="n">
        <v>0.04062206664674996</v>
      </c>
      <c r="C1330" t="n">
        <v>0.03102035847511591</v>
      </c>
      <c r="D1330" t="n">
        <v>0.02041115727663371</v>
      </c>
      <c r="E1330" t="n">
        <v>0.03044551141022515</v>
      </c>
    </row>
    <row r="1331">
      <c r="A1331" t="inlineStr">
        <is>
          <t>G|ORIG_BAL x CHANNEL|where N|gco_rate|book|4</t>
        </is>
      </c>
      <c r="B1331" t="n">
        <v>0.9763684072506584</v>
      </c>
      <c r="C1331" t="n">
        <v>0.7455873247432765</v>
      </c>
      <c r="D1331" t="n">
        <v>0.4905907248301947</v>
      </c>
      <c r="E1331" t="n">
        <v>0.7317706344689768</v>
      </c>
    </row>
    <row r="1332">
      <c r="A1332" t="inlineStr">
        <is>
          <t>G|ORIG_BAL x CHANNEL|where N|gco_rate|band|4</t>
        </is>
      </c>
      <c r="B1332" t="n">
        <v>1.584204852631102</v>
      </c>
      <c r="C1332" t="n">
        <v>1.02866277082374</v>
      </c>
      <c r="D1332" t="n">
        <v>0.5714743591764843</v>
      </c>
    </row>
    <row r="1333">
      <c r="A1333" t="inlineStr">
        <is>
          <t>G|ORIG_BAL x CHANNEL|where N|gco_rate|rate|5</t>
        </is>
      </c>
      <c r="B1333" t="n">
        <v>0.008950978443230468</v>
      </c>
      <c r="C1333" t="n">
        <v>0.04179838331936418</v>
      </c>
      <c r="D1333" t="n">
        <v>0.01693749139905862</v>
      </c>
      <c r="E1333" t="n">
        <v>0.0223368630815147</v>
      </c>
    </row>
    <row r="1334">
      <c r="A1334" t="inlineStr">
        <is>
          <t>G|ORIG_BAL x CHANNEL|where N|gco_rate|book|5</t>
        </is>
      </c>
      <c r="C1334" t="n">
        <v>1.004641671780754</v>
      </c>
      <c r="E1334" t="n">
        <v>0.536875871420476</v>
      </c>
    </row>
    <row r="1335">
      <c r="A1335" t="inlineStr">
        <is>
          <t>G|ORIG_BAL x CHANNEL|where N|gco_rate|band|5</t>
        </is>
      </c>
      <c r="C1335" t="n">
        <v>3.224309946544345</v>
      </c>
    </row>
    <row r="1336">
      <c r="A1336" t="inlineStr">
        <is>
          <t>G|ORIG_BAL x CHANNEL|where N|gco_rate|rate|6</t>
        </is>
      </c>
    </row>
    <row r="1337">
      <c r="A1337" t="inlineStr">
        <is>
          <t>G|ORIG_BAL x CHANNEL|where N|gco_rate|book|6</t>
        </is>
      </c>
    </row>
    <row r="1338">
      <c r="A1338" t="inlineStr">
        <is>
          <t>G|ORIG_BAL x CHANNEL|where N|gco_rate|band|6</t>
        </is>
      </c>
    </row>
    <row r="1339">
      <c r="A1339" t="inlineStr">
        <is>
          <t>G|ORIG_BAL x CHANNEL|where N|gco_rate|rate|7</t>
        </is>
      </c>
      <c r="B1339" t="n">
        <v>0.02622043264014381</v>
      </c>
      <c r="C1339" t="n">
        <v>0.04061260621028653</v>
      </c>
      <c r="D1339" t="n">
        <v>0.02397584956285052</v>
      </c>
      <c r="E1339" t="n">
        <v>0.03024578450313006</v>
      </c>
    </row>
    <row r="1340">
      <c r="A1340" t="inlineStr">
        <is>
          <t>G|ORIG_BAL x CHANNEL|where N|gco_rate|book|7</t>
        </is>
      </c>
      <c r="B1340" t="n">
        <v>0.6302190943879177</v>
      </c>
      <c r="C1340" t="n">
        <v>0.9761410216929018</v>
      </c>
      <c r="D1340" t="n">
        <v>0.5762695988298432</v>
      </c>
      <c r="E1340" t="n">
        <v>0.7269701144988503</v>
      </c>
    </row>
    <row r="1341">
      <c r="A1341" t="inlineStr">
        <is>
          <t>G|ORIG_BAL x CHANNEL|where N|gco_rate|band|7</t>
        </is>
      </c>
    </row>
    <row r="1342">
      <c r="A1342" t="inlineStr">
        <is>
          <t>G|ORIG_BAL x CHANNEL|where N|gco_rate|meta</t>
        </is>
      </c>
      <c r="B1342" t="inlineStr">
        <is>
          <t>x</t>
        </is>
      </c>
      <c r="C1342" t="n">
        <v>3.224309946544345</v>
      </c>
      <c r="D1342" t="n">
        <v>10</v>
      </c>
      <c r="E1342" t="n">
        <v>0.04160526533333565</v>
      </c>
      <c r="F1342" t="n">
        <v>65</v>
      </c>
    </row>
    <row r="1343">
      <c r="A1343" t="inlineStr">
        <is>
          <t>G|ORIG_BAL x CHANNEL|where N|ranr_rate|rate|1</t>
        </is>
      </c>
      <c r="B1343" t="n">
        <v>0.1512430821446127</v>
      </c>
      <c r="C1343" t="n">
        <v>0.1580647120713854</v>
      </c>
      <c r="D1343" t="n">
        <v>0.1697418945470505</v>
      </c>
      <c r="E1343" t="n">
        <v>0.1596536367322223</v>
      </c>
    </row>
    <row r="1344">
      <c r="A1344" t="inlineStr">
        <is>
          <t>G|ORIG_BAL x CHANNEL|where N|ranr_rate|book|1</t>
        </is>
      </c>
      <c r="B1344" t="n">
        <v>2.32530325</v>
      </c>
      <c r="C1344" t="n">
        <v>3.007466242</v>
      </c>
      <c r="D1344" t="n">
        <v>4.17518449</v>
      </c>
      <c r="E1344" t="n">
        <v>3.166358708</v>
      </c>
    </row>
    <row r="1345">
      <c r="A1345" t="inlineStr">
        <is>
          <t>G|ORIG_BAL x CHANNEL|where N|ranr_rate|band|1</t>
        </is>
      </c>
      <c r="B1345" t="n">
        <v>-1.286762671</v>
      </c>
      <c r="C1345" t="n">
        <v>-0.232027981</v>
      </c>
      <c r="D1345" t="n">
        <v>1.524873464</v>
      </c>
    </row>
    <row r="1346">
      <c r="A1346" t="inlineStr">
        <is>
          <t>G|ORIG_BAL x CHANNEL|where N|ranr_rate|rate|2</t>
        </is>
      </c>
      <c r="B1346" t="n">
        <v>0.1252487975432854</v>
      </c>
      <c r="C1346" t="n">
        <v>0.09975052222437722</v>
      </c>
      <c r="D1346" t="n">
        <v>0.1388874121401195</v>
      </c>
      <c r="E1346" t="n">
        <v>0.1213459153188463</v>
      </c>
    </row>
    <row r="1347">
      <c r="A1347" t="inlineStr">
        <is>
          <t>G|ORIG_BAL x CHANNEL|where N|ranr_rate|book|2</t>
        </is>
      </c>
      <c r="B1347" t="n">
        <v>-0.27412521</v>
      </c>
      <c r="C1347" t="n">
        <v>-2.823952742</v>
      </c>
      <c r="D1347" t="n">
        <v>1.089736249</v>
      </c>
      <c r="E1347" t="n">
        <v>-0.664413433</v>
      </c>
    </row>
    <row r="1348">
      <c r="A1348" t="inlineStr">
        <is>
          <t>G|ORIG_BAL x CHANNEL|where N|ranr_rate|band|2</t>
        </is>
      </c>
      <c r="B1348" t="n">
        <v>0.5702157289999999</v>
      </c>
      <c r="C1348" t="n">
        <v>-3.263360771</v>
      </c>
      <c r="D1348" t="n">
        <v>2.683048795</v>
      </c>
    </row>
    <row r="1349">
      <c r="A1349" t="inlineStr">
        <is>
          <t>G|ORIG_BAL x CHANNEL|where N|ranr_rate|rate|3</t>
        </is>
      </c>
      <c r="B1349" t="n">
        <v>0.1343767775113544</v>
      </c>
      <c r="C1349" t="n">
        <v>0.1161497697930944</v>
      </c>
      <c r="D1349" t="n">
        <v>0.1596787203529977</v>
      </c>
      <c r="E1349" t="n">
        <v>0.1365876109434129</v>
      </c>
    </row>
    <row r="1350">
      <c r="A1350" t="inlineStr">
        <is>
          <t>G|ORIG_BAL x CHANNEL|where N|ranr_rate|book|3</t>
        </is>
      </c>
      <c r="B1350" t="n">
        <v>0.638672786</v>
      </c>
      <c r="C1350" t="n">
        <v>-1.184027986</v>
      </c>
      <c r="D1350" t="n">
        <v>3.16886707</v>
      </c>
      <c r="E1350" t="n">
        <v>0.85975613</v>
      </c>
    </row>
    <row r="1351">
      <c r="A1351" t="inlineStr">
        <is>
          <t>G|ORIG_BAL x CHANNEL|where N|ranr_rate|band|3</t>
        </is>
      </c>
      <c r="B1351" t="n">
        <v>-0.324582835</v>
      </c>
      <c r="C1351" t="n">
        <v>-3.120895103</v>
      </c>
      <c r="D1351" t="n">
        <v>3.477586477</v>
      </c>
    </row>
    <row r="1352">
      <c r="A1352" t="inlineStr">
        <is>
          <t>G|ORIG_BAL x CHANNEL|where N|ranr_rate|rate|4</t>
        </is>
      </c>
      <c r="B1352" t="n">
        <v>0.1124705631844439</v>
      </c>
      <c r="C1352" t="n">
        <v>0.1357025276997594</v>
      </c>
      <c r="D1352" t="n">
        <v>0.1740001585913756</v>
      </c>
      <c r="E1352" t="n">
        <v>0.1414110073367784</v>
      </c>
    </row>
    <row r="1353">
      <c r="A1353" t="inlineStr">
        <is>
          <t>G|ORIG_BAL x CHANNEL|where N|ranr_rate|book|4</t>
        </is>
      </c>
      <c r="B1353" t="n">
        <v>-1.551948646</v>
      </c>
      <c r="C1353" t="n">
        <v>0.771247805</v>
      </c>
      <c r="D1353" t="n">
        <v>4.601010894</v>
      </c>
      <c r="E1353" t="n">
        <v>1.342095769</v>
      </c>
    </row>
    <row r="1354">
      <c r="A1354" t="inlineStr">
        <is>
          <t>G|ORIG_BAL x CHANNEL|where N|ranr_rate|band|4</t>
        </is>
      </c>
      <c r="B1354" t="n">
        <v>-4.264729506</v>
      </c>
      <c r="C1354" t="n">
        <v>-0.857872913</v>
      </c>
      <c r="D1354" t="n">
        <v>4.96802722</v>
      </c>
    </row>
    <row r="1355">
      <c r="A1355" t="inlineStr">
        <is>
          <t>G|ORIG_BAL x CHANNEL|where N|ranr_rate|rate|5</t>
        </is>
      </c>
      <c r="B1355" t="n">
        <v>0.1475275042045397</v>
      </c>
      <c r="C1355" t="n">
        <v>0.117631177967876</v>
      </c>
      <c r="D1355" t="n">
        <v>0.1676053356710171</v>
      </c>
      <c r="E1355" t="n">
        <v>0.1446173821485803</v>
      </c>
    </row>
    <row r="1356">
      <c r="A1356" t="inlineStr">
        <is>
          <t>G|ORIG_BAL x CHANNEL|where N|ranr_rate|book|5</t>
        </is>
      </c>
      <c r="B1356" t="n">
        <v>1.953745456</v>
      </c>
      <c r="C1356" t="n">
        <v>-1.035887168</v>
      </c>
      <c r="D1356" t="n">
        <v>3.961528602</v>
      </c>
      <c r="E1356" t="n">
        <v>1.66273325</v>
      </c>
    </row>
    <row r="1357">
      <c r="A1357" t="inlineStr">
        <is>
          <t>G|ORIG_BAL x CHANNEL|where N|ranr_rate|band|5</t>
        </is>
      </c>
      <c r="B1357" t="n">
        <v>0.438163086</v>
      </c>
      <c r="C1357" t="n">
        <v>-3.998370597</v>
      </c>
      <c r="D1357" t="n">
        <v>3.478249466</v>
      </c>
    </row>
    <row r="1358">
      <c r="A1358" t="inlineStr">
        <is>
          <t>G|ORIG_BAL x CHANNEL|where N|ranr_rate|rate|6</t>
        </is>
      </c>
    </row>
    <row r="1359">
      <c r="A1359" t="inlineStr">
        <is>
          <t>G|ORIG_BAL x CHANNEL|where N|ranr_rate|book|6</t>
        </is>
      </c>
    </row>
    <row r="1360">
      <c r="A1360" t="inlineStr">
        <is>
          <t>G|ORIG_BAL x CHANNEL|where N|ranr_rate|band|6</t>
        </is>
      </c>
    </row>
    <row r="1361">
      <c r="A1361" t="inlineStr">
        <is>
          <t>G|ORIG_BAL x CHANNEL|where N|ranr_rate|rate|7</t>
        </is>
      </c>
      <c r="B1361" t="n">
        <v>0.1332692091964859</v>
      </c>
      <c r="C1361" t="n">
        <v>0.1222096812820414</v>
      </c>
      <c r="D1361" t="n">
        <v>0.1640539804937369</v>
      </c>
      <c r="E1361" t="n">
        <v>0.1400760724959788</v>
      </c>
    </row>
    <row r="1362">
      <c r="A1362" t="inlineStr">
        <is>
          <t>G|ORIG_BAL x CHANNEL|where N|ranr_rate|book|7</t>
        </is>
      </c>
      <c r="B1362" t="n">
        <v>0.527915955</v>
      </c>
      <c r="C1362" t="n">
        <v>-0.578036837</v>
      </c>
      <c r="D1362" t="n">
        <v>3.606393085</v>
      </c>
      <c r="E1362" t="n">
        <v>1.208602285</v>
      </c>
    </row>
    <row r="1363">
      <c r="A1363" t="inlineStr">
        <is>
          <t>G|ORIG_BAL x CHANNEL|where N|ranr_rate|band|7</t>
        </is>
      </c>
    </row>
    <row r="1364">
      <c r="A1364" t="inlineStr">
        <is>
          <t>G|ORIG_BAL x CHANNEL|where N|ranr_rate|meta</t>
        </is>
      </c>
      <c r="B1364" t="inlineStr">
        <is>
          <t>pts</t>
        </is>
      </c>
      <c r="C1364" t="n">
        <v>4.96802722</v>
      </c>
      <c r="D1364" t="n">
        <v>10</v>
      </c>
      <c r="E1364" t="n">
        <v>0.1279900496481481</v>
      </c>
      <c r="F1364" t="n">
        <v>65</v>
      </c>
    </row>
    <row r="1365">
      <c r="A1365" t="inlineStr">
        <is>
          <t>G|ORIG_BAL x CHANNEL|where N|contribution_rate|rate|1</t>
        </is>
      </c>
      <c r="B1365" t="n">
        <v>0.1796121070112261</v>
      </c>
      <c r="C1365" t="n">
        <v>0.1951360531182056</v>
      </c>
      <c r="D1365" t="n">
        <v>0.1956779837851131</v>
      </c>
      <c r="E1365" t="n">
        <v>0.189942288651346</v>
      </c>
    </row>
    <row r="1366">
      <c r="A1366" t="inlineStr">
        <is>
          <t>G|ORIG_BAL x CHANNEL|where N|contribution_rate|book|1</t>
        </is>
      </c>
      <c r="B1366" t="n">
        <v>1.001965128</v>
      </c>
      <c r="C1366" t="n">
        <v>2.554359738</v>
      </c>
      <c r="D1366" t="n">
        <v>2.608552805</v>
      </c>
      <c r="E1366" t="n">
        <v>2.034983292</v>
      </c>
    </row>
    <row r="1367">
      <c r="A1367" t="inlineStr">
        <is>
          <t>G|ORIG_BAL x CHANNEL|where N|contribution_rate|band|1</t>
        </is>
      </c>
      <c r="B1367" t="n">
        <v>-1.5804537</v>
      </c>
      <c r="C1367" t="n">
        <v>0.758436641</v>
      </c>
      <c r="D1367" t="n">
        <v>0.86696925</v>
      </c>
    </row>
    <row r="1368">
      <c r="A1368" t="inlineStr">
        <is>
          <t>G|ORIG_BAL x CHANNEL|where N|contribution_rate|rate|2</t>
        </is>
      </c>
      <c r="B1368" t="n">
        <v>0.1659463329625717</v>
      </c>
      <c r="C1368" t="n">
        <v>0.159126236094771</v>
      </c>
      <c r="D1368" t="n">
        <v>0.1892960155460444</v>
      </c>
      <c r="E1368" t="n">
        <v>0.1717233572418117</v>
      </c>
    </row>
    <row r="1369">
      <c r="A1369" t="inlineStr">
        <is>
          <t>G|ORIG_BAL x CHANNEL|where N|contribution_rate|book|2</t>
        </is>
      </c>
      <c r="B1369" t="n">
        <v>-0.364612277</v>
      </c>
      <c r="C1369" t="n">
        <v>-1.046621964</v>
      </c>
      <c r="D1369" t="n">
        <v>1.970355981</v>
      </c>
      <c r="E1369" t="n">
        <v>0.213090151</v>
      </c>
    </row>
    <row r="1370">
      <c r="A1370" t="inlineStr">
        <is>
          <t>G|ORIG_BAL x CHANNEL|where N|contribution_rate|band|2</t>
        </is>
      </c>
      <c r="B1370" t="n">
        <v>-0.844030109</v>
      </c>
      <c r="C1370" t="n">
        <v>-1.903598179</v>
      </c>
      <c r="D1370" t="n">
        <v>2.68781508</v>
      </c>
    </row>
    <row r="1371">
      <c r="A1371" t="inlineStr">
        <is>
          <t>G|ORIG_BAL x CHANNEL|where N|contribution_rate|rate|3</t>
        </is>
      </c>
      <c r="B1371" t="n">
        <v>0.162178343243562</v>
      </c>
      <c r="C1371" t="n">
        <v>0.1562110573534481</v>
      </c>
      <c r="D1371" t="n">
        <v>0.1821363402286622</v>
      </c>
      <c r="E1371" t="n">
        <v>0.1668247848042675</v>
      </c>
    </row>
    <row r="1372">
      <c r="A1372" t="inlineStr">
        <is>
          <t>G|ORIG_BAL x CHANNEL|where N|contribution_rate|book|3</t>
        </is>
      </c>
      <c r="B1372" t="n">
        <v>-0.741411249</v>
      </c>
      <c r="C1372" t="n">
        <v>-1.338139838</v>
      </c>
      <c r="D1372" t="n">
        <v>1.254388449</v>
      </c>
      <c r="E1372" t="n">
        <v>-0.276767093</v>
      </c>
    </row>
    <row r="1373">
      <c r="A1373" t="inlineStr">
        <is>
          <t>G|ORIG_BAL x CHANNEL|where N|contribution_rate|band|3</t>
        </is>
      </c>
      <c r="B1373" t="n">
        <v>-0.682165899</v>
      </c>
      <c r="C1373" t="n">
        <v>-1.620735272</v>
      </c>
      <c r="D1373" t="n">
        <v>2.305963613</v>
      </c>
    </row>
    <row r="1374">
      <c r="A1374" t="inlineStr">
        <is>
          <t>G|ORIG_BAL x CHANNEL|where N|contribution_rate|rate|4</t>
        </is>
      </c>
      <c r="B1374" t="n">
        <v>0.1529771392248319</v>
      </c>
      <c r="C1374" t="n">
        <v>0.1667228861748754</v>
      </c>
      <c r="D1374" t="n">
        <v>0.1944113158680096</v>
      </c>
      <c r="E1374" t="n">
        <v>0.1718509057779428</v>
      </c>
    </row>
    <row r="1375">
      <c r="A1375" t="inlineStr">
        <is>
          <t>G|ORIG_BAL x CHANNEL|where N|contribution_rate|book|4</t>
        </is>
      </c>
      <c r="B1375" t="n">
        <v>-1.661531651</v>
      </c>
      <c r="C1375" t="n">
        <v>-0.286956956</v>
      </c>
      <c r="D1375" t="n">
        <v>2.481886013</v>
      </c>
      <c r="E1375" t="n">
        <v>0.225845004</v>
      </c>
    </row>
    <row r="1376">
      <c r="A1376" t="inlineStr">
        <is>
          <t>G|ORIG_BAL x CHANNEL|where N|contribution_rate|band|4</t>
        </is>
      </c>
      <c r="B1376" t="n">
        <v>-2.778264694</v>
      </c>
      <c r="C1376" t="n">
        <v>-0.771062034</v>
      </c>
      <c r="D1376" t="n">
        <v>3.44116311</v>
      </c>
    </row>
    <row r="1377">
      <c r="A1377" t="inlineStr">
        <is>
          <t>G|ORIG_BAL x CHANNEL|where N|contribution_rate|rate|5</t>
        </is>
      </c>
      <c r="B1377" t="n">
        <v>0.1564784826477702</v>
      </c>
      <c r="C1377" t="n">
        <v>0.1594295612872402</v>
      </c>
      <c r="D1377" t="n">
        <v>0.1845428270700758</v>
      </c>
      <c r="E1377" t="n">
        <v>0.166954245230095</v>
      </c>
    </row>
    <row r="1378">
      <c r="A1378" t="inlineStr">
        <is>
          <t>G|ORIG_BAL x CHANNEL|where N|contribution_rate|book|5</t>
        </is>
      </c>
      <c r="B1378" t="n">
        <v>-1.311397309</v>
      </c>
      <c r="C1378" t="n">
        <v>-1.016289445</v>
      </c>
      <c r="D1378" t="n">
        <v>1.495037134</v>
      </c>
      <c r="E1378" t="n">
        <v>-0.26382105</v>
      </c>
    </row>
    <row r="1379">
      <c r="A1379" t="inlineStr">
        <is>
          <t>G|ORIG_BAL x CHANNEL|where N|contribution_rate|band|5</t>
        </is>
      </c>
      <c r="B1379" t="n">
        <v>-1.577285205</v>
      </c>
      <c r="C1379" t="n">
        <v>-1.114883547</v>
      </c>
      <c r="D1379" t="n">
        <v>2.661284108</v>
      </c>
    </row>
    <row r="1380">
      <c r="A1380" t="inlineStr">
        <is>
          <t>G|ORIG_BAL x CHANNEL|where N|contribution_rate|rate|6</t>
        </is>
      </c>
    </row>
    <row r="1381">
      <c r="A1381" t="inlineStr">
        <is>
          <t>G|ORIG_BAL x CHANNEL|where N|contribution_rate|book|6</t>
        </is>
      </c>
    </row>
    <row r="1382">
      <c r="A1382" t="inlineStr">
        <is>
          <t>G|ORIG_BAL x CHANNEL|where N|contribution_rate|band|6</t>
        </is>
      </c>
    </row>
    <row r="1383">
      <c r="A1383" t="inlineStr">
        <is>
          <t>G|ORIG_BAL x CHANNEL|where N|contribution_rate|rate|7</t>
        </is>
      </c>
      <c r="B1383" t="n">
        <v>0.159477974501621</v>
      </c>
      <c r="C1383" t="n">
        <v>0.1628222874923279</v>
      </c>
      <c r="D1383" t="n">
        <v>0.1880298300565875</v>
      </c>
      <c r="E1383" t="n">
        <v>0.1703199959681274</v>
      </c>
    </row>
    <row r="1384">
      <c r="A1384" t="inlineStr">
        <is>
          <t>G|ORIG_BAL x CHANNEL|where N|contribution_rate|book|7</t>
        </is>
      </c>
      <c r="B1384" t="n">
        <v>-1.011448123</v>
      </c>
      <c r="C1384" t="n">
        <v>-0.677016824</v>
      </c>
      <c r="D1384" t="n">
        <v>1.843737432</v>
      </c>
      <c r="E1384" t="n">
        <v>0.072754023</v>
      </c>
    </row>
    <row r="1385">
      <c r="A1385" t="inlineStr">
        <is>
          <t>G|ORIG_BAL x CHANNEL|where N|contribution_rate|band|7</t>
        </is>
      </c>
    </row>
    <row r="1386">
      <c r="A1386" t="inlineStr">
        <is>
          <t>G|ORIG_BAL x CHANNEL|where N|contribution_rate|meta</t>
        </is>
      </c>
      <c r="B1386" t="inlineStr">
        <is>
          <t>pts</t>
        </is>
      </c>
      <c r="C1386" t="n">
        <v>3.44116311</v>
      </c>
      <c r="D1386" t="n">
        <v>10</v>
      </c>
      <c r="E1386" t="n">
        <v>0.1695924557349815</v>
      </c>
      <c r="F1386" t="n">
        <v>65</v>
      </c>
    </row>
    <row r="1387">
      <c r="A1387" t="inlineStr">
        <is>
          <t>G|ORIG_BAL x CHANNEL|where N|loan_size|rate|1</t>
        </is>
      </c>
      <c r="B1387" t="n">
        <v>10279.66667774086</v>
      </c>
      <c r="C1387" t="n">
        <v>10164.88602888087</v>
      </c>
      <c r="D1387" t="n">
        <v>10010.21493377483</v>
      </c>
      <c r="E1387" t="n">
        <v>10151.06592045454</v>
      </c>
    </row>
    <row r="1388">
      <c r="A1388" t="inlineStr">
        <is>
          <t>G|ORIG_BAL x CHANNEL|where N|loan_size|median|1</t>
        </is>
      </c>
      <c r="B1388" t="n">
        <v>10359.55</v>
      </c>
      <c r="C1388" t="n">
        <v>10055.78</v>
      </c>
      <c r="D1388" t="n">
        <v>10006.43</v>
      </c>
      <c r="E1388" t="n">
        <v>10103.33</v>
      </c>
    </row>
    <row r="1389">
      <c r="A1389" t="inlineStr">
        <is>
          <t>G|ORIG_BAL x CHANNEL|where N|loan_size|book|1</t>
        </is>
      </c>
      <c r="B1389" t="n">
        <v>0.3186249811636809</v>
      </c>
      <c r="C1389" t="n">
        <v>0.3150672800020117</v>
      </c>
      <c r="D1389" t="n">
        <v>0.3102731484110099</v>
      </c>
      <c r="E1389" t="n">
        <v>0.3146389167169888</v>
      </c>
    </row>
    <row r="1390">
      <c r="A1390" t="inlineStr">
        <is>
          <t>G|ORIG_BAL x CHANNEL|where N|loan_size|band|1</t>
        </is>
      </c>
      <c r="B1390" t="n">
        <v>1.019382317236298</v>
      </c>
      <c r="C1390" t="n">
        <v>1.001988093739631</v>
      </c>
      <c r="D1390" t="n">
        <v>0.9790267429357684</v>
      </c>
    </row>
    <row r="1391">
      <c r="A1391" t="inlineStr">
        <is>
          <t>G|ORIG_BAL x CHANNEL|where N|loan_size|rate|2</t>
        </is>
      </c>
      <c r="B1391" t="n">
        <v>20809.79956204379</v>
      </c>
      <c r="C1391" t="n">
        <v>20860.57218430034</v>
      </c>
      <c r="D1391" t="n">
        <v>20853.49316666667</v>
      </c>
      <c r="E1391" t="n">
        <v>20842.0769088812</v>
      </c>
    </row>
    <row r="1392">
      <c r="A1392" t="inlineStr">
        <is>
          <t>G|ORIG_BAL x CHANNEL|where N|loan_size|median|2</t>
        </is>
      </c>
      <c r="B1392" t="n">
        <v>20960.76</v>
      </c>
      <c r="C1392" t="n">
        <v>20830.29</v>
      </c>
      <c r="D1392" t="n">
        <v>20934.385</v>
      </c>
      <c r="E1392" t="n">
        <v>20891.92</v>
      </c>
    </row>
    <row r="1393">
      <c r="A1393" t="inlineStr">
        <is>
          <t>G|ORIG_BAL x CHANNEL|where N|loan_size|book|2</t>
        </is>
      </c>
      <c r="B1393" t="n">
        <v>0.645013325950891</v>
      </c>
      <c r="C1393" t="n">
        <v>0.646587056531587</v>
      </c>
      <c r="D1393" t="n">
        <v>0.6463676377575259</v>
      </c>
      <c r="E1393" t="n">
        <v>0.6460137833927991</v>
      </c>
    </row>
    <row r="1394">
      <c r="A1394" t="inlineStr">
        <is>
          <t>G|ORIG_BAL x CHANNEL|where N|loan_size|band|2</t>
        </is>
      </c>
      <c r="B1394" t="n">
        <v>0.9977373854187728</v>
      </c>
      <c r="C1394" t="n">
        <v>1.001340984578871</v>
      </c>
      <c r="D1394" t="n">
        <v>1.000837808369607</v>
      </c>
    </row>
    <row r="1395">
      <c r="A1395" t="inlineStr">
        <is>
          <t>G|ORIG_BAL x CHANNEL|where N|loan_size|rate|3</t>
        </is>
      </c>
      <c r="B1395" t="n">
        <v>31905.71234042554</v>
      </c>
      <c r="C1395" t="n">
        <v>31929.07452459017</v>
      </c>
      <c r="D1395" t="n">
        <v>31922.00208754209</v>
      </c>
      <c r="E1395" t="n">
        <v>31919.24573529412</v>
      </c>
    </row>
    <row r="1396">
      <c r="A1396" t="inlineStr">
        <is>
          <t>G|ORIG_BAL x CHANNEL|where N|loan_size|median|3</t>
        </is>
      </c>
      <c r="B1396" t="n">
        <v>31692.58</v>
      </c>
      <c r="C1396" t="n">
        <v>32147.3</v>
      </c>
      <c r="D1396" t="n">
        <v>31585.87</v>
      </c>
      <c r="E1396" t="n">
        <v>31804.46</v>
      </c>
    </row>
    <row r="1397">
      <c r="A1397" t="inlineStr">
        <is>
          <t>G|ORIG_BAL x CHANNEL|where N|loan_size|book|3</t>
        </is>
      </c>
      <c r="B1397" t="n">
        <v>0.9889383880019013</v>
      </c>
      <c r="C1397" t="n">
        <v>0.9896625141552828</v>
      </c>
      <c r="D1397" t="n">
        <v>0.9894432993507692</v>
      </c>
      <c r="E1397" t="n">
        <v>0.9893578644129817</v>
      </c>
    </row>
    <row r="1398">
      <c r="A1398" t="inlineStr">
        <is>
          <t>G|ORIG_BAL x CHANNEL|where N|loan_size|band|3</t>
        </is>
      </c>
      <c r="B1398" t="n">
        <v>0.9993775224982827</v>
      </c>
      <c r="C1398" t="n">
        <v>1.000470209671027</v>
      </c>
      <c r="D1398" t="n">
        <v>1.00013005146132</v>
      </c>
    </row>
    <row r="1399">
      <c r="A1399" t="inlineStr">
        <is>
          <t>G|ORIG_BAL x CHANNEL|where N|loan_size|rate|4</t>
        </is>
      </c>
      <c r="B1399" t="n">
        <v>43719.51468401487</v>
      </c>
      <c r="C1399" t="n">
        <v>43413.91978723404</v>
      </c>
      <c r="D1399" t="n">
        <v>43558.22283737025</v>
      </c>
      <c r="E1399" t="n">
        <v>43561.43003571428</v>
      </c>
    </row>
    <row r="1400">
      <c r="A1400" t="inlineStr">
        <is>
          <t>G|ORIG_BAL x CHANNEL|where N|loan_size|median|4</t>
        </is>
      </c>
      <c r="B1400" t="n">
        <v>43910.99</v>
      </c>
      <c r="C1400" t="n">
        <v>43497.25999999999</v>
      </c>
      <c r="D1400" t="n">
        <v>43708.25</v>
      </c>
      <c r="E1400" t="n">
        <v>43690.725</v>
      </c>
    </row>
    <row r="1401">
      <c r="A1401" t="inlineStr">
        <is>
          <t>G|ORIG_BAL x CHANNEL|where N|loan_size|book|4</t>
        </is>
      </c>
      <c r="B1401" t="n">
        <v>1.355114905898962</v>
      </c>
      <c r="C1401" t="n">
        <v>1.345642792523793</v>
      </c>
      <c r="D1401" t="n">
        <v>1.350115559790758</v>
      </c>
      <c r="E1401" t="n">
        <v>1.35021496899769</v>
      </c>
    </row>
    <row r="1402">
      <c r="A1402" t="inlineStr">
        <is>
          <t>G|ORIG_BAL x CHANNEL|where N|loan_size|band|4</t>
        </is>
      </c>
      <c r="B1402" t="n">
        <v>1.00534778412727</v>
      </c>
      <c r="C1402" t="n">
        <v>0.9949111158360356</v>
      </c>
      <c r="D1402" t="n">
        <v>0.9998877633727867</v>
      </c>
    </row>
    <row r="1403">
      <c r="A1403" t="inlineStr">
        <is>
          <t>G|ORIG_BAL x CHANNEL|where N|loan_size|rate|5</t>
        </is>
      </c>
      <c r="B1403" t="n">
        <v>54543.69591695502</v>
      </c>
      <c r="C1403" t="n">
        <v>54884.20424460431</v>
      </c>
      <c r="D1403" t="n">
        <v>54694.37453608248</v>
      </c>
      <c r="E1403" t="n">
        <v>54705.12807692308</v>
      </c>
    </row>
    <row r="1404">
      <c r="A1404" t="inlineStr">
        <is>
          <t>G|ORIG_BAL x CHANNEL|where N|loan_size|median|5</t>
        </is>
      </c>
      <c r="B1404" t="n">
        <v>54448.33</v>
      </c>
      <c r="C1404" t="n">
        <v>54870.175</v>
      </c>
      <c r="D1404" t="n">
        <v>54754.19</v>
      </c>
      <c r="E1404" t="n">
        <v>54664.42</v>
      </c>
    </row>
    <row r="1405">
      <c r="A1405" t="inlineStr">
        <is>
          <t>G|ORIG_BAL x CHANNEL|where N|loan_size|book|5</t>
        </is>
      </c>
      <c r="B1405" t="n">
        <v>1.690617471261886</v>
      </c>
      <c r="C1405" t="n">
        <v>1.701171749224834</v>
      </c>
      <c r="D1405" t="n">
        <v>1.695287853452898</v>
      </c>
      <c r="E1405" t="n">
        <v>1.695621166473173</v>
      </c>
    </row>
    <row r="1406">
      <c r="A1406" t="inlineStr">
        <is>
          <t>G|ORIG_BAL x CHANNEL|where N|loan_size|band|5</t>
        </is>
      </c>
      <c r="B1406" t="n">
        <v>0.995556894752294</v>
      </c>
      <c r="C1406" t="n">
        <v>1.004850103379755</v>
      </c>
      <c r="D1406" t="n">
        <v>0.9997025706196115</v>
      </c>
    </row>
    <row r="1407">
      <c r="A1407" t="inlineStr">
        <is>
          <t>G|ORIG_BAL x CHANNEL|where N|loan_size|rate|6</t>
        </is>
      </c>
    </row>
    <row r="1408">
      <c r="A1408" t="inlineStr">
        <is>
          <t>G|ORIG_BAL x CHANNEL|where N|loan_size|median|6</t>
        </is>
      </c>
    </row>
    <row r="1409">
      <c r="A1409" t="inlineStr">
        <is>
          <t>G|ORIG_BAL x CHANNEL|where N|loan_size|book|6</t>
        </is>
      </c>
    </row>
    <row r="1410">
      <c r="A1410" t="inlineStr">
        <is>
          <t>G|ORIG_BAL x CHANNEL|where N|loan_size|band|6</t>
        </is>
      </c>
    </row>
    <row r="1411">
      <c r="A1411" t="inlineStr">
        <is>
          <t>G|ORIG_BAL x CHANNEL|where N|loan_size|rate|7</t>
        </is>
      </c>
      <c r="B1411" t="n">
        <v>32026.25667844523</v>
      </c>
      <c r="C1411" t="n">
        <v>32171.93238327526</v>
      </c>
      <c r="D1411" t="n">
        <v>31956.96881000676</v>
      </c>
      <c r="E1411" t="n">
        <v>32050.87388311388</v>
      </c>
    </row>
    <row r="1412">
      <c r="A1412" t="inlineStr">
        <is>
          <t>G|ORIG_BAL x CHANNEL|where N|loan_size|median|7</t>
        </is>
      </c>
      <c r="B1412" t="n">
        <v>31141.73</v>
      </c>
      <c r="C1412" t="n">
        <v>31928.12</v>
      </c>
      <c r="D1412" t="n">
        <v>31263.76</v>
      </c>
      <c r="E1412" t="n">
        <v>31561.19</v>
      </c>
    </row>
    <row r="1413">
      <c r="A1413" t="inlineStr">
        <is>
          <t>G|ORIG_BAL x CHANNEL|where N|loan_size|book|7</t>
        </is>
      </c>
      <c r="B1413" t="n">
        <v>0.9926747384726886</v>
      </c>
      <c r="C1413" t="n">
        <v>0.9971900520682141</v>
      </c>
      <c r="D1413" t="n">
        <v>0.9905271157463715</v>
      </c>
      <c r="E1413" t="n">
        <v>0.9934377648061041</v>
      </c>
    </row>
    <row r="1414">
      <c r="A1414" t="inlineStr">
        <is>
          <t>G|ORIG_BAL x CHANNEL|where N|loan_size|band|7</t>
        </is>
      </c>
    </row>
    <row r="1415">
      <c r="A1415" t="inlineStr">
        <is>
          <t>G|ORIG_BAL x CHANNEL|where N|loan_size|meta</t>
        </is>
      </c>
      <c r="B1415" t="inlineStr">
        <is>
          <t>size</t>
        </is>
      </c>
      <c r="C1415" t="n">
        <v>1</v>
      </c>
      <c r="E1415" t="n">
        <v>32262.58857732217</v>
      </c>
      <c r="F1415" t="n">
        <v>65</v>
      </c>
    </row>
    <row r="1416">
      <c r="A1416" t="inlineStr">
        <is>
          <t>G|ORIG_BAL x CHANNEL|where Y|cols</t>
        </is>
      </c>
      <c r="B1416" t="inlineStr">
        <is>
          <t>Branch</t>
        </is>
      </c>
      <c r="C1416" t="inlineStr">
        <is>
          <t>Broker</t>
        </is>
      </c>
      <c r="D1416" t="inlineStr">
        <is>
          <t>Online</t>
        </is>
      </c>
      <c r="E1416" t="inlineStr">
        <is>
          <t>All</t>
        </is>
      </c>
    </row>
    <row r="1417">
      <c r="A1417" t="inlineStr">
        <is>
          <t>G|ORIG_BAL x CHANNEL|where Y|heads</t>
        </is>
      </c>
      <c r="B1417" t="inlineStr">
        <is>
          <t>Branch</t>
        </is>
      </c>
      <c r="C1417" t="inlineStr">
        <is>
          <t>Broker</t>
        </is>
      </c>
      <c r="D1417" t="inlineStr">
        <is>
          <t>Online</t>
        </is>
      </c>
      <c r="E1417" t="inlineStr">
        <is>
          <t>All</t>
        </is>
      </c>
    </row>
    <row r="1418">
      <c r="A1418" t="inlineStr">
        <is>
          <t>G|ORIG_BAL x CHANNEL|where Y|segs</t>
        </is>
      </c>
    </row>
    <row r="1419">
      <c r="A1419" t="inlineStr">
        <is>
          <t>G|ORIG_BAL x CHANNEL|where Y|rows</t>
        </is>
      </c>
      <c r="B1419" t="inlineStr">
        <is>
          <t>5,005 - 15,448</t>
        </is>
      </c>
      <c r="C1419" t="inlineStr">
        <is>
          <t>15,449 - 26,323</t>
        </is>
      </c>
      <c r="D1419" t="inlineStr">
        <is>
          <t>26,324 - 37,950</t>
        </is>
      </c>
      <c r="E1419" t="inlineStr">
        <is>
          <t>37,951 - 49,151</t>
        </is>
      </c>
      <c r="F1419" t="inlineStr">
        <is>
          <t>49,152 - 59,984</t>
        </is>
      </c>
      <c r="G1419" t="inlineStr">
        <is>
          <t>(blank)</t>
        </is>
      </c>
      <c r="H1419" t="inlineStr">
        <is>
          <t>All</t>
        </is>
      </c>
    </row>
    <row r="1420">
      <c r="A1420" t="inlineStr">
        <is>
          <t>G|ORIG_BAL x CHANNEL|where Y|names</t>
        </is>
      </c>
      <c r="B1420" t="inlineStr">
        <is>
          <t>ORIG_BAL</t>
        </is>
      </c>
      <c r="C1420" t="inlineStr">
        <is>
          <t>CHANNEL</t>
        </is>
      </c>
    </row>
    <row r="1421">
      <c r="A1421" t="inlineStr">
        <is>
          <t>G|ORIG_BAL x CHANNEL|where Y|total</t>
        </is>
      </c>
      <c r="B1421" t="n">
        <v>3671</v>
      </c>
    </row>
    <row r="1422">
      <c r="A1422" t="inlineStr">
        <is>
          <t>G|ORIG_BAL x CHANNEL|where Y|loans|1</t>
        </is>
      </c>
      <c r="B1422" t="n">
        <v>241</v>
      </c>
      <c r="C1422" t="n">
        <v>237</v>
      </c>
      <c r="D1422" t="n">
        <v>242</v>
      </c>
      <c r="E1422" t="n">
        <v>720</v>
      </c>
    </row>
    <row r="1423">
      <c r="A1423" t="inlineStr">
        <is>
          <t>G|ORIG_BAL x CHANNEL|where Y|loans|2</t>
        </is>
      </c>
      <c r="B1423" t="n">
        <v>251</v>
      </c>
      <c r="C1423" t="n">
        <v>244</v>
      </c>
      <c r="D1423" t="n">
        <v>238</v>
      </c>
      <c r="E1423" t="n">
        <v>733</v>
      </c>
    </row>
    <row r="1424">
      <c r="A1424" t="inlineStr">
        <is>
          <t>G|ORIG_BAL x CHANNEL|where Y|loans|3</t>
        </is>
      </c>
      <c r="B1424" t="n">
        <v>236</v>
      </c>
      <c r="C1424" t="n">
        <v>248</v>
      </c>
      <c r="D1424" t="n">
        <v>231</v>
      </c>
      <c r="E1424" t="n">
        <v>715</v>
      </c>
    </row>
    <row r="1425">
      <c r="A1425" t="inlineStr">
        <is>
          <t>G|ORIG_BAL x CHANNEL|where Y|loans|4</t>
        </is>
      </c>
      <c r="B1425" t="n">
        <v>257</v>
      </c>
      <c r="C1425" t="n">
        <v>249</v>
      </c>
      <c r="D1425" t="n">
        <v>254</v>
      </c>
      <c r="E1425" t="n">
        <v>760</v>
      </c>
    </row>
    <row r="1426">
      <c r="A1426" t="inlineStr">
        <is>
          <t>G|ORIG_BAL x CHANNEL|where Y|loans|5</t>
        </is>
      </c>
      <c r="B1426" t="n">
        <v>226</v>
      </c>
      <c r="C1426" t="n">
        <v>242</v>
      </c>
      <c r="D1426" t="n">
        <v>274</v>
      </c>
      <c r="E1426" t="n">
        <v>742</v>
      </c>
    </row>
    <row r="1427">
      <c r="A1427" t="inlineStr">
        <is>
          <t>G|ORIG_BAL x CHANNEL|where Y|loans|6</t>
        </is>
      </c>
      <c r="B1427" t="n">
        <v>1</v>
      </c>
      <c r="E1427" t="n">
        <v>1</v>
      </c>
    </row>
    <row r="1428">
      <c r="A1428" t="inlineStr">
        <is>
          <t>G|ORIG_BAL x CHANNEL|where Y|loans|7</t>
        </is>
      </c>
      <c r="B1428" t="n">
        <v>1212</v>
      </c>
      <c r="C1428" t="n">
        <v>1220</v>
      </c>
      <c r="D1428" t="n">
        <v>1239</v>
      </c>
      <c r="E1428" t="n">
        <v>3671</v>
      </c>
    </row>
    <row r="1429">
      <c r="A1429" t="inlineStr">
        <is>
          <t>G|ORIG_BAL x CHANNEL|where Y|outcome_loans|rate|1</t>
        </is>
      </c>
      <c r="B1429" t="n">
        <v>0.07468879668049792</v>
      </c>
      <c r="C1429" t="n">
        <v>0.109704641350211</v>
      </c>
      <c r="D1429" t="n">
        <v>0.115702479338843</v>
      </c>
      <c r="E1429" t="n">
        <v>0.1</v>
      </c>
    </row>
    <row r="1430">
      <c r="A1430" t="inlineStr">
        <is>
          <t>G|ORIG_BAL x CHANNEL|where Y|outcome_loans|book|1</t>
        </is>
      </c>
      <c r="B1430" t="n">
        <v>0.9651626569423309</v>
      </c>
      <c r="C1430" t="n">
        <v>1.417653354055473</v>
      </c>
      <c r="D1430" t="n">
        <v>1.495160149000654</v>
      </c>
      <c r="E1430" t="n">
        <v>1.292245557350566</v>
      </c>
    </row>
    <row r="1431">
      <c r="A1431" t="inlineStr">
        <is>
          <t>G|ORIG_BAL x CHANNEL|where Y|outcome_loans|band|1</t>
        </is>
      </c>
      <c r="B1431" t="n">
        <v>0.6625172890733056</v>
      </c>
      <c r="C1431" t="n">
        <v>1.151898734177215</v>
      </c>
      <c r="D1431" t="n">
        <v>1.25694966190834</v>
      </c>
    </row>
    <row r="1432">
      <c r="A1432" t="inlineStr">
        <is>
          <t>G|ORIG_BAL x CHANNEL|where Y|outcome_loans|rate|2</t>
        </is>
      </c>
      <c r="B1432" t="n">
        <v>0.06772908366533864</v>
      </c>
      <c r="C1432" t="n">
        <v>0.1434426229508197</v>
      </c>
      <c r="D1432" t="n">
        <v>0.08823529411764706</v>
      </c>
      <c r="E1432" t="n">
        <v>0.09959072305593451</v>
      </c>
    </row>
    <row r="1433">
      <c r="A1433" t="inlineStr">
        <is>
          <t>G|ORIG_BAL x CHANNEL|where Y|outcome_loans|book|2</t>
        </is>
      </c>
      <c r="B1433" t="n">
        <v>0.875226074699586</v>
      </c>
      <c r="C1433" t="n">
        <v>1.85363092242909</v>
      </c>
      <c r="D1433" t="n">
        <v>1.140216668250499</v>
      </c>
      <c r="E1433" t="n">
        <v>1.286956694223619</v>
      </c>
    </row>
    <row r="1434">
      <c r="A1434" t="inlineStr">
        <is>
          <t>G|ORIG_BAL x CHANNEL|where Y|outcome_loans|band|2</t>
        </is>
      </c>
      <c r="B1434" t="n">
        <v>0.5829538986909504</v>
      </c>
      <c r="C1434" t="n">
        <v>1.845880069025021</v>
      </c>
      <c r="D1434" t="n">
        <v>0.8399321266968327</v>
      </c>
    </row>
    <row r="1435">
      <c r="A1435" t="inlineStr">
        <is>
          <t>G|ORIG_BAL x CHANNEL|where Y|outcome_loans|rate|3</t>
        </is>
      </c>
      <c r="B1435" t="n">
        <v>0.08050847457627118</v>
      </c>
      <c r="C1435" t="n">
        <v>0.0846774193548387</v>
      </c>
      <c r="D1435" t="n">
        <v>0.1038961038961039</v>
      </c>
      <c r="E1435" t="n">
        <v>0.08951048951048951</v>
      </c>
    </row>
    <row r="1436">
      <c r="A1436" t="inlineStr">
        <is>
          <t>G|ORIG_BAL x CHANNEL|where Y|outcome_loans|book|3</t>
        </is>
      </c>
      <c r="B1436" t="n">
        <v>1.040367186002574</v>
      </c>
      <c r="C1436" t="n">
        <v>1.094240189692011</v>
      </c>
      <c r="D1436" t="n">
        <v>1.34259278685773</v>
      </c>
      <c r="E1436" t="n">
        <v>1.156695324062045</v>
      </c>
    </row>
    <row r="1437">
      <c r="A1437" t="inlineStr">
        <is>
          <t>G|ORIG_BAL x CHANNEL|where Y|outcome_loans|band|3</t>
        </is>
      </c>
      <c r="B1437" t="n">
        <v>0.8569679849340865</v>
      </c>
      <c r="C1437" t="n">
        <v>0.9196361590397598</v>
      </c>
      <c r="D1437" t="n">
        <v>1.257142857142857</v>
      </c>
    </row>
    <row r="1438">
      <c r="A1438" t="inlineStr">
        <is>
          <t>G|ORIG_BAL x CHANNEL|where Y|outcome_loans|rate|4</t>
        </is>
      </c>
      <c r="B1438" t="n">
        <v>0.08949416342412451</v>
      </c>
      <c r="C1438" t="n">
        <v>0.1405622489959839</v>
      </c>
      <c r="D1438" t="n">
        <v>0.1299212598425197</v>
      </c>
      <c r="E1438" t="n">
        <v>0.1197368421052632</v>
      </c>
    </row>
    <row r="1439">
      <c r="A1439" t="inlineStr">
        <is>
          <t>G|ORIG_BAL x CHANNEL|where Y|outcome_loans|book|4</t>
        </is>
      </c>
      <c r="B1439" t="n">
        <v>1.156484350936304</v>
      </c>
      <c r="C1439" t="n">
        <v>1.816409417962642</v>
      </c>
      <c r="D1439" t="n">
        <v>1.678901708368845</v>
      </c>
      <c r="E1439" t="n">
        <v>1.547294022617124</v>
      </c>
    </row>
    <row r="1440">
      <c r="A1440" t="inlineStr">
        <is>
          <t>G|ORIG_BAL x CHANNEL|where Y|outcome_loans|band|4</t>
        </is>
      </c>
      <c r="B1440" t="n">
        <v>0.6619935912108034</v>
      </c>
      <c r="C1440" t="n">
        <v>1.282630522088353</v>
      </c>
      <c r="D1440" t="n">
        <v>1.133450991039913</v>
      </c>
    </row>
    <row r="1441">
      <c r="A1441" t="inlineStr">
        <is>
          <t>G|ORIG_BAL x CHANNEL|where Y|outcome_loans|rate|5</t>
        </is>
      </c>
      <c r="B1441" t="n">
        <v>0.07964601769911504</v>
      </c>
      <c r="C1441" t="n">
        <v>0.1033057851239669</v>
      </c>
      <c r="D1441" t="n">
        <v>0.09854014598540146</v>
      </c>
      <c r="E1441" t="n">
        <v>0.09433962264150944</v>
      </c>
    </row>
    <row r="1442">
      <c r="A1442" t="inlineStr">
        <is>
          <t>G|ORIG_BAL x CHANNEL|where Y|outcome_loans|book|5</t>
        </is>
      </c>
      <c r="B1442" t="n">
        <v>1.029222125323459</v>
      </c>
      <c r="C1442" t="n">
        <v>1.334964418750584</v>
      </c>
      <c r="D1442" t="n">
        <v>1.273380658703112</v>
      </c>
      <c r="E1442" t="n">
        <v>1.219099582406194</v>
      </c>
    </row>
    <row r="1443">
      <c r="A1443" t="inlineStr">
        <is>
          <t>G|ORIG_BAL x CHANNEL|where Y|outcome_loans|band|5</t>
        </is>
      </c>
      <c r="B1443" t="n">
        <v>0.7903335602450646</v>
      </c>
      <c r="C1443" t="n">
        <v>1.147842056932966</v>
      </c>
      <c r="D1443" t="n">
        <v>1.072483449329486</v>
      </c>
    </row>
    <row r="1444">
      <c r="A1444" t="inlineStr">
        <is>
          <t>G|ORIG_BAL x CHANNEL|where Y|outcome_loans|rate|6</t>
        </is>
      </c>
      <c r="B1444" t="n">
        <v>0</v>
      </c>
      <c r="E1444" t="n">
        <v>0</v>
      </c>
    </row>
    <row r="1445">
      <c r="A1445" t="inlineStr">
        <is>
          <t>G|ORIG_BAL x CHANNEL|where Y|outcome_loans|book|6</t>
        </is>
      </c>
    </row>
    <row r="1446">
      <c r="A1446" t="inlineStr">
        <is>
          <t>G|ORIG_BAL x CHANNEL|where Y|outcome_loans|band|6</t>
        </is>
      </c>
    </row>
    <row r="1447">
      <c r="A1447" t="inlineStr">
        <is>
          <t>G|ORIG_BAL x CHANNEL|where Y|outcome_loans|rate|7</t>
        </is>
      </c>
      <c r="B1447" t="n">
        <v>0.07838283828382839</v>
      </c>
      <c r="C1447" t="n">
        <v>0.1163934426229508</v>
      </c>
      <c r="D1447" t="n">
        <v>0.1073446327683616</v>
      </c>
      <c r="E1447" t="n">
        <v>0.1007899754835195</v>
      </c>
    </row>
    <row r="1448">
      <c r="A1448" t="inlineStr">
        <is>
          <t>G|ORIG_BAL x CHANNEL|where Y|outcome_loans|book|7</t>
        </is>
      </c>
      <c r="B1448" t="n">
        <v>1.01289874544805</v>
      </c>
      <c r="C1448" t="n">
        <v>1.504089091342461</v>
      </c>
      <c r="D1448" t="n">
        <v>1.387156248003432</v>
      </c>
      <c r="E1448" t="n">
        <v>1.302453980440504</v>
      </c>
    </row>
    <row r="1449">
      <c r="A1449" t="inlineStr">
        <is>
          <t>G|ORIG_BAL x CHANNEL|where Y|outcome_loans|band|7</t>
        </is>
      </c>
    </row>
    <row r="1450">
      <c r="A1450" t="inlineStr">
        <is>
          <t>G|ORIG_BAL x CHANNEL|where Y|outcome_loans|meta</t>
        </is>
      </c>
      <c r="B1450" t="inlineStr">
        <is>
          <t>x</t>
        </is>
      </c>
      <c r="C1450" t="n">
        <v>1.85363092242909</v>
      </c>
      <c r="D1450" t="n">
        <v>10</v>
      </c>
      <c r="E1450" t="n">
        <v>0.07738467308413552</v>
      </c>
      <c r="F1450" t="n">
        <v>65</v>
      </c>
    </row>
    <row r="1451">
      <c r="A1451" t="inlineStr">
        <is>
          <t>G|ORIG_BAL x CHANNEL|where Y|outcome_booked|rate|1</t>
        </is>
      </c>
      <c r="B1451" t="n">
        <v>0.07948539311439064</v>
      </c>
      <c r="C1451" t="n">
        <v>0.0986991994820951</v>
      </c>
      <c r="D1451" t="n">
        <v>0.1167251086094073</v>
      </c>
      <c r="E1451" t="n">
        <v>0.09858878297777601</v>
      </c>
    </row>
    <row r="1452">
      <c r="A1452" t="inlineStr">
        <is>
          <t>G|ORIG_BAL x CHANNEL|where Y|outcome_booked|book|1</t>
        </is>
      </c>
      <c r="B1452" t="n">
        <v>1.06222898501193</v>
      </c>
      <c r="C1452" t="n">
        <v>1.318998955398947</v>
      </c>
      <c r="D1452" t="n">
        <v>1.559894073432344</v>
      </c>
      <c r="E1452" t="n">
        <v>1.31752336841729</v>
      </c>
    </row>
    <row r="1453">
      <c r="A1453" t="inlineStr">
        <is>
          <t>G|ORIG_BAL x CHANNEL|where Y|outcome_booked|band|1</t>
        </is>
      </c>
      <c r="B1453" t="n">
        <v>0.7372610715518236</v>
      </c>
      <c r="C1453" t="n">
        <v>1.001681257989999</v>
      </c>
      <c r="D1453" t="n">
        <v>1.308472415089317</v>
      </c>
    </row>
    <row r="1454">
      <c r="A1454" t="inlineStr">
        <is>
          <t>G|ORIG_BAL x CHANNEL|where Y|outcome_booked|rate|2</t>
        </is>
      </c>
      <c r="B1454" t="n">
        <v>0.0701261461165415</v>
      </c>
      <c r="C1454" t="n">
        <v>0.1388411823720672</v>
      </c>
      <c r="D1454" t="n">
        <v>0.0930022032076228</v>
      </c>
      <c r="E1454" t="n">
        <v>0.1004438193702695</v>
      </c>
    </row>
    <row r="1455">
      <c r="A1455" t="inlineStr">
        <is>
          <t>G|ORIG_BAL x CHANNEL|where Y|outcome_booked|book|2</t>
        </is>
      </c>
      <c r="B1455" t="n">
        <v>0.9371536340641931</v>
      </c>
      <c r="C1455" t="n">
        <v>1.855449441090278</v>
      </c>
      <c r="D1455" t="n">
        <v>1.242865286895345</v>
      </c>
      <c r="E1455" t="n">
        <v>1.342313752501102</v>
      </c>
    </row>
    <row r="1456">
      <c r="A1456" t="inlineStr">
        <is>
          <t>G|ORIG_BAL x CHANNEL|where Y|outcome_booked|band|2</t>
        </is>
      </c>
      <c r="B1456" t="n">
        <v>0.6021785568393638</v>
      </c>
      <c r="C1456" t="n">
        <v>1.711606382504922</v>
      </c>
      <c r="D1456" t="n">
        <v>0.894773050004974</v>
      </c>
    </row>
    <row r="1457">
      <c r="A1457" t="inlineStr">
        <is>
          <t>G|ORIG_BAL x CHANNEL|where Y|outcome_booked|rate|3</t>
        </is>
      </c>
      <c r="B1457" t="n">
        <v>0.07679229604285816</v>
      </c>
      <c r="C1457" t="n">
        <v>0.08351121065616678</v>
      </c>
      <c r="D1457" t="n">
        <v>0.1023946957505104</v>
      </c>
      <c r="E1457" t="n">
        <v>0.08736643485781102</v>
      </c>
    </row>
    <row r="1458">
      <c r="A1458" t="inlineStr">
        <is>
          <t>G|ORIG_BAL x CHANNEL|where Y|outcome_booked|book|3</t>
        </is>
      </c>
      <c r="B1458" t="n">
        <v>1.026238903605204</v>
      </c>
      <c r="C1458" t="n">
        <v>1.116029311256651</v>
      </c>
      <c r="D1458" t="n">
        <v>1.368384925531407</v>
      </c>
      <c r="E1458" t="n">
        <v>1.16754985774011</v>
      </c>
    </row>
    <row r="1459">
      <c r="A1459" t="inlineStr">
        <is>
          <t>G|ORIG_BAL x CHANNEL|where Y|outcome_booked|band|3</t>
        </is>
      </c>
      <c r="B1459" t="n">
        <v>0.8299556267795603</v>
      </c>
      <c r="C1459" t="n">
        <v>0.9335692738757659</v>
      </c>
      <c r="D1459" t="n">
        <v>1.275674390919961</v>
      </c>
    </row>
    <row r="1460">
      <c r="A1460" t="inlineStr">
        <is>
          <t>G|ORIG_BAL x CHANNEL|where Y|outcome_booked|rate|4</t>
        </is>
      </c>
      <c r="B1460" t="n">
        <v>0.08613032467895225</v>
      </c>
      <c r="C1460" t="n">
        <v>0.1362010577104414</v>
      </c>
      <c r="D1460" t="n">
        <v>0.1320577537898996</v>
      </c>
      <c r="E1460" t="n">
        <v>0.1178825890190914</v>
      </c>
    </row>
    <row r="1461">
      <c r="A1461" t="inlineStr">
        <is>
          <t>G|ORIG_BAL x CHANNEL|where Y|outcome_booked|book|4</t>
        </is>
      </c>
      <c r="B1461" t="n">
        <v>1.151030696052598</v>
      </c>
      <c r="C1461" t="n">
        <v>1.820167273766934</v>
      </c>
      <c r="D1461" t="n">
        <v>1.764796879966665</v>
      </c>
      <c r="E1461" t="n">
        <v>1.575362440544532</v>
      </c>
    </row>
    <row r="1462">
      <c r="A1462" t="inlineStr">
        <is>
          <t>G|ORIG_BAL x CHANNEL|where Y|outcome_booked|band|4</t>
        </is>
      </c>
      <c r="B1462" t="n">
        <v>0.6422522180544067</v>
      </c>
      <c r="C1462" t="n">
        <v>1.249891985085895</v>
      </c>
      <c r="D1462" t="n">
        <v>1.192326562245552</v>
      </c>
    </row>
    <row r="1463">
      <c r="A1463" t="inlineStr">
        <is>
          <t>G|ORIG_BAL x CHANNEL|where Y|outcome_booked|rate|5</t>
        </is>
      </c>
      <c r="B1463" t="n">
        <v>0.08057358264485796</v>
      </c>
      <c r="C1463" t="n">
        <v>0.1044077966445302</v>
      </c>
      <c r="D1463" t="n">
        <v>0.09761271814640037</v>
      </c>
      <c r="E1463" t="n">
        <v>0.09465014265829715</v>
      </c>
    </row>
    <row r="1464">
      <c r="A1464" t="inlineStr">
        <is>
          <t>G|ORIG_BAL x CHANNEL|where Y|outcome_booked|book|5</t>
        </is>
      </c>
      <c r="B1464" t="n">
        <v>1.076771360851795</v>
      </c>
      <c r="C1464" t="n">
        <v>1.395287656153924</v>
      </c>
      <c r="D1464" t="n">
        <v>1.304479407577267</v>
      </c>
      <c r="E1464" t="n">
        <v>1.264888063426522</v>
      </c>
    </row>
    <row r="1465">
      <c r="A1465" t="inlineStr">
        <is>
          <t>G|ORIG_BAL x CHANNEL|where Y|outcome_booked|band|5</t>
        </is>
      </c>
      <c r="B1465" t="n">
        <v>0.7992441678856138</v>
      </c>
      <c r="C1465" t="n">
        <v>1.161397746482985</v>
      </c>
      <c r="D1465" t="n">
        <v>1.050448040886291</v>
      </c>
    </row>
    <row r="1466">
      <c r="A1466" t="inlineStr">
        <is>
          <t>G|ORIG_BAL x CHANNEL|where Y|outcome_booked|rate|6</t>
        </is>
      </c>
    </row>
    <row r="1467">
      <c r="A1467" t="inlineStr">
        <is>
          <t>G|ORIG_BAL x CHANNEL|where Y|outcome_booked|book|6</t>
        </is>
      </c>
    </row>
    <row r="1468">
      <c r="A1468" t="inlineStr">
        <is>
          <t>G|ORIG_BAL x CHANNEL|where Y|outcome_booked|band|6</t>
        </is>
      </c>
    </row>
    <row r="1469">
      <c r="A1469" t="inlineStr">
        <is>
          <t>G|ORIG_BAL x CHANNEL|where Y|outcome_booked|rate|7</t>
        </is>
      </c>
      <c r="B1469" t="n">
        <v>0.07994273280547269</v>
      </c>
      <c r="C1469" t="n">
        <v>0.1128943071960848</v>
      </c>
      <c r="D1469" t="n">
        <v>0.1084527276536025</v>
      </c>
      <c r="E1469" t="n">
        <v>0.1006690692129982</v>
      </c>
    </row>
    <row r="1470">
      <c r="A1470" t="inlineStr">
        <is>
          <t>G|ORIG_BAL x CHANNEL|where Y|outcome_booked|book|7</t>
        </is>
      </c>
      <c r="B1470" t="n">
        <v>1.068340793192392</v>
      </c>
      <c r="C1470" t="n">
        <v>1.508699908849178</v>
      </c>
      <c r="D1470" t="n">
        <v>1.44934341145511</v>
      </c>
      <c r="E1470" t="n">
        <v>1.345323952267889</v>
      </c>
    </row>
    <row r="1471">
      <c r="A1471" t="inlineStr">
        <is>
          <t>G|ORIG_BAL x CHANNEL|where Y|outcome_booked|band|7</t>
        </is>
      </c>
    </row>
    <row r="1472">
      <c r="A1472" t="inlineStr">
        <is>
          <t>G|ORIG_BAL x CHANNEL|where Y|outcome_booked|meta</t>
        </is>
      </c>
      <c r="B1472" t="inlineStr">
        <is>
          <t>x</t>
        </is>
      </c>
      <c r="C1472" t="n">
        <v>1.855449441090278</v>
      </c>
      <c r="D1472" t="n">
        <v>10</v>
      </c>
      <c r="E1472" t="n">
        <v>0.07482886857347235</v>
      </c>
      <c r="F1472" t="n">
        <v>65</v>
      </c>
    </row>
    <row r="1473">
      <c r="A1473" t="inlineStr">
        <is>
          <t>G|ORIG_BAL x CHANNEL|where Y|gco_rate|rate|1</t>
        </is>
      </c>
      <c r="B1473" t="n">
        <v>0.0446512583618181</v>
      </c>
      <c r="C1473" t="n">
        <v>0.05593211782335367</v>
      </c>
      <c r="D1473" t="n">
        <v>0.06394499241639874</v>
      </c>
      <c r="E1473" t="n">
        <v>0.05499092105694457</v>
      </c>
    </row>
    <row r="1474">
      <c r="A1474" t="inlineStr">
        <is>
          <t>G|ORIG_BAL x CHANNEL|where Y|gco_rate|book|1</t>
        </is>
      </c>
      <c r="B1474" t="n">
        <v>1.073211719816672</v>
      </c>
      <c r="C1474" t="n">
        <v>1.344351907750936</v>
      </c>
      <c r="D1474" t="n">
        <v>1.536944708898748</v>
      </c>
      <c r="E1474" t="n">
        <v>1.321729848767095</v>
      </c>
    </row>
    <row r="1475">
      <c r="A1475" t="inlineStr">
        <is>
          <t>G|ORIG_BAL x CHANNEL|where Y|gco_rate|band|1</t>
        </is>
      </c>
      <c r="B1475" t="n">
        <v>0.7444007919449788</v>
      </c>
      <c r="C1475" t="n">
        <v>1.025900543190686</v>
      </c>
      <c r="D1475" t="n">
        <v>1.269779595468693</v>
      </c>
    </row>
    <row r="1476">
      <c r="A1476" t="inlineStr">
        <is>
          <t>G|ORIG_BAL x CHANNEL|where Y|gco_rate|rate|2</t>
        </is>
      </c>
      <c r="B1476" t="n">
        <v>0.04026062976799067</v>
      </c>
      <c r="C1476" t="n">
        <v>0.07822796693460864</v>
      </c>
      <c r="D1476" t="n">
        <v>0.05110463775075075</v>
      </c>
      <c r="E1476" t="n">
        <v>0.05643820887369717</v>
      </c>
    </row>
    <row r="1477">
      <c r="A1477" t="inlineStr">
        <is>
          <t>G|ORIG_BAL x CHANNEL|where Y|gco_rate|book|2</t>
        </is>
      </c>
      <c r="B1477" t="n">
        <v>0.967681120296387</v>
      </c>
      <c r="C1477" t="n">
        <v>1.880241991196474</v>
      </c>
      <c r="D1477" t="n">
        <v>1.22832139973889</v>
      </c>
      <c r="E1477" t="n">
        <v>1.356516018381857</v>
      </c>
    </row>
    <row r="1478">
      <c r="A1478" t="inlineStr">
        <is>
          <t>G|ORIG_BAL x CHANNEL|where Y|gco_rate|band|2</t>
        </is>
      </c>
      <c r="B1478" t="n">
        <v>0.6195723891504187</v>
      </c>
      <c r="C1478" t="n">
        <v>1.720396962718227</v>
      </c>
      <c r="D1478" t="n">
        <v>0.8670092150878246</v>
      </c>
    </row>
    <row r="1479">
      <c r="A1479" t="inlineStr">
        <is>
          <t>G|ORIG_BAL x CHANNEL|where Y|gco_rate|rate|3</t>
        </is>
      </c>
      <c r="B1479" t="n">
        <v>0.04394095981399322</v>
      </c>
      <c r="C1479" t="n">
        <v>0.04122141030323061</v>
      </c>
      <c r="D1479" t="n">
        <v>0.05409866833363711</v>
      </c>
      <c r="E1479" t="n">
        <v>0.04624469674154726</v>
      </c>
    </row>
    <row r="1480">
      <c r="A1480" t="inlineStr">
        <is>
          <t>G|ORIG_BAL x CHANNEL|where Y|gco_rate|book|3</t>
        </is>
      </c>
      <c r="B1480" t="n">
        <v>1.056139396346696</v>
      </c>
      <c r="C1480" t="n">
        <v>0.9907738833767878</v>
      </c>
      <c r="D1480" t="n">
        <v>1.300284180384527</v>
      </c>
      <c r="E1480" t="n">
        <v>1.11151067950273</v>
      </c>
    </row>
    <row r="1481">
      <c r="A1481" t="inlineStr">
        <is>
          <t>G|ORIG_BAL x CHANNEL|where Y|gco_rate|band|3</t>
        </is>
      </c>
      <c r="B1481" t="n">
        <v>0.9276362454716982</v>
      </c>
      <c r="C1481" t="n">
        <v>0.8418658771368209</v>
      </c>
      <c r="D1481" t="n">
        <v>1.271877570508461</v>
      </c>
    </row>
    <row r="1482">
      <c r="A1482" t="inlineStr">
        <is>
          <t>G|ORIG_BAL x CHANNEL|where Y|gco_rate|rate|4</t>
        </is>
      </c>
      <c r="B1482" t="n">
        <v>0.04647524182237373</v>
      </c>
      <c r="C1482" t="n">
        <v>0.07424717789214945</v>
      </c>
      <c r="D1482" t="n">
        <v>0.07403579170375833</v>
      </c>
      <c r="E1482" t="n">
        <v>0.06478485971440698</v>
      </c>
    </row>
    <row r="1483">
      <c r="A1483" t="inlineStr">
        <is>
          <t>G|ORIG_BAL x CHANNEL|where Y|gco_rate|book|4</t>
        </is>
      </c>
      <c r="B1483" t="n">
        <v>1.117051927202495</v>
      </c>
      <c r="C1483" t="n">
        <v>1.784562057164912</v>
      </c>
      <c r="D1483" t="n">
        <v>1.779481301479363</v>
      </c>
      <c r="E1483" t="n">
        <v>1.557131271615735</v>
      </c>
    </row>
    <row r="1484">
      <c r="A1484" t="inlineStr">
        <is>
          <t>G|ORIG_BAL x CHANNEL|where Y|gco_rate|band|4</t>
        </is>
      </c>
      <c r="B1484" t="n">
        <v>0.6268551021376745</v>
      </c>
      <c r="C1484" t="n">
        <v>1.233726295292749</v>
      </c>
      <c r="D1484" t="n">
        <v>1.231176654806432</v>
      </c>
    </row>
    <row r="1485">
      <c r="A1485" t="inlineStr">
        <is>
          <t>G|ORIG_BAL x CHANNEL|where Y|gco_rate|rate|5</t>
        </is>
      </c>
      <c r="B1485" t="n">
        <v>0.04060840296759337</v>
      </c>
      <c r="C1485" t="n">
        <v>0.05761656365268954</v>
      </c>
      <c r="D1485" t="n">
        <v>0.05342817172843498</v>
      </c>
      <c r="E1485" t="n">
        <v>0.05089659667225939</v>
      </c>
    </row>
    <row r="1486">
      <c r="A1486" t="inlineStr">
        <is>
          <t>G|ORIG_BAL x CHANNEL|where Y|gco_rate|book|5</t>
        </is>
      </c>
      <c r="B1486" t="n">
        <v>0.9760399949920868</v>
      </c>
      <c r="C1486" t="n">
        <v>1.384838269653458</v>
      </c>
      <c r="D1486" t="n">
        <v>1.284168513296955</v>
      </c>
      <c r="E1486" t="n">
        <v>1.223321045172597</v>
      </c>
    </row>
    <row r="1487">
      <c r="A1487" t="inlineStr">
        <is>
          <t>G|ORIG_BAL x CHANNEL|where Y|gco_rate|band|5</t>
        </is>
      </c>
      <c r="B1487" t="n">
        <v>0.73299965345993</v>
      </c>
      <c r="C1487" t="n">
        <v>1.209818637048589</v>
      </c>
      <c r="D1487" t="n">
        <v>1.081054028606349</v>
      </c>
    </row>
    <row r="1488">
      <c r="A1488" t="inlineStr">
        <is>
          <t>G|ORIG_BAL x CHANNEL|where Y|gco_rate|rate|6</t>
        </is>
      </c>
    </row>
    <row r="1489">
      <c r="A1489" t="inlineStr">
        <is>
          <t>G|ORIG_BAL x CHANNEL|where Y|gco_rate|book|6</t>
        </is>
      </c>
    </row>
    <row r="1490">
      <c r="A1490" t="inlineStr">
        <is>
          <t>G|ORIG_BAL x CHANNEL|where Y|gco_rate|band|6</t>
        </is>
      </c>
    </row>
    <row r="1491">
      <c r="A1491" t="inlineStr">
        <is>
          <t>G|ORIG_BAL x CHANNEL|where Y|gco_rate|rate|7</t>
        </is>
      </c>
      <c r="B1491" t="n">
        <v>0.04315508300661359</v>
      </c>
      <c r="C1491" t="n">
        <v>0.06135421166542902</v>
      </c>
      <c r="D1491" t="n">
        <v>0.05951080006595517</v>
      </c>
      <c r="E1491" t="n">
        <v>0.05481054765254319</v>
      </c>
    </row>
    <row r="1492">
      <c r="A1492" t="inlineStr">
        <is>
          <t>G|ORIG_BAL x CHANNEL|where Y|gco_rate|book|7</t>
        </is>
      </c>
      <c r="B1492" t="n">
        <v>1.037250517713588</v>
      </c>
      <c r="C1492" t="n">
        <v>1.474674207071329</v>
      </c>
      <c r="D1492" t="n">
        <v>1.430367036219162</v>
      </c>
      <c r="E1492" t="n">
        <v>1.317394498350356</v>
      </c>
    </row>
    <row r="1493">
      <c r="A1493" t="inlineStr">
        <is>
          <t>G|ORIG_BAL x CHANNEL|where Y|gco_rate|band|7</t>
        </is>
      </c>
    </row>
    <row r="1494">
      <c r="A1494" t="inlineStr">
        <is>
          <t>G|ORIG_BAL x CHANNEL|where Y|gco_rate|meta</t>
        </is>
      </c>
      <c r="B1494" t="inlineStr">
        <is>
          <t>x</t>
        </is>
      </c>
      <c r="C1494" t="n">
        <v>1.880241991196474</v>
      </c>
      <c r="D1494" t="n">
        <v>10</v>
      </c>
      <c r="E1494" t="n">
        <v>0.04160526533333565</v>
      </c>
      <c r="F1494" t="n">
        <v>65</v>
      </c>
    </row>
    <row r="1495">
      <c r="A1495" t="inlineStr">
        <is>
          <t>G|ORIG_BAL x CHANNEL|where Y|ranr_rate|rate|1</t>
        </is>
      </c>
      <c r="B1495" t="n">
        <v>0.1296814501304714</v>
      </c>
      <c r="C1495" t="n">
        <v>0.1246036885932769</v>
      </c>
      <c r="D1495" t="n">
        <v>0.1379419349644898</v>
      </c>
      <c r="E1495" t="n">
        <v>0.1308043622690213</v>
      </c>
    </row>
    <row r="1496">
      <c r="A1496" t="inlineStr">
        <is>
          <t>G|ORIG_BAL x CHANNEL|where Y|ranr_rate|book|1</t>
        </is>
      </c>
      <c r="B1496" t="n">
        <v>0.169140048</v>
      </c>
      <c r="C1496" t="n">
        <v>-0.338636105</v>
      </c>
      <c r="D1496" t="n">
        <v>0.995188532</v>
      </c>
      <c r="E1496" t="n">
        <v>0.281431262</v>
      </c>
    </row>
    <row r="1497">
      <c r="A1497" t="inlineStr">
        <is>
          <t>G|ORIG_BAL x CHANNEL|where Y|ranr_rate|band|1</t>
        </is>
      </c>
      <c r="B1497" t="n">
        <v>-0.166504427</v>
      </c>
      <c r="C1497" t="n">
        <v>-0.9303006539999999</v>
      </c>
      <c r="D1497" t="n">
        <v>1.082972151</v>
      </c>
    </row>
    <row r="1498">
      <c r="A1498" t="inlineStr">
        <is>
          <t>G|ORIG_BAL x CHANNEL|where Y|ranr_rate|rate|2</t>
        </is>
      </c>
      <c r="B1498" t="n">
        <v>0.1237755866697224</v>
      </c>
      <c r="C1498" t="n">
        <v>0.08821259636861455</v>
      </c>
      <c r="D1498" t="n">
        <v>0.1378485182642591</v>
      </c>
      <c r="E1498" t="n">
        <v>0.1163666258605022</v>
      </c>
    </row>
    <row r="1499">
      <c r="A1499" t="inlineStr">
        <is>
          <t>G|ORIG_BAL x CHANNEL|where Y|ranr_rate|book|2</t>
        </is>
      </c>
      <c r="B1499" t="n">
        <v>-0.421446298</v>
      </c>
      <c r="C1499" t="n">
        <v>-3.977745328</v>
      </c>
      <c r="D1499" t="n">
        <v>0.985846862</v>
      </c>
      <c r="E1499" t="n">
        <v>-1.162342379</v>
      </c>
    </row>
    <row r="1500">
      <c r="A1500" t="inlineStr">
        <is>
          <t>G|ORIG_BAL x CHANNEL|where Y|ranr_rate|band|2</t>
        </is>
      </c>
      <c r="B1500" t="n">
        <v>1.132150868</v>
      </c>
      <c r="C1500" t="n">
        <v>-4.232465264</v>
      </c>
      <c r="D1500" t="n">
        <v>3.157276348</v>
      </c>
    </row>
    <row r="1501">
      <c r="A1501" t="inlineStr">
        <is>
          <t>G|ORIG_BAL x CHANNEL|where Y|ranr_rate|rate|3</t>
        </is>
      </c>
      <c r="B1501" t="n">
        <v>0.1140203172239735</v>
      </c>
      <c r="C1501" t="n">
        <v>0.1218673990813496</v>
      </c>
      <c r="D1501" t="n">
        <v>0.1391925332347572</v>
      </c>
      <c r="E1501" t="n">
        <v>0.1248526978893463</v>
      </c>
    </row>
    <row r="1502">
      <c r="A1502" t="inlineStr">
        <is>
          <t>G|ORIG_BAL x CHANNEL|where Y|ranr_rate|book|3</t>
        </is>
      </c>
      <c r="B1502" t="n">
        <v>-1.396973242</v>
      </c>
      <c r="C1502" t="n">
        <v>-0.612265057</v>
      </c>
      <c r="D1502" t="n">
        <v>1.120248359</v>
      </c>
      <c r="E1502" t="n">
        <v>-0.313735176</v>
      </c>
    </row>
    <row r="1503">
      <c r="A1503" t="inlineStr">
        <is>
          <t>G|ORIG_BAL x CHANNEL|where Y|ranr_rate|band|3</t>
        </is>
      </c>
      <c r="B1503" t="n">
        <v>-1.611773277</v>
      </c>
      <c r="C1503" t="n">
        <v>-0.460156327</v>
      </c>
      <c r="D1503" t="n">
        <v>2.111394983</v>
      </c>
    </row>
    <row r="1504">
      <c r="A1504" t="inlineStr">
        <is>
          <t>G|ORIG_BAL x CHANNEL|where Y|ranr_rate|rate|4</t>
        </is>
      </c>
      <c r="B1504" t="n">
        <v>0.107366918661601</v>
      </c>
      <c r="C1504" t="n">
        <v>0.09230560204538017</v>
      </c>
      <c r="D1504" t="n">
        <v>0.1044076098268792</v>
      </c>
      <c r="E1504" t="n">
        <v>0.1014475073967631</v>
      </c>
    </row>
    <row r="1505">
      <c r="A1505" t="inlineStr">
        <is>
          <t>G|ORIG_BAL x CHANNEL|where Y|ranr_rate|book|4</t>
        </is>
      </c>
      <c r="B1505" t="n">
        <v>-2.062313099</v>
      </c>
      <c r="C1505" t="n">
        <v>-3.56844476</v>
      </c>
      <c r="D1505" t="n">
        <v>-2.358243982</v>
      </c>
      <c r="E1505" t="n">
        <v>-2.654254225</v>
      </c>
    </row>
    <row r="1506">
      <c r="A1506" t="inlineStr">
        <is>
          <t>G|ORIG_BAL x CHANNEL|where Y|ranr_rate|band|4</t>
        </is>
      </c>
      <c r="B1506" t="n">
        <v>0.894398855</v>
      </c>
      <c r="C1506" t="n">
        <v>-1.358963769</v>
      </c>
      <c r="D1506" t="n">
        <v>0.444822329</v>
      </c>
    </row>
    <row r="1507">
      <c r="A1507" t="inlineStr">
        <is>
          <t>G|ORIG_BAL x CHANNEL|where Y|ranr_rate|rate|5</t>
        </is>
      </c>
      <c r="B1507" t="n">
        <v>0.122059684195831</v>
      </c>
      <c r="C1507" t="n">
        <v>0.1000757888598914</v>
      </c>
      <c r="D1507" t="n">
        <v>0.119573307791757</v>
      </c>
      <c r="E1507" t="n">
        <v>0.1139450120628223</v>
      </c>
    </row>
    <row r="1508">
      <c r="A1508" t="inlineStr">
        <is>
          <t>G|ORIG_BAL x CHANNEL|where Y|ranr_rate|book|5</t>
        </is>
      </c>
      <c r="B1508" t="n">
        <v>-0.593036545</v>
      </c>
      <c r="C1508" t="n">
        <v>-2.791426079</v>
      </c>
      <c r="D1508" t="n">
        <v>-0.841674186</v>
      </c>
      <c r="E1508" t="n">
        <v>-1.404503759</v>
      </c>
    </row>
    <row r="1509">
      <c r="A1509" t="inlineStr">
        <is>
          <t>G|ORIG_BAL x CHANNEL|where Y|ranr_rate|band|5</t>
        </is>
      </c>
      <c r="B1509" t="n">
        <v>1.1666909</v>
      </c>
      <c r="C1509" t="n">
        <v>-2.062320421</v>
      </c>
      <c r="D1509" t="n">
        <v>0.890601905</v>
      </c>
    </row>
    <row r="1510">
      <c r="A1510" t="inlineStr">
        <is>
          <t>G|ORIG_BAL x CHANNEL|where Y|ranr_rate|rate|6</t>
        </is>
      </c>
    </row>
    <row r="1511">
      <c r="A1511" t="inlineStr">
        <is>
          <t>G|ORIG_BAL x CHANNEL|where Y|ranr_rate|book|6</t>
        </is>
      </c>
    </row>
    <row r="1512">
      <c r="A1512" t="inlineStr">
        <is>
          <t>G|ORIG_BAL x CHANNEL|where Y|ranr_rate|band|6</t>
        </is>
      </c>
    </row>
    <row r="1513">
      <c r="A1513" t="inlineStr">
        <is>
          <t>G|ORIG_BAL x CHANNEL|where Y|ranr_rate|rate|7</t>
        </is>
      </c>
      <c r="B1513" t="n">
        <v>0.1169453091003141</v>
      </c>
      <c r="C1513" t="n">
        <v>0.1023825193760781</v>
      </c>
      <c r="D1513" t="n">
        <v>0.1223457649562408</v>
      </c>
      <c r="E1513" t="n">
        <v>0.1139361498721039</v>
      </c>
    </row>
    <row r="1514">
      <c r="A1514" t="inlineStr">
        <is>
          <t>G|ORIG_BAL x CHANNEL|where Y|ranr_rate|book|7</t>
        </is>
      </c>
      <c r="B1514" t="n">
        <v>-1.104474055</v>
      </c>
      <c r="C1514" t="n">
        <v>-2.560753027</v>
      </c>
      <c r="D1514" t="n">
        <v>-0.564428469</v>
      </c>
      <c r="E1514" t="n">
        <v>-1.405389978</v>
      </c>
    </row>
    <row r="1515">
      <c r="A1515" t="inlineStr">
        <is>
          <t>G|ORIG_BAL x CHANNEL|where Y|ranr_rate|band|7</t>
        </is>
      </c>
    </row>
    <row r="1516">
      <c r="A1516" t="inlineStr">
        <is>
          <t>G|ORIG_BAL x CHANNEL|where Y|ranr_rate|meta</t>
        </is>
      </c>
      <c r="B1516" t="inlineStr">
        <is>
          <t>pts</t>
        </is>
      </c>
      <c r="C1516" t="n">
        <v>4.232465264</v>
      </c>
      <c r="D1516" t="n">
        <v>10</v>
      </c>
      <c r="E1516" t="n">
        <v>0.1279900496481481</v>
      </c>
      <c r="F1516" t="n">
        <v>65</v>
      </c>
    </row>
    <row r="1517">
      <c r="A1517" t="inlineStr">
        <is>
          <t>G|ORIG_BAL x CHANNEL|where Y|contribution_rate|rate|1</t>
        </is>
      </c>
      <c r="B1517" t="n">
        <v>0.1743327084922897</v>
      </c>
      <c r="C1517" t="n">
        <v>0.1805358064166306</v>
      </c>
      <c r="D1517" t="n">
        <v>0.2018869273808885</v>
      </c>
      <c r="E1517" t="n">
        <v>0.1857952833259659</v>
      </c>
    </row>
    <row r="1518">
      <c r="A1518" t="inlineStr">
        <is>
          <t>G|ORIG_BAL x CHANNEL|where Y|contribution_rate|book|1</t>
        </is>
      </c>
      <c r="B1518" t="n">
        <v>0.474025276</v>
      </c>
      <c r="C1518" t="n">
        <v>1.094335068</v>
      </c>
      <c r="D1518" t="n">
        <v>3.229447165</v>
      </c>
      <c r="E1518" t="n">
        <v>1.620282759</v>
      </c>
    </row>
    <row r="1519">
      <c r="A1519" t="inlineStr">
        <is>
          <t>G|ORIG_BAL x CHANNEL|where Y|contribution_rate|band|1</t>
        </is>
      </c>
      <c r="B1519" t="n">
        <v>-1.699660544</v>
      </c>
      <c r="C1519" t="n">
        <v>-0.789090841</v>
      </c>
      <c r="D1519" t="n">
        <v>2.441558653</v>
      </c>
    </row>
    <row r="1520">
      <c r="A1520" t="inlineStr">
        <is>
          <t>G|ORIG_BAL x CHANNEL|where Y|contribution_rate|rate|2</t>
        </is>
      </c>
      <c r="B1520" t="n">
        <v>0.164036216437713</v>
      </c>
      <c r="C1520" t="n">
        <v>0.1664405633032231</v>
      </c>
      <c r="D1520" t="n">
        <v>0.1889531560150098</v>
      </c>
      <c r="E1520" t="n">
        <v>0.1728048347341993</v>
      </c>
    </row>
    <row r="1521">
      <c r="A1521" t="inlineStr">
        <is>
          <t>G|ORIG_BAL x CHANNEL|where Y|contribution_rate|book|2</t>
        </is>
      </c>
      <c r="B1521" t="n">
        <v>-0.55562393</v>
      </c>
      <c r="C1521" t="n">
        <v>-0.315189243</v>
      </c>
      <c r="D1521" t="n">
        <v>1.936070028</v>
      </c>
      <c r="E1521" t="n">
        <v>0.3212379</v>
      </c>
    </row>
    <row r="1522">
      <c r="A1522" t="inlineStr">
        <is>
          <t>G|ORIG_BAL x CHANNEL|where Y|contribution_rate|band|2</t>
        </is>
      </c>
      <c r="B1522" t="n">
        <v>-1.339917847</v>
      </c>
      <c r="C1522" t="n">
        <v>-0.95675675</v>
      </c>
      <c r="D1522" t="n">
        <v>2.373380887</v>
      </c>
    </row>
    <row r="1523">
      <c r="A1523" t="inlineStr">
        <is>
          <t>G|ORIG_BAL x CHANNEL|where Y|contribution_rate|rate|3</t>
        </is>
      </c>
      <c r="B1523" t="n">
        <v>0.1579612770379667</v>
      </c>
      <c r="C1523" t="n">
        <v>0.1630888093845802</v>
      </c>
      <c r="D1523" t="n">
        <v>0.1932912015683944</v>
      </c>
      <c r="E1523" t="n">
        <v>0.1710973946308936</v>
      </c>
    </row>
    <row r="1524">
      <c r="A1524" t="inlineStr">
        <is>
          <t>G|ORIG_BAL x CHANNEL|where Y|contribution_rate|book|3</t>
        </is>
      </c>
      <c r="B1524" t="n">
        <v>-1.16311787</v>
      </c>
      <c r="C1524" t="n">
        <v>-0.650364635</v>
      </c>
      <c r="D1524" t="n">
        <v>2.369874583</v>
      </c>
      <c r="E1524" t="n">
        <v>0.15049389</v>
      </c>
    </row>
    <row r="1525">
      <c r="A1525" t="inlineStr">
        <is>
          <t>G|ORIG_BAL x CHANNEL|where Y|contribution_rate|band|3</t>
        </is>
      </c>
      <c r="B1525" t="n">
        <v>-1.954551262</v>
      </c>
      <c r="C1525" t="n">
        <v>-1.234449684</v>
      </c>
      <c r="D1525" t="n">
        <v>3.26781246</v>
      </c>
    </row>
    <row r="1526">
      <c r="A1526" t="inlineStr">
        <is>
          <t>G|ORIG_BAL x CHANNEL|where Y|contribution_rate|rate|4</t>
        </is>
      </c>
      <c r="B1526" t="n">
        <v>0.1538421604839745</v>
      </c>
      <c r="C1526" t="n">
        <v>0.1665527799375296</v>
      </c>
      <c r="D1526" t="n">
        <v>0.1784434015306375</v>
      </c>
      <c r="E1526" t="n">
        <v>0.16623236711117</v>
      </c>
    </row>
    <row r="1527">
      <c r="A1527" t="inlineStr">
        <is>
          <t>G|ORIG_BAL x CHANNEL|where Y|contribution_rate|book|4</t>
        </is>
      </c>
      <c r="B1527" t="n">
        <v>-1.575029525</v>
      </c>
      <c r="C1527" t="n">
        <v>-0.30396758</v>
      </c>
      <c r="D1527" t="n">
        <v>0.88509458</v>
      </c>
      <c r="E1527" t="n">
        <v>-0.336008862</v>
      </c>
    </row>
    <row r="1528">
      <c r="A1528" t="inlineStr">
        <is>
          <t>G|ORIG_BAL x CHANNEL|where Y|contribution_rate|band|4</t>
        </is>
      </c>
      <c r="B1528" t="n">
        <v>-1.872109594</v>
      </c>
      <c r="C1528" t="n">
        <v>0.047630051</v>
      </c>
      <c r="D1528" t="n">
        <v>1.834984057</v>
      </c>
    </row>
    <row r="1529">
      <c r="A1529" t="inlineStr">
        <is>
          <t>G|ORIG_BAL x CHANNEL|where Y|contribution_rate|rate|5</t>
        </is>
      </c>
      <c r="B1529" t="n">
        <v>0.1626680871634243</v>
      </c>
      <c r="C1529" t="n">
        <v>0.1576923525125809</v>
      </c>
      <c r="D1529" t="n">
        <v>0.173001479520192</v>
      </c>
      <c r="E1529" t="n">
        <v>0.1648416087350816</v>
      </c>
    </row>
    <row r="1530">
      <c r="A1530" t="inlineStr">
        <is>
          <t>G|ORIG_BAL x CHANNEL|where Y|contribution_rate|book|5</t>
        </is>
      </c>
      <c r="B1530" t="n">
        <v>-0.692436857</v>
      </c>
      <c r="C1530" t="n">
        <v>-1.190010322</v>
      </c>
      <c r="D1530" t="n">
        <v>0.340902379</v>
      </c>
      <c r="E1530" t="n">
        <v>-0.4750847</v>
      </c>
    </row>
    <row r="1531">
      <c r="A1531" t="inlineStr">
        <is>
          <t>G|ORIG_BAL x CHANNEL|where Y|contribution_rate|band|5</t>
        </is>
      </c>
      <c r="B1531" t="n">
        <v>-0.312499112</v>
      </c>
      <c r="C1531" t="n">
        <v>-1.063077354</v>
      </c>
      <c r="D1531" t="n">
        <v>1.291189521</v>
      </c>
    </row>
    <row r="1532">
      <c r="A1532" t="inlineStr">
        <is>
          <t>G|ORIG_BAL x CHANNEL|where Y|contribution_rate|rate|6</t>
        </is>
      </c>
    </row>
    <row r="1533">
      <c r="A1533" t="inlineStr">
        <is>
          <t>G|ORIG_BAL x CHANNEL|where Y|contribution_rate|book|6</t>
        </is>
      </c>
    </row>
    <row r="1534">
      <c r="A1534" t="inlineStr">
        <is>
          <t>G|ORIG_BAL x CHANNEL|where Y|contribution_rate|band|6</t>
        </is>
      </c>
    </row>
    <row r="1535">
      <c r="A1535" t="inlineStr">
        <is>
          <t>G|ORIG_BAL x CHANNEL|where Y|contribution_rate|rate|7</t>
        </is>
      </c>
      <c r="B1535" t="n">
        <v>0.1601003921069276</v>
      </c>
      <c r="C1535" t="n">
        <v>0.1637367310415071</v>
      </c>
      <c r="D1535" t="n">
        <v>0.1818565650221959</v>
      </c>
      <c r="E1535" t="n">
        <v>0.1687466975246471</v>
      </c>
    </row>
    <row r="1536">
      <c r="A1536" t="inlineStr">
        <is>
          <t>G|ORIG_BAL x CHANNEL|where Y|contribution_rate|book|7</t>
        </is>
      </c>
      <c r="B1536" t="n">
        <v>-0.9492063630000001</v>
      </c>
      <c r="C1536" t="n">
        <v>-0.585572469</v>
      </c>
      <c r="D1536" t="n">
        <v>1.226410929</v>
      </c>
      <c r="E1536" t="n">
        <v>-0.084575821</v>
      </c>
    </row>
    <row r="1537">
      <c r="A1537" t="inlineStr">
        <is>
          <t>G|ORIG_BAL x CHANNEL|where Y|contribution_rate|band|7</t>
        </is>
      </c>
    </row>
    <row r="1538">
      <c r="A1538" t="inlineStr">
        <is>
          <t>G|ORIG_BAL x CHANNEL|where Y|contribution_rate|meta</t>
        </is>
      </c>
      <c r="B1538" t="inlineStr">
        <is>
          <t>pts</t>
        </is>
      </c>
      <c r="C1538" t="n">
        <v>3.26781246</v>
      </c>
      <c r="D1538" t="n">
        <v>10</v>
      </c>
      <c r="E1538" t="n">
        <v>0.1695924557349815</v>
      </c>
      <c r="F1538" t="n">
        <v>65</v>
      </c>
    </row>
    <row r="1539">
      <c r="A1539" t="inlineStr">
        <is>
          <t>G|ORIG_BAL x CHANNEL|where Y|loan_size|rate|1</t>
        </is>
      </c>
      <c r="B1539" t="n">
        <v>9862.646680497926</v>
      </c>
      <c r="C1539" t="n">
        <v>10271.83122362869</v>
      </c>
      <c r="D1539" t="n">
        <v>10284.37008264463</v>
      </c>
      <c r="E1539" t="n">
        <v>10139.08251388889</v>
      </c>
    </row>
    <row r="1540">
      <c r="A1540" t="inlineStr">
        <is>
          <t>G|ORIG_BAL x CHANNEL|where Y|loan_size|median|1</t>
        </is>
      </c>
      <c r="B1540" t="n">
        <v>9779.91</v>
      </c>
      <c r="C1540" t="n">
        <v>10387.69</v>
      </c>
      <c r="D1540" t="n">
        <v>10416.175</v>
      </c>
      <c r="E1540" t="n">
        <v>10126.21</v>
      </c>
    </row>
    <row r="1541">
      <c r="A1541" t="inlineStr">
        <is>
          <t>G|ORIG_BAL x CHANNEL|where Y|loan_size|book|1</t>
        </is>
      </c>
      <c r="B1541" t="n">
        <v>0.3056991740405642</v>
      </c>
      <c r="C1541" t="n">
        <v>0.3183821161470257</v>
      </c>
      <c r="D1541" t="n">
        <v>0.3187707662699346</v>
      </c>
      <c r="E1541" t="n">
        <v>0.3142674832054795</v>
      </c>
    </row>
    <row r="1542">
      <c r="A1542" t="inlineStr">
        <is>
          <t>G|ORIG_BAL x CHANNEL|where Y|loan_size|band|1</t>
        </is>
      </c>
      <c r="B1542" t="n">
        <v>0.9595726113342499</v>
      </c>
      <c r="C1542" t="n">
        <v>1.019643374706261</v>
      </c>
      <c r="D1542" t="n">
        <v>1.021741852398449</v>
      </c>
    </row>
    <row r="1543">
      <c r="A1543" t="inlineStr">
        <is>
          <t>G|ORIG_BAL x CHANNEL|where Y|loan_size|rate|2</t>
        </is>
      </c>
      <c r="B1543" t="n">
        <v>21120.34737051793</v>
      </c>
      <c r="C1543" t="n">
        <v>21048.69319672131</v>
      </c>
      <c r="D1543" t="n">
        <v>20599.58743697479</v>
      </c>
      <c r="E1543" t="n">
        <v>20927.40810368349</v>
      </c>
    </row>
    <row r="1544">
      <c r="A1544" t="inlineStr">
        <is>
          <t>G|ORIG_BAL x CHANNEL|where Y|loan_size|median|2</t>
        </is>
      </c>
      <c r="B1544" t="n">
        <v>21102.79</v>
      </c>
      <c r="C1544" t="n">
        <v>21339.26</v>
      </c>
      <c r="D1544" t="n">
        <v>20279.415</v>
      </c>
      <c r="E1544" t="n">
        <v>20862.28</v>
      </c>
    </row>
    <row r="1545">
      <c r="A1545" t="inlineStr">
        <is>
          <t>G|ORIG_BAL x CHANNEL|where Y|loan_size|book|2</t>
        </is>
      </c>
      <c r="B1545" t="n">
        <v>0.6546389580581803</v>
      </c>
      <c r="C1545" t="n">
        <v>0.6524179901521211</v>
      </c>
      <c r="D1545" t="n">
        <v>0.6384976638686249</v>
      </c>
      <c r="E1545" t="n">
        <v>0.6486586794958439</v>
      </c>
    </row>
    <row r="1546">
      <c r="A1546" t="inlineStr">
        <is>
          <t>G|ORIG_BAL x CHANNEL|where Y|loan_size|band|2</t>
        </is>
      </c>
      <c r="B1546" t="n">
        <v>1.014088092243103</v>
      </c>
      <c r="C1546" t="n">
        <v>1.008712540772043</v>
      </c>
      <c r="D1546" t="n">
        <v>0.9769770513480476</v>
      </c>
    </row>
    <row r="1547">
      <c r="A1547" t="inlineStr">
        <is>
          <t>G|ORIG_BAL x CHANNEL|where Y|loan_size|rate|3</t>
        </is>
      </c>
      <c r="B1547" t="n">
        <v>32160.84385593221</v>
      </c>
      <c r="C1547" t="n">
        <v>32781.19713709677</v>
      </c>
      <c r="D1547" t="n">
        <v>32147.00601731602</v>
      </c>
      <c r="E1547" t="n">
        <v>32371.54465734266</v>
      </c>
    </row>
    <row r="1548">
      <c r="A1548" t="inlineStr">
        <is>
          <t>G|ORIG_BAL x CHANNEL|where Y|loan_size|median|3</t>
        </is>
      </c>
      <c r="B1548" t="n">
        <v>32103.67</v>
      </c>
      <c r="C1548" t="n">
        <v>33171.675</v>
      </c>
      <c r="D1548" t="n">
        <v>31921.86</v>
      </c>
      <c r="E1548" t="n">
        <v>32470.82</v>
      </c>
    </row>
    <row r="1549">
      <c r="A1549" t="inlineStr">
        <is>
          <t>G|ORIG_BAL x CHANNEL|where Y|loan_size|book|3</t>
        </is>
      </c>
      <c r="B1549" t="n">
        <v>0.9968463559225537</v>
      </c>
      <c r="C1549" t="n">
        <v>1.016074610954781</v>
      </c>
      <c r="D1549" t="n">
        <v>0.9964174430787183</v>
      </c>
      <c r="E1549" t="n">
        <v>1.003377164847122</v>
      </c>
    </row>
    <row r="1550">
      <c r="A1550" t="inlineStr">
        <is>
          <t>G|ORIG_BAL x CHANNEL|where Y|loan_size|band|3</t>
        </is>
      </c>
      <c r="B1550" t="n">
        <v>0.9903153751538084</v>
      </c>
      <c r="C1550" t="n">
        <v>1.019506068959419</v>
      </c>
      <c r="D1550" t="n">
        <v>0.9897870081450348</v>
      </c>
    </row>
    <row r="1551">
      <c r="A1551" t="inlineStr">
        <is>
          <t>G|ORIG_BAL x CHANNEL|where Y|loan_size|rate|4</t>
        </is>
      </c>
      <c r="B1551" t="n">
        <v>43562.2626848249</v>
      </c>
      <c r="C1551" t="n">
        <v>43515.25365461847</v>
      </c>
      <c r="D1551" t="n">
        <v>43604.16846456692</v>
      </c>
      <c r="E1551" t="n">
        <v>43560.86639473684</v>
      </c>
    </row>
    <row r="1552">
      <c r="A1552" t="inlineStr">
        <is>
          <t>G|ORIG_BAL x CHANNEL|where Y|loan_size|median|4</t>
        </is>
      </c>
      <c r="B1552" t="n">
        <v>43482.13</v>
      </c>
      <c r="C1552" t="n">
        <v>43151.59</v>
      </c>
      <c r="D1552" t="n">
        <v>43539.425</v>
      </c>
      <c r="E1552" t="n">
        <v>43474.215</v>
      </c>
    </row>
    <row r="1553">
      <c r="A1553" t="inlineStr">
        <is>
          <t>G|ORIG_BAL x CHANNEL|where Y|loan_size|book|4</t>
        </is>
      </c>
      <c r="B1553" t="n">
        <v>1.350240777500583</v>
      </c>
      <c r="C1553" t="n">
        <v>1.348783701913056</v>
      </c>
      <c r="D1553" t="n">
        <v>1.35153967450761</v>
      </c>
      <c r="E1553" t="n">
        <v>1.350197498577544</v>
      </c>
    </row>
    <row r="1554">
      <c r="A1554" t="inlineStr">
        <is>
          <t>G|ORIG_BAL x CHANNEL|where Y|loan_size|band|4</t>
        </is>
      </c>
      <c r="B1554" t="n">
        <v>1.000048431940044</v>
      </c>
      <c r="C1554" t="n">
        <v>0.9984434581166237</v>
      </c>
      <c r="D1554" t="n">
        <v>1.001493798389701</v>
      </c>
    </row>
    <row r="1555">
      <c r="A1555" t="inlineStr">
        <is>
          <t>G|ORIG_BAL x CHANNEL|where Y|loan_size|rate|5</t>
        </is>
      </c>
      <c r="B1555" t="n">
        <v>54465.80230088496</v>
      </c>
      <c r="C1555" t="n">
        <v>54710.98888429752</v>
      </c>
      <c r="D1555" t="n">
        <v>54303.06540145985</v>
      </c>
      <c r="E1555" t="n">
        <v>54485.67459568733</v>
      </c>
    </row>
    <row r="1556">
      <c r="A1556" t="inlineStr">
        <is>
          <t>G|ORIG_BAL x CHANNEL|where Y|loan_size|median|5</t>
        </is>
      </c>
      <c r="B1556" t="n">
        <v>54202.61500000001</v>
      </c>
      <c r="C1556" t="n">
        <v>54773.2</v>
      </c>
      <c r="D1556" t="n">
        <v>53998.745</v>
      </c>
      <c r="E1556" t="n">
        <v>54283.705</v>
      </c>
    </row>
    <row r="1557">
      <c r="A1557" t="inlineStr">
        <is>
          <t>G|ORIG_BAL x CHANNEL|where Y|loan_size|book|5</t>
        </is>
      </c>
      <c r="B1557" t="n">
        <v>1.688203107768288</v>
      </c>
      <c r="C1557" t="n">
        <v>1.695802826024774</v>
      </c>
      <c r="D1557" t="n">
        <v>1.683158971305553</v>
      </c>
      <c r="E1557" t="n">
        <v>1.688819062522035</v>
      </c>
    </row>
    <row r="1558">
      <c r="A1558" t="inlineStr">
        <is>
          <t>G|ORIG_BAL x CHANNEL|where Y|loan_size|band|5</t>
        </is>
      </c>
      <c r="B1558" t="n">
        <v>0.9994756146837154</v>
      </c>
      <c r="C1558" t="n">
        <v>1.00614908372473</v>
      </c>
      <c r="D1558" t="n">
        <v>0.9946966899415484</v>
      </c>
    </row>
    <row r="1559">
      <c r="A1559" t="inlineStr">
        <is>
          <t>G|ORIG_BAL x CHANNEL|where Y|loan_size|rate|6</t>
        </is>
      </c>
    </row>
    <row r="1560">
      <c r="A1560" t="inlineStr">
        <is>
          <t>G|ORIG_BAL x CHANNEL|where Y|loan_size|median|6</t>
        </is>
      </c>
    </row>
    <row r="1561">
      <c r="A1561" t="inlineStr">
        <is>
          <t>G|ORIG_BAL x CHANNEL|where Y|loan_size|book|6</t>
        </is>
      </c>
    </row>
    <row r="1562">
      <c r="A1562" t="inlineStr">
        <is>
          <t>G|ORIG_BAL x CHANNEL|where Y|loan_size|band|6</t>
        </is>
      </c>
    </row>
    <row r="1563">
      <c r="A1563" t="inlineStr">
        <is>
          <t>G|ORIG_BAL x CHANNEL|where Y|loan_size|rate|7</t>
        </is>
      </c>
      <c r="B1563" t="n">
        <v>32017.20645747317</v>
      </c>
      <c r="C1563" t="n">
        <v>32602.78647540984</v>
      </c>
      <c r="D1563" t="n">
        <v>32907.16422114609</v>
      </c>
      <c r="E1563" t="n">
        <v>32512.31961580381</v>
      </c>
    </row>
    <row r="1564">
      <c r="A1564" t="inlineStr">
        <is>
          <t>G|ORIG_BAL x CHANNEL|where Y|loan_size|median|7</t>
        </is>
      </c>
      <c r="B1564" t="n">
        <v>31923.05</v>
      </c>
      <c r="C1564" t="n">
        <v>33360.735</v>
      </c>
      <c r="D1564" t="n">
        <v>33331.65</v>
      </c>
      <c r="E1564" t="n">
        <v>32864.335</v>
      </c>
    </row>
    <row r="1565">
      <c r="A1565" t="inlineStr">
        <is>
          <t>G|ORIG_BAL x CHANNEL|where Y|loan_size|book|7</t>
        </is>
      </c>
      <c r="B1565" t="n">
        <v>0.9923942209639842</v>
      </c>
      <c r="C1565" t="n">
        <v>1.010544655995979</v>
      </c>
      <c r="D1565" t="n">
        <v>1.019979042979738</v>
      </c>
      <c r="E1565" t="n">
        <v>1.007740576608821</v>
      </c>
    </row>
    <row r="1566">
      <c r="A1566" t="inlineStr">
        <is>
          <t>G|ORIG_BAL x CHANNEL|where Y|loan_size|band|7</t>
        </is>
      </c>
    </row>
    <row r="1567">
      <c r="A1567" t="inlineStr">
        <is>
          <t>G|ORIG_BAL x CHANNEL|where Y|loan_size|meta</t>
        </is>
      </c>
      <c r="B1567" t="inlineStr">
        <is>
          <t>size</t>
        </is>
      </c>
      <c r="C1567" t="n">
        <v>1</v>
      </c>
      <c r="E1567" t="n">
        <v>32262.58857732217</v>
      </c>
      <c r="F1567" t="n">
        <v>65</v>
      </c>
    </row>
    <row r="1568">
      <c r="A1568" t="inlineStr">
        <is>
          <t>G|ORIG_BAL x ASSET_CLASS|cols</t>
        </is>
      </c>
      <c r="B1568" t="inlineStr">
        <is>
          <t>1</t>
        </is>
      </c>
      <c r="C1568" t="inlineStr">
        <is>
          <t>2</t>
        </is>
      </c>
      <c r="D1568" t="inlineStr">
        <is>
          <t>3</t>
        </is>
      </c>
      <c r="E1568" t="inlineStr">
        <is>
          <t>4</t>
        </is>
      </c>
      <c r="F1568" t="inlineStr">
        <is>
          <t>All</t>
        </is>
      </c>
    </row>
    <row r="1569">
      <c r="A1569" t="inlineStr">
        <is>
          <t>G|ORIG_BAL x ASSET_CLASS|heads</t>
        </is>
      </c>
      <c r="B1569" t="inlineStr">
        <is>
          <t>1</t>
        </is>
      </c>
      <c r="C1569" t="inlineStr">
        <is>
          <t>2</t>
        </is>
      </c>
      <c r="D1569" t="inlineStr">
        <is>
          <t>3</t>
        </is>
      </c>
      <c r="E1569" t="inlineStr">
        <is>
          <t>4</t>
        </is>
      </c>
      <c r="F1569" t="inlineStr">
        <is>
          <t>All</t>
        </is>
      </c>
    </row>
    <row r="1570">
      <c r="A1570" t="inlineStr">
        <is>
          <t>G|ORIG_BAL x ASSET_CLASS|segs</t>
        </is>
      </c>
    </row>
    <row r="1571">
      <c r="A1571" t="inlineStr">
        <is>
          <t>G|ORIG_BAL x ASSET_CLASS|rows</t>
        </is>
      </c>
      <c r="B1571" t="inlineStr">
        <is>
          <t>5,005 - 15,448</t>
        </is>
      </c>
      <c r="C1571" t="inlineStr">
        <is>
          <t>15,449 - 26,323</t>
        </is>
      </c>
      <c r="D1571" t="inlineStr">
        <is>
          <t>26,324 - 37,950</t>
        </is>
      </c>
      <c r="E1571" t="inlineStr">
        <is>
          <t>37,951 - 49,151</t>
        </is>
      </c>
      <c r="F1571" t="inlineStr">
        <is>
          <t>49,152 - 59,984</t>
        </is>
      </c>
      <c r="G1571" t="inlineStr">
        <is>
          <t>(blank)</t>
        </is>
      </c>
      <c r="H1571" t="inlineStr">
        <is>
          <t>All</t>
        </is>
      </c>
    </row>
    <row r="1572">
      <c r="A1572" t="inlineStr">
        <is>
          <t>G|ORIG_BAL x ASSET_CLASS|names</t>
        </is>
      </c>
      <c r="B1572" t="inlineStr">
        <is>
          <t>ORIG_BAL</t>
        </is>
      </c>
      <c r="C1572" t="inlineStr">
        <is>
          <t>ASSET_CLASS</t>
        </is>
      </c>
    </row>
    <row r="1573">
      <c r="A1573" t="inlineStr">
        <is>
          <t>G|ORIG_BAL x ASSET_CLASS|total</t>
        </is>
      </c>
      <c r="B1573" t="n">
        <v>8000</v>
      </c>
    </row>
    <row r="1574">
      <c r="A1574" t="inlineStr">
        <is>
          <t>G|ORIG_BAL x ASSET_CLASS|loans|1</t>
        </is>
      </c>
      <c r="B1574" t="n">
        <v>417</v>
      </c>
      <c r="C1574" t="n">
        <v>404</v>
      </c>
      <c r="D1574" t="n">
        <v>354</v>
      </c>
      <c r="E1574" t="n">
        <v>425</v>
      </c>
      <c r="F1574" t="n">
        <v>1600</v>
      </c>
    </row>
    <row r="1575">
      <c r="A1575" t="inlineStr">
        <is>
          <t>G|ORIG_BAL x ASSET_CLASS|loans|2</t>
        </is>
      </c>
      <c r="B1575" t="n">
        <v>404</v>
      </c>
      <c r="C1575" t="n">
        <v>356</v>
      </c>
      <c r="D1575" t="n">
        <v>427</v>
      </c>
      <c r="E1575" t="n">
        <v>413</v>
      </c>
      <c r="F1575" t="n">
        <v>1600</v>
      </c>
    </row>
    <row r="1576">
      <c r="A1576" t="inlineStr">
        <is>
          <t>G|ORIG_BAL x ASSET_CLASS|loans|3</t>
        </is>
      </c>
      <c r="B1576" t="n">
        <v>388</v>
      </c>
      <c r="C1576" t="n">
        <v>432</v>
      </c>
      <c r="D1576" t="n">
        <v>367</v>
      </c>
      <c r="E1576" t="n">
        <v>412</v>
      </c>
      <c r="F1576" t="n">
        <v>1599</v>
      </c>
    </row>
    <row r="1577">
      <c r="A1577" t="inlineStr">
        <is>
          <t>G|ORIG_BAL x ASSET_CLASS|loans|4</t>
        </is>
      </c>
      <c r="B1577" t="n">
        <v>384</v>
      </c>
      <c r="C1577" t="n">
        <v>420</v>
      </c>
      <c r="D1577" t="n">
        <v>382</v>
      </c>
      <c r="E1577" t="n">
        <v>414</v>
      </c>
      <c r="F1577" t="n">
        <v>1600</v>
      </c>
    </row>
    <row r="1578">
      <c r="A1578" t="inlineStr">
        <is>
          <t>G|ORIG_BAL x ASSET_CLASS|loans|5</t>
        </is>
      </c>
      <c r="B1578" t="n">
        <v>413</v>
      </c>
      <c r="C1578" t="n">
        <v>398</v>
      </c>
      <c r="D1578" t="n">
        <v>405</v>
      </c>
      <c r="E1578" t="n">
        <v>384</v>
      </c>
      <c r="F1578" t="n">
        <v>1600</v>
      </c>
    </row>
    <row r="1579">
      <c r="A1579" t="inlineStr">
        <is>
          <t>G|ORIG_BAL x ASSET_CLASS|loans|6</t>
        </is>
      </c>
      <c r="C1579" t="n">
        <v>1</v>
      </c>
      <c r="F1579" t="n">
        <v>1</v>
      </c>
    </row>
    <row r="1580">
      <c r="A1580" t="inlineStr">
        <is>
          <t>G|ORIG_BAL x ASSET_CLASS|loans|7</t>
        </is>
      </c>
      <c r="B1580" t="n">
        <v>2006</v>
      </c>
      <c r="C1580" t="n">
        <v>2011</v>
      </c>
      <c r="D1580" t="n">
        <v>1935</v>
      </c>
      <c r="E1580" t="n">
        <v>2048</v>
      </c>
      <c r="F1580" t="n">
        <v>8000</v>
      </c>
    </row>
    <row r="1581">
      <c r="A1581" t="inlineStr">
        <is>
          <t>G|ORIG_BAL x ASSET_CLASS|outcome_loans|rate|1</t>
        </is>
      </c>
      <c r="B1581" t="n">
        <v>0.06235011990407674</v>
      </c>
      <c r="C1581" t="n">
        <v>0.06683168316831684</v>
      </c>
      <c r="D1581" t="n">
        <v>0.08192090395480225</v>
      </c>
      <c r="E1581" t="n">
        <v>0.09647058823529411</v>
      </c>
      <c r="F1581" t="n">
        <v>0.076875</v>
      </c>
    </row>
    <row r="1582">
      <c r="A1582" t="inlineStr">
        <is>
          <t>G|ORIG_BAL x ASSET_CLASS|outcome_loans|book|1</t>
        </is>
      </c>
      <c r="B1582" t="n">
        <v>0.8057166544631823</v>
      </c>
      <c r="C1582" t="n">
        <v>0.8636294566451799</v>
      </c>
      <c r="D1582" t="n">
        <v>1.058619241897356</v>
      </c>
      <c r="E1582" t="n">
        <v>1.246636890620545</v>
      </c>
      <c r="F1582" t="n">
        <v>0.9934137722132471</v>
      </c>
    </row>
    <row r="1583">
      <c r="A1583" t="inlineStr">
        <is>
          <t>G|ORIG_BAL x ASSET_CLASS|outcome_loans|band|1</t>
        </is>
      </c>
      <c r="B1583" t="n">
        <v>0.7604143489332246</v>
      </c>
      <c r="C1583" t="n">
        <v>0.8326113861386139</v>
      </c>
      <c r="D1583" t="n">
        <v>1.085887726890251</v>
      </c>
      <c r="E1583" t="n">
        <v>1.382352941176471</v>
      </c>
    </row>
    <row r="1584">
      <c r="A1584" t="inlineStr">
        <is>
          <t>G|ORIG_BAL x ASSET_CLASS|outcome_loans|rate|2</t>
        </is>
      </c>
      <c r="B1584" t="n">
        <v>0.09405940594059406</v>
      </c>
      <c r="C1584" t="n">
        <v>0.06179775280898876</v>
      </c>
      <c r="D1584" t="n">
        <v>0.09836065573770492</v>
      </c>
      <c r="E1584" t="n">
        <v>0.1138014527845036</v>
      </c>
      <c r="F1584" t="n">
        <v>0.093125</v>
      </c>
    </row>
    <row r="1585">
      <c r="A1585" t="inlineStr">
        <is>
          <t>G|ORIG_BAL x ASSET_CLASS|outcome_loans|book|2</t>
        </is>
      </c>
      <c r="B1585" t="n">
        <v>1.21547849453766</v>
      </c>
      <c r="C1585" t="n">
        <v>0.7985787152166415</v>
      </c>
      <c r="D1585" t="n">
        <v>1.271061203951376</v>
      </c>
      <c r="E1585" t="n">
        <v>1.470594217808149</v>
      </c>
      <c r="F1585" t="n">
        <v>1.203403675282714</v>
      </c>
    </row>
    <row r="1586">
      <c r="A1586" t="inlineStr">
        <is>
          <t>G|ORIG_BAL x ASSET_CLASS|outcome_loans|band|2</t>
        </is>
      </c>
      <c r="B1586" t="n">
        <v>1.013468914459013</v>
      </c>
      <c r="C1586" t="n">
        <v>0.6053260196408032</v>
      </c>
      <c r="D1586" t="n">
        <v>1.078290179255401</v>
      </c>
      <c r="E1586" t="n">
        <v>1.324336514266724</v>
      </c>
    </row>
    <row r="1587">
      <c r="A1587" t="inlineStr">
        <is>
          <t>G|ORIG_BAL x ASSET_CLASS|outcome_loans|rate|3</t>
        </is>
      </c>
      <c r="B1587" t="n">
        <v>0.06701030927835051</v>
      </c>
      <c r="C1587" t="n">
        <v>0.05336426914153132</v>
      </c>
      <c r="D1587" t="n">
        <v>0.05449591280653951</v>
      </c>
      <c r="E1587" t="n">
        <v>0.09951456310679611</v>
      </c>
      <c r="F1587" t="n">
        <v>0.06883604505632041</v>
      </c>
    </row>
    <row r="1588">
      <c r="A1588" t="inlineStr">
        <is>
          <t>G|ORIG_BAL x ASSET_CLASS|outcome_loans|book|3</t>
        </is>
      </c>
      <c r="B1588" t="n">
        <v>0.8659377446163582</v>
      </c>
      <c r="C1588" t="n">
        <v>0.6895973971940372</v>
      </c>
      <c r="D1588" t="n">
        <v>0.7042210121801447</v>
      </c>
      <c r="E1588" t="n">
        <v>1.285972520664397</v>
      </c>
      <c r="F1588" t="n">
        <v>0.8895307340961339</v>
      </c>
    </row>
    <row r="1589">
      <c r="A1589" t="inlineStr">
        <is>
          <t>G|ORIG_BAL x ASSET_CLASS|outcome_loans|band|3</t>
        </is>
      </c>
      <c r="B1589" t="n">
        <v>0.9652675503190967</v>
      </c>
      <c r="C1589" t="n">
        <v>0.7158172653812305</v>
      </c>
      <c r="D1589" t="n">
        <v>0.7453829851650015</v>
      </c>
      <c r="E1589" t="n">
        <v>1.710496693400872</v>
      </c>
    </row>
    <row r="1590">
      <c r="A1590" t="inlineStr">
        <is>
          <t>G|ORIG_BAL x ASSET_CLASS|outcome_loans|rate|4</t>
        </is>
      </c>
      <c r="B1590" t="n">
        <v>0.05208333333333334</v>
      </c>
      <c r="C1590" t="n">
        <v>0.06190476190476191</v>
      </c>
      <c r="D1590" t="n">
        <v>0.0968586387434555</v>
      </c>
      <c r="E1590" t="n">
        <v>0.1231884057971015</v>
      </c>
      <c r="F1590" t="n">
        <v>0.08375</v>
      </c>
    </row>
    <row r="1591">
      <c r="A1591" t="inlineStr">
        <is>
          <t>G|ORIG_BAL x ASSET_CLASS|outcome_loans|book|4</t>
        </is>
      </c>
      <c r="B1591" t="n">
        <v>0.6730445611200861</v>
      </c>
      <c r="C1591" t="n">
        <v>0.799961535502731</v>
      </c>
      <c r="D1591" t="n">
        <v>1.251651456072537</v>
      </c>
      <c r="E1591" t="n">
        <v>1.59189670108403</v>
      </c>
      <c r="F1591" t="n">
        <v>1.082255654281099</v>
      </c>
    </row>
    <row r="1592">
      <c r="A1592" t="inlineStr">
        <is>
          <t>G|ORIG_BAL x ASSET_CLASS|outcome_loans|band|4</t>
        </is>
      </c>
      <c r="B1592" t="n">
        <v>0.5555555555555556</v>
      </c>
      <c r="C1592" t="n">
        <v>0.6763668430335097</v>
      </c>
      <c r="D1592" t="n">
        <v>1.216224968964214</v>
      </c>
      <c r="E1592" t="n">
        <v>1.760258425004366</v>
      </c>
    </row>
    <row r="1593">
      <c r="A1593" t="inlineStr">
        <is>
          <t>G|ORIG_BAL x ASSET_CLASS|outcome_loans|rate|5</t>
        </is>
      </c>
      <c r="B1593" t="n">
        <v>0.06295399515738499</v>
      </c>
      <c r="C1593" t="n">
        <v>0.06030150753768844</v>
      </c>
      <c r="D1593" t="n">
        <v>0.04938271604938271</v>
      </c>
      <c r="E1593" t="n">
        <v>0.0859375</v>
      </c>
      <c r="F1593" t="n">
        <v>0.064375</v>
      </c>
    </row>
    <row r="1594">
      <c r="A1594" t="inlineStr">
        <is>
          <t>G|ORIG_BAL x ASSET_CLASS|outcome_loans|book|5</t>
        </is>
      </c>
      <c r="B1594" t="n">
        <v>0.8135202055959977</v>
      </c>
      <c r="C1594" t="n">
        <v>0.7792435521711952</v>
      </c>
      <c r="D1594" t="n">
        <v>0.6381459542471928</v>
      </c>
      <c r="E1594" t="n">
        <v>1.110523525848142</v>
      </c>
      <c r="F1594" t="n">
        <v>0.8318830775444265</v>
      </c>
    </row>
    <row r="1595">
      <c r="A1595" t="inlineStr">
        <is>
          <t>G|ORIG_BAL x ASSET_CLASS|outcome_loans|band|5</t>
        </is>
      </c>
      <c r="B1595" t="n">
        <v>0.970472626646961</v>
      </c>
      <c r="C1595" t="n">
        <v>0.9174988868392596</v>
      </c>
      <c r="D1595" t="n">
        <v>0.7109921166146065</v>
      </c>
      <c r="E1595" t="n">
        <v>1.492857142857143</v>
      </c>
    </row>
    <row r="1596">
      <c r="A1596" t="inlineStr">
        <is>
          <t>G|ORIG_BAL x ASSET_CLASS|outcome_loans|rate|6</t>
        </is>
      </c>
      <c r="C1596" t="n">
        <v>0</v>
      </c>
      <c r="F1596" t="n">
        <v>0</v>
      </c>
    </row>
    <row r="1597">
      <c r="A1597" t="inlineStr">
        <is>
          <t>G|ORIG_BAL x ASSET_CLASS|outcome_loans|book|6</t>
        </is>
      </c>
    </row>
    <row r="1598">
      <c r="A1598" t="inlineStr">
        <is>
          <t>G|ORIG_BAL x ASSET_CLASS|outcome_loans|band|6</t>
        </is>
      </c>
    </row>
    <row r="1599">
      <c r="A1599" t="inlineStr">
        <is>
          <t>G|ORIG_BAL x ASSET_CLASS|outcome_loans|rate|7</t>
        </is>
      </c>
      <c r="B1599" t="n">
        <v>0.06779661016949153</v>
      </c>
      <c r="C1599" t="n">
        <v>0.06069651741293532</v>
      </c>
      <c r="D1599" t="n">
        <v>0.07648578811369509</v>
      </c>
      <c r="E1599" t="n">
        <v>0.10400390625</v>
      </c>
      <c r="F1599" t="n">
        <v>0.07738467308413552</v>
      </c>
    </row>
    <row r="1600">
      <c r="A1600" t="inlineStr">
        <is>
          <t>G|ORIG_BAL x ASSET_CLASS|outcome_loans|book|7</t>
        </is>
      </c>
      <c r="B1600" t="n">
        <v>0.8760986829495359</v>
      </c>
      <c r="C1600" t="n">
        <v>0.784348049735169</v>
      </c>
      <c r="D1600" t="n">
        <v>0.9883841989037917</v>
      </c>
      <c r="E1600" t="n">
        <v>1.343985857986672</v>
      </c>
      <c r="F1600" t="n">
        <v>1</v>
      </c>
    </row>
    <row r="1601">
      <c r="A1601" t="inlineStr">
        <is>
          <t>G|ORIG_BAL x ASSET_CLASS|outcome_loans|band|7</t>
        </is>
      </c>
    </row>
    <row r="1602">
      <c r="A1602" t="inlineStr">
        <is>
          <t>G|ORIG_BAL x ASSET_CLASS|outcome_loans|meta</t>
        </is>
      </c>
      <c r="B1602" t="inlineStr">
        <is>
          <t>x</t>
        </is>
      </c>
      <c r="C1602" t="n">
        <v>1.760258425004366</v>
      </c>
      <c r="D1602" t="n">
        <v>10</v>
      </c>
      <c r="E1602" t="n">
        <v>0.07738467308413552</v>
      </c>
      <c r="F1602" t="n">
        <v>65</v>
      </c>
    </row>
    <row r="1603">
      <c r="A1603" t="inlineStr">
        <is>
          <t>G|ORIG_BAL x ASSET_CLASS|outcome_booked|rate|1</t>
        </is>
      </c>
      <c r="B1603" t="n">
        <v>0.06159312716859232</v>
      </c>
      <c r="C1603" t="n">
        <v>0.06335027854409166</v>
      </c>
      <c r="D1603" t="n">
        <v>0.0772159794425423</v>
      </c>
      <c r="E1603" t="n">
        <v>0.100048562735548</v>
      </c>
      <c r="F1603" t="n">
        <v>0.07557453391360711</v>
      </c>
    </row>
    <row r="1604">
      <c r="A1604" t="inlineStr">
        <is>
          <t>G|ORIG_BAL x ASSET_CLASS|outcome_booked|book|1</t>
        </is>
      </c>
      <c r="B1604" t="n">
        <v>0.8231198512391747</v>
      </c>
      <c r="C1604" t="n">
        <v>0.8466021169609135</v>
      </c>
      <c r="D1604" t="n">
        <v>1.03190093495435</v>
      </c>
      <c r="E1604" t="n">
        <v>1.337031611500489</v>
      </c>
      <c r="F1604" t="n">
        <v>1.009964942065142</v>
      </c>
    </row>
    <row r="1605">
      <c r="A1605" t="inlineStr">
        <is>
          <t>G|ORIG_BAL x ASSET_CLASS|outcome_booked|band|1</t>
        </is>
      </c>
      <c r="B1605" t="n">
        <v>0.7648073422268861</v>
      </c>
      <c r="C1605" t="n">
        <v>0.7939162699597196</v>
      </c>
      <c r="D1605" t="n">
        <v>1.027958419708674</v>
      </c>
      <c r="E1605" t="n">
        <v>1.496936474351225</v>
      </c>
    </row>
    <row r="1606">
      <c r="A1606" t="inlineStr">
        <is>
          <t>G|ORIG_BAL x ASSET_CLASS|outcome_booked|rate|2</t>
        </is>
      </c>
      <c r="B1606" t="n">
        <v>0.09500769304133913</v>
      </c>
      <c r="C1606" t="n">
        <v>0.0630994851011092</v>
      </c>
      <c r="D1606" t="n">
        <v>0.1007157042828881</v>
      </c>
      <c r="E1606" t="n">
        <v>0.1120522412356989</v>
      </c>
      <c r="F1606" t="n">
        <v>0.09377887022910673</v>
      </c>
    </row>
    <row r="1607">
      <c r="A1607" t="inlineStr">
        <is>
          <t>G|ORIG_BAL x ASSET_CLASS|outcome_booked|book|2</t>
        </is>
      </c>
      <c r="B1607" t="n">
        <v>1.269666304630195</v>
      </c>
      <c r="C1607" t="n">
        <v>0.8432505569578885</v>
      </c>
      <c r="D1607" t="n">
        <v>1.345947175240238</v>
      </c>
      <c r="E1607" t="n">
        <v>1.49744668564216</v>
      </c>
      <c r="F1607" t="n">
        <v>1.253244530044282</v>
      </c>
    </row>
    <row r="1608">
      <c r="A1608" t="inlineStr">
        <is>
          <t>G|ORIG_BAL x ASSET_CLASS|outcome_booked|band|2</t>
        </is>
      </c>
      <c r="B1608" t="n">
        <v>1.017579450518085</v>
      </c>
      <c r="C1608" t="n">
        <v>0.6145855137555094</v>
      </c>
      <c r="D1608" t="n">
        <v>1.103209314998397</v>
      </c>
      <c r="E1608" t="n">
        <v>1.282768045363396</v>
      </c>
    </row>
    <row r="1609">
      <c r="A1609" t="inlineStr">
        <is>
          <t>G|ORIG_BAL x ASSET_CLASS|outcome_booked|rate|3</t>
        </is>
      </c>
      <c r="B1609" t="n">
        <v>0.06610481658734428</v>
      </c>
      <c r="C1609" t="n">
        <v>0.05298171919623473</v>
      </c>
      <c r="D1609" t="n">
        <v>0.05443458258166008</v>
      </c>
      <c r="E1609" t="n">
        <v>0.09853094093699255</v>
      </c>
      <c r="F1609" t="n">
        <v>0.06822026696935882</v>
      </c>
    </row>
    <row r="1610">
      <c r="A1610" t="inlineStr">
        <is>
          <t>G|ORIG_BAL x ASSET_CLASS|outcome_booked|book|3</t>
        </is>
      </c>
      <c r="B1610" t="n">
        <v>0.8834132848398989</v>
      </c>
      <c r="C1610" t="n">
        <v>0.7080384911100651</v>
      </c>
      <c r="D1610" t="n">
        <v>0.7274543049947668</v>
      </c>
      <c r="E1610" t="n">
        <v>1.316750377432846</v>
      </c>
      <c r="F1610" t="n">
        <v>0.911683796239352</v>
      </c>
    </row>
    <row r="1611">
      <c r="A1611" t="inlineStr">
        <is>
          <t>G|ORIG_BAL x ASSET_CLASS|outcome_booked|band|3</t>
        </is>
      </c>
      <c r="B1611" t="n">
        <v>0.9594698355545536</v>
      </c>
      <c r="C1611" t="n">
        <v>0.71695430053061</v>
      </c>
      <c r="D1611" t="n">
        <v>0.7528171359346884</v>
      </c>
      <c r="E1611" t="n">
        <v>1.707245307730205</v>
      </c>
    </row>
    <row r="1612">
      <c r="A1612" t="inlineStr">
        <is>
          <t>G|ORIG_BAL x ASSET_CLASS|outcome_booked|rate|4</t>
        </is>
      </c>
      <c r="B1612" t="n">
        <v>0.05153897170066326</v>
      </c>
      <c r="C1612" t="n">
        <v>0.06184553381985863</v>
      </c>
      <c r="D1612" t="n">
        <v>0.09542846063213327</v>
      </c>
      <c r="E1612" t="n">
        <v>0.122436458703013</v>
      </c>
      <c r="F1612" t="n">
        <v>0.08308928618120671</v>
      </c>
    </row>
    <row r="1613">
      <c r="A1613" t="inlineStr">
        <is>
          <t>G|ORIG_BAL x ASSET_CLASS|outcome_booked|book|4</t>
        </is>
      </c>
      <c r="B1613" t="n">
        <v>0.6887578642199915</v>
      </c>
      <c r="C1613" t="n">
        <v>0.8264929698774511</v>
      </c>
      <c r="D1613" t="n">
        <v>1.275289369615882</v>
      </c>
      <c r="E1613" t="n">
        <v>1.636219563881233</v>
      </c>
      <c r="F1613" t="n">
        <v>1.110390785871949</v>
      </c>
    </row>
    <row r="1614">
      <c r="A1614" t="inlineStr">
        <is>
          <t>G|ORIG_BAL x ASSET_CLASS|outcome_booked|band|4</t>
        </is>
      </c>
      <c r="B1614" t="n">
        <v>0.5539507937480281</v>
      </c>
      <c r="C1614" t="n">
        <v>0.6822277092854625</v>
      </c>
      <c r="D1614" t="n">
        <v>1.204533091203828</v>
      </c>
      <c r="E1614" t="n">
        <v>1.766188562147983</v>
      </c>
    </row>
    <row r="1615">
      <c r="A1615" t="inlineStr">
        <is>
          <t>G|ORIG_BAL x ASSET_CLASS|outcome_booked|rate|5</t>
        </is>
      </c>
      <c r="B1615" t="n">
        <v>0.06324026464407033</v>
      </c>
      <c r="C1615" t="n">
        <v>0.0609452094879577</v>
      </c>
      <c r="D1615" t="n">
        <v>0.04890502502359838</v>
      </c>
      <c r="E1615" t="n">
        <v>0.0868866799235171</v>
      </c>
      <c r="F1615" t="n">
        <v>0.06473600628619965</v>
      </c>
    </row>
    <row r="1616">
      <c r="A1616" t="inlineStr">
        <is>
          <t>G|ORIG_BAL x ASSET_CLASS|outcome_booked|book|5</t>
        </is>
      </c>
      <c r="B1616" t="n">
        <v>0.8451319103131502</v>
      </c>
      <c r="C1616" t="n">
        <v>0.8144611919144191</v>
      </c>
      <c r="D1616" t="n">
        <v>0.6535582584090514</v>
      </c>
      <c r="E1616" t="n">
        <v>1.161138496143444</v>
      </c>
      <c r="F1616" t="n">
        <v>0.8651207417714354</v>
      </c>
    </row>
    <row r="1617">
      <c r="A1617" t="inlineStr">
        <is>
          <t>G|ORIG_BAL x ASSET_CLASS|outcome_booked|band|5</t>
        </is>
      </c>
      <c r="B1617" t="n">
        <v>0.9691172409974351</v>
      </c>
      <c r="C1617" t="n">
        <v>0.923558470540621</v>
      </c>
      <c r="D1617" t="n">
        <v>0.6976779333954026</v>
      </c>
      <c r="E1617" t="n">
        <v>1.505495894710763</v>
      </c>
    </row>
    <row r="1618">
      <c r="A1618" t="inlineStr">
        <is>
          <t>G|ORIG_BAL x ASSET_CLASS|outcome_booked|rate|6</t>
        </is>
      </c>
    </row>
    <row r="1619">
      <c r="A1619" t="inlineStr">
        <is>
          <t>G|ORIG_BAL x ASSET_CLASS|outcome_booked|book|6</t>
        </is>
      </c>
    </row>
    <row r="1620">
      <c r="A1620" t="inlineStr">
        <is>
          <t>G|ORIG_BAL x ASSET_CLASS|outcome_booked|band|6</t>
        </is>
      </c>
    </row>
    <row r="1621">
      <c r="A1621" t="inlineStr">
        <is>
          <t>G|ORIG_BAL x ASSET_CLASS|outcome_booked|rate|7</t>
        </is>
      </c>
      <c r="B1621" t="n">
        <v>0.06479266841209205</v>
      </c>
      <c r="C1621" t="n">
        <v>0.05990447229803187</v>
      </c>
      <c r="D1621" t="n">
        <v>0.07111558928800162</v>
      </c>
      <c r="E1621" t="n">
        <v>0.1032953749844734</v>
      </c>
      <c r="F1621" t="n">
        <v>0.07482886857347225</v>
      </c>
    </row>
    <row r="1622">
      <c r="A1622" t="inlineStr">
        <is>
          <t>G|ORIG_BAL x ASSET_CLASS|outcome_booked|book|7</t>
        </is>
      </c>
      <c r="B1622" t="n">
        <v>0.8658779645782558</v>
      </c>
      <c r="C1622" t="n">
        <v>0.8005529609099109</v>
      </c>
      <c r="D1622" t="n">
        <v>0.9503763807169586</v>
      </c>
      <c r="E1622" t="n">
        <v>1.380421446343942</v>
      </c>
      <c r="F1622" t="n">
        <v>0.9999999999999987</v>
      </c>
    </row>
    <row r="1623">
      <c r="A1623" t="inlineStr">
        <is>
          <t>G|ORIG_BAL x ASSET_CLASS|outcome_booked|band|7</t>
        </is>
      </c>
    </row>
    <row r="1624">
      <c r="A1624" t="inlineStr">
        <is>
          <t>G|ORIG_BAL x ASSET_CLASS|outcome_booked|meta</t>
        </is>
      </c>
      <c r="B1624" t="inlineStr">
        <is>
          <t>x</t>
        </is>
      </c>
      <c r="C1624" t="n">
        <v>1.766188562147983</v>
      </c>
      <c r="D1624" t="n">
        <v>10</v>
      </c>
      <c r="E1624" t="n">
        <v>0.07482886857347235</v>
      </c>
      <c r="F1624" t="n">
        <v>65</v>
      </c>
    </row>
    <row r="1625">
      <c r="A1625" t="inlineStr">
        <is>
          <t>G|ORIG_BAL x ASSET_CLASS|gco_rate|rate|1</t>
        </is>
      </c>
      <c r="B1625" t="n">
        <v>0.03283146319913356</v>
      </c>
      <c r="C1625" t="n">
        <v>0.03528342542722491</v>
      </c>
      <c r="D1625" t="n">
        <v>0.04589589159754918</v>
      </c>
      <c r="E1625" t="n">
        <v>0.05215126423873779</v>
      </c>
      <c r="F1625" t="n">
        <v>0.04139745179629655</v>
      </c>
    </row>
    <row r="1626">
      <c r="A1626" t="inlineStr">
        <is>
          <t>G|ORIG_BAL x ASSET_CLASS|gco_rate|book|1</t>
        </is>
      </c>
      <c r="B1626" t="n">
        <v>0.7891179862955422</v>
      </c>
      <c r="C1626" t="n">
        <v>0.8480519267102126</v>
      </c>
      <c r="D1626" t="n">
        <v>1.103127001590727</v>
      </c>
      <c r="E1626" t="n">
        <v>1.253477506294193</v>
      </c>
      <c r="F1626" t="n">
        <v>0.995005114487935</v>
      </c>
    </row>
    <row r="1627">
      <c r="A1627" t="inlineStr">
        <is>
          <t>G|ORIG_BAL x ASSET_CLASS|gco_rate|band|1</t>
        </is>
      </c>
      <c r="B1627" t="n">
        <v>0.7388470693004106</v>
      </c>
      <c r="C1627" t="n">
        <v>0.8109609142062252</v>
      </c>
      <c r="D1627" t="n">
        <v>1.143382981592577</v>
      </c>
      <c r="E1627" t="n">
        <v>1.388568780382755</v>
      </c>
    </row>
    <row r="1628">
      <c r="A1628" t="inlineStr">
        <is>
          <t>G|ORIG_BAL x ASSET_CLASS|gco_rate|rate|2</t>
        </is>
      </c>
      <c r="B1628" t="n">
        <v>0.05479327214857932</v>
      </c>
      <c r="C1628" t="n">
        <v>0.03430330474833616</v>
      </c>
      <c r="D1628" t="n">
        <v>0.05821876574501091</v>
      </c>
      <c r="E1628" t="n">
        <v>0.06273803182793203</v>
      </c>
      <c r="F1628" t="n">
        <v>0.05316017920478749</v>
      </c>
    </row>
    <row r="1629">
      <c r="A1629" t="inlineStr">
        <is>
          <t>G|ORIG_BAL x ASSET_CLASS|gco_rate|book|2</t>
        </is>
      </c>
      <c r="B1629" t="n">
        <v>1.316979274367876</v>
      </c>
      <c r="C1629" t="n">
        <v>0.8244943151666697</v>
      </c>
      <c r="D1629" t="n">
        <v>1.399312449483742</v>
      </c>
      <c r="E1629" t="n">
        <v>1.50793490500021</v>
      </c>
      <c r="F1629" t="n">
        <v>1.277727200604911</v>
      </c>
    </row>
    <row r="1630">
      <c r="A1630" t="inlineStr">
        <is>
          <t>G|ORIG_BAL x ASSET_CLASS|gco_rate|band|2</t>
        </is>
      </c>
      <c r="B1630" t="n">
        <v>1.041460341846746</v>
      </c>
      <c r="C1630" t="n">
        <v>0.5851305808967144</v>
      </c>
      <c r="D1630" t="n">
        <v>1.133815158672301</v>
      </c>
      <c r="E1630" t="n">
        <v>1.260013977986451</v>
      </c>
    </row>
    <row r="1631">
      <c r="A1631" t="inlineStr">
        <is>
          <t>G|ORIG_BAL x ASSET_CLASS|gco_rate|rate|3</t>
        </is>
      </c>
      <c r="B1631" t="n">
        <v>0.03610668619158509</v>
      </c>
      <c r="C1631" t="n">
        <v>0.02813352095832473</v>
      </c>
      <c r="D1631" t="n">
        <v>0.03147978163360925</v>
      </c>
      <c r="E1631" t="n">
        <v>0.05387336475321401</v>
      </c>
      <c r="F1631" t="n">
        <v>0.03745072983796681</v>
      </c>
    </row>
    <row r="1632">
      <c r="A1632" t="inlineStr">
        <is>
          <t>G|ORIG_BAL x ASSET_CLASS|gco_rate|book|3</t>
        </is>
      </c>
      <c r="B1632" t="n">
        <v>0.8678393444268004</v>
      </c>
      <c r="C1632" t="n">
        <v>0.6762009743940541</v>
      </c>
      <c r="D1632" t="n">
        <v>0.7566297530227863</v>
      </c>
      <c r="E1632" t="n">
        <v>1.294868914345048</v>
      </c>
      <c r="F1632" t="n">
        <v>0.9001439971099026</v>
      </c>
    </row>
    <row r="1633">
      <c r="A1633" t="inlineStr">
        <is>
          <t>G|ORIG_BAL x ASSET_CLASS|gco_rate|band|3</t>
        </is>
      </c>
      <c r="B1633" t="n">
        <v>0.9531752233587916</v>
      </c>
      <c r="C1633" t="n">
        <v>0.6873293826115112</v>
      </c>
      <c r="D1633" t="n">
        <v>0.8026560627618921</v>
      </c>
      <c r="E1633" t="n">
        <v>1.696076466137317</v>
      </c>
    </row>
    <row r="1634">
      <c r="A1634" t="inlineStr">
        <is>
          <t>G|ORIG_BAL x ASSET_CLASS|gco_rate|rate|4</t>
        </is>
      </c>
      <c r="B1634" t="n">
        <v>0.0298348592435414</v>
      </c>
      <c r="C1634" t="n">
        <v>0.03478787457424267</v>
      </c>
      <c r="D1634" t="n">
        <v>0.05335130250834706</v>
      </c>
      <c r="E1634" t="n">
        <v>0.06846243951895585</v>
      </c>
      <c r="F1634" t="n">
        <v>0.04676588351390013</v>
      </c>
    </row>
    <row r="1635">
      <c r="A1635" t="inlineStr">
        <is>
          <t>G|ORIG_BAL x ASSET_CLASS|gco_rate|book|4</t>
        </is>
      </c>
      <c r="B1635" t="n">
        <v>0.7170933535577437</v>
      </c>
      <c r="C1635" t="n">
        <v>0.8361411541430398</v>
      </c>
      <c r="D1635" t="n">
        <v>1.282320929356027</v>
      </c>
      <c r="E1635" t="n">
        <v>1.645523444459355</v>
      </c>
      <c r="F1635" t="n">
        <v>1.124037622142734</v>
      </c>
    </row>
    <row r="1636">
      <c r="A1636" t="inlineStr">
        <is>
          <t>G|ORIG_BAL x ASSET_CLASS|gco_rate|band|4</t>
        </is>
      </c>
      <c r="B1636" t="n">
        <v>0.5727282750834974</v>
      </c>
      <c r="C1636" t="n">
        <v>0.681667389442232</v>
      </c>
      <c r="D1636" t="n">
        <v>1.193496810785595</v>
      </c>
      <c r="E1636" t="n">
        <v>1.747881588717982</v>
      </c>
    </row>
    <row r="1637">
      <c r="A1637" t="inlineStr">
        <is>
          <t>G|ORIG_BAL x ASSET_CLASS|gco_rate|rate|5</t>
        </is>
      </c>
      <c r="B1637" t="n">
        <v>0.03577416403630683</v>
      </c>
      <c r="C1637" t="n">
        <v>0.03274575516062664</v>
      </c>
      <c r="D1637" t="n">
        <v>0.02585489295906459</v>
      </c>
      <c r="E1637" t="n">
        <v>0.04840469196655259</v>
      </c>
      <c r="F1637" t="n">
        <v>0.03555289463498783</v>
      </c>
    </row>
    <row r="1638">
      <c r="A1638" t="inlineStr">
        <is>
          <t>G|ORIG_BAL x ASSET_CLASS|gco_rate|book|5</t>
        </is>
      </c>
      <c r="B1638" t="n">
        <v>0.8598470349771636</v>
      </c>
      <c r="C1638" t="n">
        <v>0.7870579576472393</v>
      </c>
      <c r="D1638" t="n">
        <v>0.6214331948593225</v>
      </c>
      <c r="E1638" t="n">
        <v>1.163427070558038</v>
      </c>
      <c r="F1638" t="n">
        <v>0.8545287321242382</v>
      </c>
    </row>
    <row r="1639">
      <c r="A1639" t="inlineStr">
        <is>
          <t>G|ORIG_BAL x ASSET_CLASS|gco_rate|band|5</t>
        </is>
      </c>
      <c r="B1639" t="n">
        <v>1.008403556060723</v>
      </c>
      <c r="C1639" t="n">
        <v>0.8976072147098674</v>
      </c>
      <c r="D1639" t="n">
        <v>0.6657296163645642</v>
      </c>
      <c r="E1639" t="n">
        <v>1.537723430764651</v>
      </c>
    </row>
    <row r="1640">
      <c r="A1640" t="inlineStr">
        <is>
          <t>G|ORIG_BAL x ASSET_CLASS|gco_rate|rate|6</t>
        </is>
      </c>
    </row>
    <row r="1641">
      <c r="A1641" t="inlineStr">
        <is>
          <t>G|ORIG_BAL x ASSET_CLASS|gco_rate|book|6</t>
        </is>
      </c>
    </row>
    <row r="1642">
      <c r="A1642" t="inlineStr">
        <is>
          <t>G|ORIG_BAL x ASSET_CLASS|gco_rate|band|6</t>
        </is>
      </c>
    </row>
    <row r="1643">
      <c r="A1643" t="inlineStr">
        <is>
          <t>G|ORIG_BAL x ASSET_CLASS|gco_rate|rate|7</t>
        </is>
      </c>
      <c r="B1643" t="n">
        <v>0.03658802020131283</v>
      </c>
      <c r="C1643" t="n">
        <v>0.03267264405351186</v>
      </c>
      <c r="D1643" t="n">
        <v>0.03985339591963971</v>
      </c>
      <c r="E1643" t="n">
        <v>0.05721698514012345</v>
      </c>
      <c r="F1643" t="n">
        <v>0.04160526533333563</v>
      </c>
    </row>
    <row r="1644">
      <c r="A1644" t="inlineStr">
        <is>
          <t>G|ORIG_BAL x ASSET_CLASS|gco_rate|book|7</t>
        </is>
      </c>
      <c r="B1644" t="n">
        <v>0.8794084092043316</v>
      </c>
      <c r="C1644" t="n">
        <v>0.7853007015276346</v>
      </c>
      <c r="D1644" t="n">
        <v>0.9578930839724203</v>
      </c>
      <c r="E1644" t="n">
        <v>1.375234232535446</v>
      </c>
      <c r="F1644" t="n">
        <v>0.9999999999999994</v>
      </c>
    </row>
    <row r="1645">
      <c r="A1645" t="inlineStr">
        <is>
          <t>G|ORIG_BAL x ASSET_CLASS|gco_rate|band|7</t>
        </is>
      </c>
    </row>
    <row r="1646">
      <c r="A1646" t="inlineStr">
        <is>
          <t>G|ORIG_BAL x ASSET_CLASS|gco_rate|meta</t>
        </is>
      </c>
      <c r="B1646" t="inlineStr">
        <is>
          <t>x</t>
        </is>
      </c>
      <c r="C1646" t="n">
        <v>1.747881588717982</v>
      </c>
      <c r="D1646" t="n">
        <v>10</v>
      </c>
      <c r="E1646" t="n">
        <v>0.04160526533333565</v>
      </c>
      <c r="F1646" t="n">
        <v>65</v>
      </c>
    </row>
    <row r="1647">
      <c r="A1647" t="inlineStr">
        <is>
          <t>G|ORIG_BAL x ASSET_CLASS|ranr_rate|rate|1</t>
        </is>
      </c>
      <c r="B1647" t="n">
        <v>0.1628492627009603</v>
      </c>
      <c r="C1647" t="n">
        <v>0.140606734996523</v>
      </c>
      <c r="D1647" t="n">
        <v>0.1432613490537175</v>
      </c>
      <c r="E1647" t="n">
        <v>0.1393497515662889</v>
      </c>
      <c r="F1647" t="n">
        <v>0.1466798967561384</v>
      </c>
    </row>
    <row r="1648">
      <c r="A1648" t="inlineStr">
        <is>
          <t>G|ORIG_BAL x ASSET_CLASS|ranr_rate|book|1</t>
        </is>
      </c>
      <c r="B1648" t="n">
        <v>3.485921305</v>
      </c>
      <c r="C1648" t="n">
        <v>1.261668535</v>
      </c>
      <c r="D1648" t="n">
        <v>1.527129941</v>
      </c>
      <c r="E1648" t="n">
        <v>1.135970192</v>
      </c>
      <c r="F1648" t="n">
        <v>1.868984711</v>
      </c>
    </row>
    <row r="1649">
      <c r="A1649" t="inlineStr">
        <is>
          <t>G|ORIG_BAL x ASSET_CLASS|ranr_rate|band|1</t>
        </is>
      </c>
      <c r="B1649" t="n">
        <v>2.190514264</v>
      </c>
      <c r="C1649" t="n">
        <v>-0.816977259</v>
      </c>
      <c r="D1649" t="n">
        <v>-0.437380509</v>
      </c>
      <c r="E1649" t="n">
        <v>-0.9947534810000001</v>
      </c>
    </row>
    <row r="1650">
      <c r="A1650" t="inlineStr">
        <is>
          <t>G|ORIG_BAL x ASSET_CLASS|ranr_rate|rate|2</t>
        </is>
      </c>
      <c r="B1650" t="n">
        <v>0.127064421179836</v>
      </c>
      <c r="C1650" t="n">
        <v>0.1280604573540226</v>
      </c>
      <c r="D1650" t="n">
        <v>0.1118381240527463</v>
      </c>
      <c r="E1650" t="n">
        <v>0.1108767580785904</v>
      </c>
      <c r="F1650" t="n">
        <v>0.1190597270318928</v>
      </c>
    </row>
    <row r="1651">
      <c r="A1651" t="inlineStr">
        <is>
          <t>G|ORIG_BAL x ASSET_CLASS|ranr_rate|book|2</t>
        </is>
      </c>
      <c r="B1651" t="n">
        <v>-0.092562847</v>
      </c>
      <c r="C1651" t="n">
        <v>0.007040771</v>
      </c>
      <c r="D1651" t="n">
        <v>-1.61519256</v>
      </c>
      <c r="E1651" t="n">
        <v>-1.711329157</v>
      </c>
      <c r="F1651" t="n">
        <v>-0.893032262</v>
      </c>
    </row>
    <row r="1652">
      <c r="A1652" t="inlineStr">
        <is>
          <t>G|ORIG_BAL x ASSET_CLASS|ranr_rate|band|2</t>
        </is>
      </c>
      <c r="B1652" t="n">
        <v>1.069180965</v>
      </c>
      <c r="C1652" t="n">
        <v>1.160920896</v>
      </c>
      <c r="D1652" t="n">
        <v>-0.980912961</v>
      </c>
      <c r="E1652" t="n">
        <v>-1.106101487</v>
      </c>
    </row>
    <row r="1653">
      <c r="A1653" t="inlineStr">
        <is>
          <t>G|ORIG_BAL x ASSET_CLASS|ranr_rate|rate|3</t>
        </is>
      </c>
      <c r="B1653" t="n">
        <v>0.1350298165393446</v>
      </c>
      <c r="C1653" t="n">
        <v>0.132351642063907</v>
      </c>
      <c r="D1653" t="n">
        <v>0.1351692687118144</v>
      </c>
      <c r="E1653" t="n">
        <v>0.1232354186435214</v>
      </c>
      <c r="F1653" t="n">
        <v>0.1312994440713134</v>
      </c>
    </row>
    <row r="1654">
      <c r="A1654" t="inlineStr">
        <is>
          <t>G|ORIG_BAL x ASSET_CLASS|ranr_rate|book|3</t>
        </is>
      </c>
      <c r="B1654" t="n">
        <v>0.703976689</v>
      </c>
      <c r="C1654" t="n">
        <v>0.436159242</v>
      </c>
      <c r="D1654" t="n">
        <v>0.7179219060000001</v>
      </c>
      <c r="E1654" t="n">
        <v>-0.4754631</v>
      </c>
      <c r="F1654" t="n">
        <v>0.330939442</v>
      </c>
    </row>
    <row r="1655">
      <c r="A1655" t="inlineStr">
        <is>
          <t>G|ORIG_BAL x ASSET_CLASS|ranr_rate|band|3</t>
        </is>
      </c>
      <c r="B1655" t="n">
        <v>0.492299535</v>
      </c>
      <c r="C1655" t="n">
        <v>0.144529961</v>
      </c>
      <c r="D1655" t="n">
        <v>0.5016190149999999</v>
      </c>
      <c r="E1655" t="n">
        <v>-1.085662092</v>
      </c>
    </row>
    <row r="1656">
      <c r="A1656" t="inlineStr">
        <is>
          <t>G|ORIG_BAL x ASSET_CLASS|ranr_rate|rate|4</t>
        </is>
      </c>
      <c r="B1656" t="n">
        <v>0.1349320389745104</v>
      </c>
      <c r="C1656" t="n">
        <v>0.1364308528800312</v>
      </c>
      <c r="D1656" t="n">
        <v>0.1153623079942106</v>
      </c>
      <c r="E1656" t="n">
        <v>0.1031818979258365</v>
      </c>
      <c r="F1656" t="n">
        <v>0.1224284738147316</v>
      </c>
    </row>
    <row r="1657">
      <c r="A1657" t="inlineStr">
        <is>
          <t>G|ORIG_BAL x ASSET_CLASS|ranr_rate|book|4</t>
        </is>
      </c>
      <c r="B1657" t="n">
        <v>0.694198933</v>
      </c>
      <c r="C1657" t="n">
        <v>0.844080323</v>
      </c>
      <c r="D1657" t="n">
        <v>-1.262774165</v>
      </c>
      <c r="E1657" t="n">
        <v>-2.480815172</v>
      </c>
      <c r="F1657" t="n">
        <v>-0.556157583</v>
      </c>
    </row>
    <row r="1658">
      <c r="A1658" t="inlineStr">
        <is>
          <t>G|ORIG_BAL x ASSET_CLASS|ranr_rate|band|4</t>
        </is>
      </c>
      <c r="B1658" t="n">
        <v>1.64466519</v>
      </c>
      <c r="C1658" t="n">
        <v>1.898740495</v>
      </c>
      <c r="D1658" t="n">
        <v>-0.927941259</v>
      </c>
      <c r="E1658" t="n">
        <v>-2.598060758</v>
      </c>
    </row>
    <row r="1659">
      <c r="A1659" t="inlineStr">
        <is>
          <t>G|ORIG_BAL x ASSET_CLASS|ranr_rate|rate|5</t>
        </is>
      </c>
      <c r="B1659" t="n">
        <v>0.1373835571748551</v>
      </c>
      <c r="C1659" t="n">
        <v>0.1276827512674985</v>
      </c>
      <c r="D1659" t="n">
        <v>0.1342645011542852</v>
      </c>
      <c r="E1659" t="n">
        <v>0.1217640084646423</v>
      </c>
      <c r="F1659" t="n">
        <v>0.1304237269597046</v>
      </c>
    </row>
    <row r="1660">
      <c r="A1660" t="inlineStr">
        <is>
          <t>G|ORIG_BAL x ASSET_CLASS|ranr_rate|book|5</t>
        </is>
      </c>
      <c r="B1660" t="n">
        <v>0.939350753</v>
      </c>
      <c r="C1660" t="n">
        <v>-0.030729838</v>
      </c>
      <c r="D1660" t="n">
        <v>0.627445151</v>
      </c>
      <c r="E1660" t="n">
        <v>-0.622604118</v>
      </c>
      <c r="F1660" t="n">
        <v>0.243367731</v>
      </c>
    </row>
    <row r="1661">
      <c r="A1661" t="inlineStr">
        <is>
          <t>G|ORIG_BAL x ASSET_CLASS|ranr_rate|band|5</t>
        </is>
      </c>
      <c r="B1661" t="n">
        <v>0.937725037</v>
      </c>
      <c r="C1661" t="n">
        <v>-0.364736499</v>
      </c>
      <c r="D1661" t="n">
        <v>0.514137506</v>
      </c>
      <c r="E1661" t="n">
        <v>-1.140533631</v>
      </c>
    </row>
    <row r="1662">
      <c r="A1662" t="inlineStr">
        <is>
          <t>G|ORIG_BAL x ASSET_CLASS|ranr_rate|rate|6</t>
        </is>
      </c>
    </row>
    <row r="1663">
      <c r="A1663" t="inlineStr">
        <is>
          <t>G|ORIG_BAL x ASSET_CLASS|ranr_rate|book|6</t>
        </is>
      </c>
    </row>
    <row r="1664">
      <c r="A1664" t="inlineStr">
        <is>
          <t>G|ORIG_BAL x ASSET_CLASS|ranr_rate|band|6</t>
        </is>
      </c>
    </row>
    <row r="1665">
      <c r="A1665" t="inlineStr">
        <is>
          <t>G|ORIG_BAL x ASSET_CLASS|ranr_rate|rate|7</t>
        </is>
      </c>
      <c r="B1665" t="n">
        <v>0.1366271301464631</v>
      </c>
      <c r="C1665" t="n">
        <v>0.1319777891966655</v>
      </c>
      <c r="D1665" t="n">
        <v>0.1267931865560143</v>
      </c>
      <c r="E1665" t="n">
        <v>0.1166197094471362</v>
      </c>
      <c r="F1665" t="n">
        <v>0.1279900496481476</v>
      </c>
    </row>
    <row r="1666">
      <c r="A1666" t="inlineStr">
        <is>
          <t>G|ORIG_BAL x ASSET_CLASS|ranr_rate|book|7</t>
        </is>
      </c>
      <c r="B1666" t="n">
        <v>0.8637080499999999</v>
      </c>
      <c r="C1666" t="n">
        <v>0.398773955</v>
      </c>
      <c r="D1666" t="n">
        <v>-0.119686309</v>
      </c>
      <c r="E1666" t="n">
        <v>-1.13703402</v>
      </c>
      <c r="F1666" t="n">
        <v>0</v>
      </c>
    </row>
    <row r="1667">
      <c r="A1667" t="inlineStr">
        <is>
          <t>G|ORIG_BAL x ASSET_CLASS|ranr_rate|band|7</t>
        </is>
      </c>
    </row>
    <row r="1668">
      <c r="A1668" t="inlineStr">
        <is>
          <t>G|ORIG_BAL x ASSET_CLASS|ranr_rate|meta</t>
        </is>
      </c>
      <c r="B1668" t="inlineStr">
        <is>
          <t>pts</t>
        </is>
      </c>
      <c r="C1668" t="n">
        <v>3.485921305</v>
      </c>
      <c r="D1668" t="n">
        <v>10</v>
      </c>
      <c r="E1668" t="n">
        <v>0.1279900496481481</v>
      </c>
      <c r="F1668" t="n">
        <v>65</v>
      </c>
    </row>
    <row r="1669">
      <c r="A1669" t="inlineStr">
        <is>
          <t>G|ORIG_BAL x ASSET_CLASS|contribution_rate|rate|1</t>
        </is>
      </c>
      <c r="B1669" t="n">
        <v>0.1956807259000939</v>
      </c>
      <c r="C1669" t="n">
        <v>0.1758901604237478</v>
      </c>
      <c r="D1669" t="n">
        <v>0.1891572406512666</v>
      </c>
      <c r="E1669" t="n">
        <v>0.1915010158050267</v>
      </c>
      <c r="F1669" t="n">
        <v>0.1880773485524349</v>
      </c>
    </row>
    <row r="1670">
      <c r="A1670" t="inlineStr">
        <is>
          <t>G|ORIG_BAL x ASSET_CLASS|contribution_rate|book|1</t>
        </is>
      </c>
      <c r="B1670" t="n">
        <v>2.608827017</v>
      </c>
      <c r="C1670" t="n">
        <v>0.629770469</v>
      </c>
      <c r="D1670" t="n">
        <v>1.956478492</v>
      </c>
      <c r="E1670" t="n">
        <v>2.190856007</v>
      </c>
      <c r="F1670" t="n">
        <v>1.848489282</v>
      </c>
    </row>
    <row r="1671">
      <c r="A1671" t="inlineStr">
        <is>
          <t>G|ORIG_BAL x ASSET_CLASS|contribution_rate|band|1</t>
        </is>
      </c>
      <c r="B1671" t="n">
        <v>1.030053163</v>
      </c>
      <c r="C1671" t="n">
        <v>-1.63945173</v>
      </c>
      <c r="D1671" t="n">
        <v>0.138165033</v>
      </c>
      <c r="E1671" t="n">
        <v>0.464616298</v>
      </c>
    </row>
    <row r="1672">
      <c r="A1672" t="inlineStr">
        <is>
          <t>G|ORIG_BAL x ASSET_CLASS|contribution_rate|rate|2</t>
        </is>
      </c>
      <c r="B1672" t="n">
        <v>0.1818576933284154</v>
      </c>
      <c r="C1672" t="n">
        <v>0.1623637621023586</v>
      </c>
      <c r="D1672" t="n">
        <v>0.1700568897977575</v>
      </c>
      <c r="E1672" t="n">
        <v>0.1736147899065223</v>
      </c>
      <c r="F1672" t="n">
        <v>0.1722199062366803</v>
      </c>
    </row>
    <row r="1673">
      <c r="A1673" t="inlineStr">
        <is>
          <t>G|ORIG_BAL x ASSET_CLASS|contribution_rate|book|2</t>
        </is>
      </c>
      <c r="B1673" t="n">
        <v>1.226523759</v>
      </c>
      <c r="C1673" t="n">
        <v>-0.722869363</v>
      </c>
      <c r="D1673" t="n">
        <v>0.046443406</v>
      </c>
      <c r="E1673" t="n">
        <v>0.402233417</v>
      </c>
      <c r="F1673" t="n">
        <v>0.26274505</v>
      </c>
    </row>
    <row r="1674">
      <c r="A1674" t="inlineStr">
        <is>
          <t>G|ORIG_BAL x ASSET_CLASS|contribution_rate|band|2</t>
        </is>
      </c>
      <c r="B1674" t="n">
        <v>1.287311959</v>
      </c>
      <c r="C1674" t="n">
        <v>-1.271252806</v>
      </c>
      <c r="D1674" t="n">
        <v>-0.29380331</v>
      </c>
      <c r="E1674" t="n">
        <v>0.188548058</v>
      </c>
    </row>
    <row r="1675">
      <c r="A1675" t="inlineStr">
        <is>
          <t>G|ORIG_BAL x ASSET_CLASS|contribution_rate|rate|3</t>
        </is>
      </c>
      <c r="B1675" t="n">
        <v>0.1711365027309296</v>
      </c>
      <c r="C1675" t="n">
        <v>0.1604851630222316</v>
      </c>
      <c r="D1675" t="n">
        <v>0.1666490503454237</v>
      </c>
      <c r="E1675" t="n">
        <v>0.1771087833967352</v>
      </c>
      <c r="F1675" t="n">
        <v>0.1687501739092802</v>
      </c>
    </row>
    <row r="1676">
      <c r="A1676" t="inlineStr">
        <is>
          <t>G|ORIG_BAL x ASSET_CLASS|contribution_rate|book|3</t>
        </is>
      </c>
      <c r="B1676" t="n">
        <v>0.1544047</v>
      </c>
      <c r="C1676" t="n">
        <v>-0.910729271</v>
      </c>
      <c r="D1676" t="n">
        <v>-0.294340539</v>
      </c>
      <c r="E1676" t="n">
        <v>0.751632766</v>
      </c>
      <c r="F1676" t="n">
        <v>-0.084228183</v>
      </c>
    </row>
    <row r="1677">
      <c r="A1677" t="inlineStr">
        <is>
          <t>G|ORIG_BAL x ASSET_CLASS|contribution_rate|band|3</t>
        </is>
      </c>
      <c r="B1677" t="n">
        <v>0.314925274</v>
      </c>
      <c r="C1677" t="n">
        <v>-1.13528225</v>
      </c>
      <c r="D1677" t="n">
        <v>-0.272354339</v>
      </c>
      <c r="E1677" t="n">
        <v>1.12532203</v>
      </c>
    </row>
    <row r="1678">
      <c r="A1678" t="inlineStr">
        <is>
          <t>G|ORIG_BAL x ASSET_CLASS|contribution_rate|rate|4</t>
        </is>
      </c>
      <c r="B1678" t="n">
        <v>0.1647391676691785</v>
      </c>
      <c r="C1678" t="n">
        <v>0.171218727454274</v>
      </c>
      <c r="D1678" t="n">
        <v>0.1687136105025577</v>
      </c>
      <c r="E1678" t="n">
        <v>0.1716443374447924</v>
      </c>
      <c r="F1678" t="n">
        <v>0.1691805976256635</v>
      </c>
    </row>
    <row r="1679">
      <c r="A1679" t="inlineStr">
        <is>
          <t>G|ORIG_BAL x ASSET_CLASS|contribution_rate|book|4</t>
        </is>
      </c>
      <c r="B1679" t="n">
        <v>-0.485328807</v>
      </c>
      <c r="C1679" t="n">
        <v>0.162627172</v>
      </c>
      <c r="D1679" t="n">
        <v>-0.08788452300000001</v>
      </c>
      <c r="E1679" t="n">
        <v>0.205188171</v>
      </c>
      <c r="F1679" t="n">
        <v>-0.041185811</v>
      </c>
    </row>
    <row r="1680">
      <c r="A1680" t="inlineStr">
        <is>
          <t>G|ORIG_BAL x ASSET_CLASS|contribution_rate|band|4</t>
        </is>
      </c>
      <c r="B1680" t="n">
        <v>-0.583873962</v>
      </c>
      <c r="C1680" t="n">
        <v>0.276429075</v>
      </c>
      <c r="D1680" t="n">
        <v>-0.061336511</v>
      </c>
      <c r="E1680" t="n">
        <v>0.332642124</v>
      </c>
    </row>
    <row r="1681">
      <c r="A1681" t="inlineStr">
        <is>
          <t>G|ORIG_BAL x ASSET_CLASS|contribution_rate|rate|5</t>
        </is>
      </c>
      <c r="B1681" t="n">
        <v>0.173157721211162</v>
      </c>
      <c r="C1681" t="n">
        <v>0.160428506428125</v>
      </c>
      <c r="D1681" t="n">
        <v>0.1601193941133497</v>
      </c>
      <c r="E1681" t="n">
        <v>0.1701687004311949</v>
      </c>
      <c r="F1681" t="n">
        <v>0.1659766215946923</v>
      </c>
    </row>
    <row r="1682">
      <c r="A1682" t="inlineStr">
        <is>
          <t>G|ORIG_BAL x ASSET_CLASS|contribution_rate|book|5</t>
        </is>
      </c>
      <c r="B1682" t="n">
        <v>0.356526548</v>
      </c>
      <c r="C1682" t="n">
        <v>-0.916394931</v>
      </c>
      <c r="D1682" t="n">
        <v>-0.947306162</v>
      </c>
      <c r="E1682" t="n">
        <v>0.05762447</v>
      </c>
      <c r="F1682" t="n">
        <v>-0.361583414</v>
      </c>
    </row>
    <row r="1683">
      <c r="A1683" t="inlineStr">
        <is>
          <t>G|ORIG_BAL x ASSET_CLASS|contribution_rate|band|5</t>
        </is>
      </c>
      <c r="B1683" t="n">
        <v>0.967537525</v>
      </c>
      <c r="C1683" t="n">
        <v>-0.738277289</v>
      </c>
      <c r="D1683" t="n">
        <v>-0.784065966</v>
      </c>
      <c r="E1683" t="n">
        <v>0.55212036</v>
      </c>
    </row>
    <row r="1684">
      <c r="A1684" t="inlineStr">
        <is>
          <t>G|ORIG_BAL x ASSET_CLASS|contribution_rate|rate|6</t>
        </is>
      </c>
    </row>
    <row r="1685">
      <c r="A1685" t="inlineStr">
        <is>
          <t>G|ORIG_BAL x ASSET_CLASS|contribution_rate|book|6</t>
        </is>
      </c>
    </row>
    <row r="1686">
      <c r="A1686" t="inlineStr">
        <is>
          <t>G|ORIG_BAL x ASSET_CLASS|contribution_rate|band|6</t>
        </is>
      </c>
    </row>
    <row r="1687">
      <c r="A1687" t="inlineStr">
        <is>
          <t>G|ORIG_BAL x ASSET_CLASS|contribution_rate|rate|7</t>
        </is>
      </c>
      <c r="B1687" t="n">
        <v>0.1732090054791083</v>
      </c>
      <c r="C1687" t="n">
        <v>0.1646504332501773</v>
      </c>
      <c r="D1687" t="n">
        <v>0.166646582475654</v>
      </c>
      <c r="E1687" t="n">
        <v>0.1738366945872596</v>
      </c>
      <c r="F1687" t="n">
        <v>0.1695924557349811</v>
      </c>
    </row>
    <row r="1688">
      <c r="A1688" t="inlineStr">
        <is>
          <t>G|ORIG_BAL x ASSET_CLASS|contribution_rate|book|7</t>
        </is>
      </c>
      <c r="B1688" t="n">
        <v>0.361654974</v>
      </c>
      <c r="C1688" t="n">
        <v>-0.494202248</v>
      </c>
      <c r="D1688" t="n">
        <v>-0.294587326</v>
      </c>
      <c r="E1688" t="n">
        <v>0.424423885</v>
      </c>
      <c r="F1688" t="n">
        <v>0</v>
      </c>
    </row>
    <row r="1689">
      <c r="A1689" t="inlineStr">
        <is>
          <t>G|ORIG_BAL x ASSET_CLASS|contribution_rate|band|7</t>
        </is>
      </c>
    </row>
    <row r="1690">
      <c r="A1690" t="inlineStr">
        <is>
          <t>G|ORIG_BAL x ASSET_CLASS|contribution_rate|meta</t>
        </is>
      </c>
      <c r="B1690" t="inlineStr">
        <is>
          <t>pts</t>
        </is>
      </c>
      <c r="C1690" t="n">
        <v>2.608827017</v>
      </c>
      <c r="D1690" t="n">
        <v>10</v>
      </c>
      <c r="E1690" t="n">
        <v>0.1695924557349815</v>
      </c>
      <c r="F1690" t="n">
        <v>65</v>
      </c>
    </row>
    <row r="1691">
      <c r="A1691" t="inlineStr">
        <is>
          <t>G|ORIG_BAL x ASSET_CLASS|loan_size|rate|1</t>
        </is>
      </c>
      <c r="B1691" t="n">
        <v>10193.20959232614</v>
      </c>
      <c r="C1691" t="n">
        <v>10311.63071782178</v>
      </c>
      <c r="D1691" t="n">
        <v>10015.17581920904</v>
      </c>
      <c r="E1691" t="n">
        <v>10049.97169411765</v>
      </c>
      <c r="F1691" t="n">
        <v>10145.6733875</v>
      </c>
    </row>
    <row r="1692">
      <c r="A1692" t="inlineStr">
        <is>
          <t>G|ORIG_BAL x ASSET_CLASS|loan_size|median|1</t>
        </is>
      </c>
      <c r="B1692" t="n">
        <v>10155.35</v>
      </c>
      <c r="C1692" t="n">
        <v>10297.145</v>
      </c>
      <c r="D1692" t="n">
        <v>10013.68</v>
      </c>
      <c r="E1692" t="n">
        <v>10010.28</v>
      </c>
      <c r="F1692" t="n">
        <v>10109.435</v>
      </c>
    </row>
    <row r="1693">
      <c r="A1693" t="inlineStr">
        <is>
          <t>G|ORIG_BAL x ASSET_CLASS|loan_size|book|1</t>
        </is>
      </c>
      <c r="B1693" t="n">
        <v>0.3159451873459123</v>
      </c>
      <c r="C1693" t="n">
        <v>0.3196157274580867</v>
      </c>
      <c r="D1693" t="n">
        <v>0.3104269142944361</v>
      </c>
      <c r="E1693" t="n">
        <v>0.3115054351584768</v>
      </c>
      <c r="F1693" t="n">
        <v>0.3144717716368096</v>
      </c>
    </row>
    <row r="1694">
      <c r="A1694" t="inlineStr">
        <is>
          <t>G|ORIG_BAL x ASSET_CLASS|loan_size|band|1</t>
        </is>
      </c>
      <c r="B1694" t="n">
        <v>1.006347412515599</v>
      </c>
      <c r="C1694" t="n">
        <v>1.022004458299375</v>
      </c>
      <c r="D1694" t="n">
        <v>0.9835434299344639</v>
      </c>
      <c r="E1694" t="n">
        <v>0.9871990666609587</v>
      </c>
    </row>
    <row r="1695">
      <c r="A1695" t="inlineStr">
        <is>
          <t>G|ORIG_BAL x ASSET_CLASS|loan_size|rate|2</t>
        </is>
      </c>
      <c r="B1695" t="n">
        <v>20783.97195544554</v>
      </c>
      <c r="C1695" t="n">
        <v>21086.74056179775</v>
      </c>
      <c r="D1695" t="n">
        <v>20639.6</v>
      </c>
      <c r="E1695" t="n">
        <v>21048.80704600484</v>
      </c>
      <c r="F1695" t="n">
        <v>20881.1692625</v>
      </c>
    </row>
    <row r="1696">
      <c r="A1696" t="inlineStr">
        <is>
          <t>G|ORIG_BAL x ASSET_CLASS|loan_size|median|2</t>
        </is>
      </c>
      <c r="B1696" t="n">
        <v>20725.025</v>
      </c>
      <c r="C1696" t="n">
        <v>21307.165</v>
      </c>
      <c r="D1696" t="n">
        <v>20660.2</v>
      </c>
      <c r="E1696" t="n">
        <v>21061.37</v>
      </c>
      <c r="F1696" t="n">
        <v>20863.035</v>
      </c>
    </row>
    <row r="1697">
      <c r="A1697" t="inlineStr">
        <is>
          <t>G|ORIG_BAL x ASSET_CLASS|loan_size|book|2</t>
        </is>
      </c>
      <c r="B1697" t="n">
        <v>0.6442127824192909</v>
      </c>
      <c r="C1697" t="n">
        <v>0.6535972930770944</v>
      </c>
      <c r="D1697" t="n">
        <v>0.6397378793872686</v>
      </c>
      <c r="E1697" t="n">
        <v>0.6524215189850063</v>
      </c>
      <c r="F1697" t="n">
        <v>0.6472254764200065</v>
      </c>
    </row>
    <row r="1698">
      <c r="A1698" t="inlineStr">
        <is>
          <t>G|ORIG_BAL x ASSET_CLASS|loan_size|band|2</t>
        </is>
      </c>
      <c r="B1698" t="n">
        <v>0.9937826417214962</v>
      </c>
      <c r="C1698" t="n">
        <v>1.012697918807553</v>
      </c>
      <c r="D1698" t="n">
        <v>0.9842861094492323</v>
      </c>
      <c r="E1698" t="n">
        <v>1.010851784704274</v>
      </c>
    </row>
    <row r="1699">
      <c r="A1699" t="inlineStr">
        <is>
          <t>G|ORIG_BAL x ASSET_CLASS|loan_size|rate|3</t>
        </is>
      </c>
      <c r="B1699" t="n">
        <v>32069.05610824742</v>
      </c>
      <c r="C1699" t="n">
        <v>32337.5706712963</v>
      </c>
      <c r="D1699" t="n">
        <v>31983.59264305177</v>
      </c>
      <c r="E1699" t="n">
        <v>32067.1477184466</v>
      </c>
      <c r="F1699" t="n">
        <v>32121.49322076298</v>
      </c>
    </row>
    <row r="1700">
      <c r="A1700" t="inlineStr">
        <is>
          <t>G|ORIG_BAL x ASSET_CLASS|loan_size|median|3</t>
        </is>
      </c>
      <c r="B1700" t="n">
        <v>31953.455</v>
      </c>
      <c r="C1700" t="n">
        <v>32389.26</v>
      </c>
      <c r="D1700" t="n">
        <v>31914.62</v>
      </c>
      <c r="E1700" t="n">
        <v>31949.975</v>
      </c>
      <c r="F1700" t="n">
        <v>32112.83</v>
      </c>
    </row>
    <row r="1701">
      <c r="A1701" t="inlineStr">
        <is>
          <t>G|ORIG_BAL x ASSET_CLASS|loan_size|book|3</t>
        </is>
      </c>
      <c r="B1701" t="n">
        <v>0.9940013347468721</v>
      </c>
      <c r="C1701" t="n">
        <v>1.002324118965049</v>
      </c>
      <c r="D1701" t="n">
        <v>0.9913523388366144</v>
      </c>
      <c r="E1701" t="n">
        <v>0.9939421829588422</v>
      </c>
      <c r="F1701" t="n">
        <v>0.9956266572900363</v>
      </c>
    </row>
    <row r="1702">
      <c r="A1702" t="inlineStr">
        <is>
          <t>G|ORIG_BAL x ASSET_CLASS|loan_size|band|3</t>
        </is>
      </c>
      <c r="B1702" t="n">
        <v>0.9978456301041131</v>
      </c>
      <c r="C1702" t="n">
        <v>1.00924004611418</v>
      </c>
      <c r="D1702" t="n">
        <v>0.9944351550921245</v>
      </c>
      <c r="E1702" t="n">
        <v>0.997722225814899</v>
      </c>
    </row>
    <row r="1703">
      <c r="A1703" t="inlineStr">
        <is>
          <t>G|ORIG_BAL x ASSET_CLASS|loan_size|rate|4</t>
        </is>
      </c>
      <c r="B1703" t="n">
        <v>43515.80755208333</v>
      </c>
      <c r="C1703" t="n">
        <v>43568.4345952381</v>
      </c>
      <c r="D1703" t="n">
        <v>43517.64979057592</v>
      </c>
      <c r="E1703" t="n">
        <v>43636.00202898551</v>
      </c>
      <c r="F1703" t="n">
        <v>43561.16230625</v>
      </c>
    </row>
    <row r="1704">
      <c r="A1704" t="inlineStr">
        <is>
          <t>G|ORIG_BAL x ASSET_CLASS|loan_size|median|4</t>
        </is>
      </c>
      <c r="B1704" t="n">
        <v>43646.78999999999</v>
      </c>
      <c r="C1704" t="n">
        <v>43675.195</v>
      </c>
      <c r="D1704" t="n">
        <v>43458.13</v>
      </c>
      <c r="E1704" t="n">
        <v>43529.58</v>
      </c>
      <c r="F1704" t="n">
        <v>43587.85</v>
      </c>
    </row>
    <row r="1705">
      <c r="A1705" t="inlineStr">
        <is>
          <t>G|ORIG_BAL x ASSET_CLASS|loan_size|book|4</t>
        </is>
      </c>
      <c r="B1705" t="n">
        <v>1.348800870326667</v>
      </c>
      <c r="C1705" t="n">
        <v>1.350432079894016</v>
      </c>
      <c r="D1705" t="n">
        <v>1.348857971711702</v>
      </c>
      <c r="E1705" t="n">
        <v>1.352526376623662</v>
      </c>
      <c r="F1705" t="n">
        <v>1.350206670548121</v>
      </c>
    </row>
    <row r="1706">
      <c r="A1706" t="inlineStr">
        <is>
          <t>G|ORIG_BAL x ASSET_CLASS|loan_size|band|4</t>
        </is>
      </c>
      <c r="B1706" t="n">
        <v>0.9986304843582235</v>
      </c>
      <c r="C1706" t="n">
        <v>1.000226378642745</v>
      </c>
      <c r="D1706" t="n">
        <v>0.9986882490298989</v>
      </c>
      <c r="E1706" t="n">
        <v>1.002319148388545</v>
      </c>
    </row>
    <row r="1707">
      <c r="A1707" t="inlineStr">
        <is>
          <t>G|ORIG_BAL x ASSET_CLASS|loan_size|rate|5</t>
        </is>
      </c>
      <c r="B1707" t="n">
        <v>54533.81711864407</v>
      </c>
      <c r="C1707" t="n">
        <v>54549.62819095478</v>
      </c>
      <c r="D1707" t="n">
        <v>54569.38392592592</v>
      </c>
      <c r="E1707" t="n">
        <v>54769.66526041667</v>
      </c>
      <c r="F1707" t="n">
        <v>54603.356525</v>
      </c>
    </row>
    <row r="1708">
      <c r="A1708" t="inlineStr">
        <is>
          <t>G|ORIG_BAL x ASSET_CLASS|loan_size|median|5</t>
        </is>
      </c>
      <c r="B1708" t="n">
        <v>54244.66</v>
      </c>
      <c r="C1708" t="n">
        <v>54542.195</v>
      </c>
      <c r="D1708" t="n">
        <v>54593.78</v>
      </c>
      <c r="E1708" t="n">
        <v>54658.41</v>
      </c>
      <c r="F1708" t="n">
        <v>54496</v>
      </c>
    </row>
    <row r="1709">
      <c r="A1709" t="inlineStr">
        <is>
          <t>G|ORIG_BAL x ASSET_CLASS|loan_size|book|5</t>
        </is>
      </c>
      <c r="B1709" t="n">
        <v>1.690311271457513</v>
      </c>
      <c r="C1709" t="n">
        <v>1.690801345968206</v>
      </c>
      <c r="D1709" t="n">
        <v>1.691413687873871</v>
      </c>
      <c r="E1709" t="n">
        <v>1.697621538617488</v>
      </c>
      <c r="F1709" t="n">
        <v>1.692466690765833</v>
      </c>
    </row>
    <row r="1710">
      <c r="A1710" t="inlineStr">
        <is>
          <t>G|ORIG_BAL x ASSET_CLASS|loan_size|band|5</t>
        </is>
      </c>
      <c r="B1710" t="n">
        <v>0.9982841137062435</v>
      </c>
      <c r="C1710" t="n">
        <v>0.9986906429960124</v>
      </c>
      <c r="D1710" t="n">
        <v>0.9991671439497883</v>
      </c>
      <c r="E1710" t="n">
        <v>1.00401143761596</v>
      </c>
    </row>
    <row r="1711">
      <c r="A1711" t="inlineStr">
        <is>
          <t>G|ORIG_BAL x ASSET_CLASS|loan_size|rate|6</t>
        </is>
      </c>
    </row>
    <row r="1712">
      <c r="A1712" t="inlineStr">
        <is>
          <t>G|ORIG_BAL x ASSET_CLASS|loan_size|median|6</t>
        </is>
      </c>
    </row>
    <row r="1713">
      <c r="A1713" t="inlineStr">
        <is>
          <t>G|ORIG_BAL x ASSET_CLASS|loan_size|book|6</t>
        </is>
      </c>
    </row>
    <row r="1714">
      <c r="A1714" t="inlineStr">
        <is>
          <t>G|ORIG_BAL x ASSET_CLASS|loan_size|band|6</t>
        </is>
      </c>
    </row>
    <row r="1715">
      <c r="A1715" t="inlineStr">
        <is>
          <t>G|ORIG_BAL x ASSET_CLASS|loan_size|rate|7</t>
        </is>
      </c>
      <c r="B1715" t="n">
        <v>32065.1163559322</v>
      </c>
      <c r="C1715" t="n">
        <v>32662.73807462686</v>
      </c>
      <c r="D1715" t="n">
        <v>32465.53108527132</v>
      </c>
      <c r="E1715" t="n">
        <v>31871.54123046875</v>
      </c>
      <c r="F1715" t="n">
        <v>32262.58857732217</v>
      </c>
    </row>
    <row r="1716">
      <c r="A1716" t="inlineStr">
        <is>
          <t>G|ORIG_BAL x ASSET_CLASS|loan_size|median|7</t>
        </is>
      </c>
      <c r="B1716" t="n">
        <v>31623.27</v>
      </c>
      <c r="C1716" t="n">
        <v>33128.685</v>
      </c>
      <c r="D1716" t="n">
        <v>32094.51</v>
      </c>
      <c r="E1716" t="n">
        <v>31492.09</v>
      </c>
      <c r="F1716" t="n">
        <v>32112.83</v>
      </c>
    </row>
    <row r="1717">
      <c r="A1717" t="inlineStr">
        <is>
          <t>G|ORIG_BAL x ASSET_CLASS|loan_size|book|7</t>
        </is>
      </c>
      <c r="B1717" t="n">
        <v>0.9938792195512554</v>
      </c>
      <c r="C1717" t="n">
        <v>1.012402894961317</v>
      </c>
      <c r="D1717" t="n">
        <v>1.006290335552672</v>
      </c>
      <c r="E1717" t="n">
        <v>0.9878792321355053</v>
      </c>
      <c r="F1717" t="n">
        <v>1</v>
      </c>
    </row>
    <row r="1718">
      <c r="A1718" t="inlineStr">
        <is>
          <t>G|ORIG_BAL x ASSET_CLASS|loan_size|band|7</t>
        </is>
      </c>
    </row>
    <row r="1719">
      <c r="A1719" t="inlineStr">
        <is>
          <t>G|ORIG_BAL x ASSET_CLASS|loan_size|meta</t>
        </is>
      </c>
      <c r="B1719" t="inlineStr">
        <is>
          <t>size</t>
        </is>
      </c>
      <c r="C1719" t="n">
        <v>1</v>
      </c>
      <c r="E1719" t="n">
        <v>32262.58857732217</v>
      </c>
      <c r="F1719" t="n">
        <v>65</v>
      </c>
    </row>
    <row r="1720">
      <c r="A1720" t="inlineStr">
        <is>
          <t>G|ORIG_BAL x ASSET_CLASS|where N|cols</t>
        </is>
      </c>
      <c r="B1720" t="inlineStr">
        <is>
          <t>1</t>
        </is>
      </c>
      <c r="C1720" t="inlineStr">
        <is>
          <t>2</t>
        </is>
      </c>
      <c r="D1720" t="inlineStr">
        <is>
          <t>3</t>
        </is>
      </c>
      <c r="E1720" t="inlineStr">
        <is>
          <t>4</t>
        </is>
      </c>
      <c r="F1720" t="inlineStr">
        <is>
          <t>All</t>
        </is>
      </c>
    </row>
    <row r="1721">
      <c r="A1721" t="inlineStr">
        <is>
          <t>G|ORIG_BAL x ASSET_CLASS|where N|heads</t>
        </is>
      </c>
      <c r="B1721" t="inlineStr">
        <is>
          <t>1</t>
        </is>
      </c>
      <c r="C1721" t="inlineStr">
        <is>
          <t>2</t>
        </is>
      </c>
      <c r="D1721" t="inlineStr">
        <is>
          <t>3</t>
        </is>
      </c>
      <c r="E1721" t="inlineStr">
        <is>
          <t>4</t>
        </is>
      </c>
      <c r="F1721" t="inlineStr">
        <is>
          <t>All</t>
        </is>
      </c>
    </row>
    <row r="1722">
      <c r="A1722" t="inlineStr">
        <is>
          <t>G|ORIG_BAL x ASSET_CLASS|where N|segs</t>
        </is>
      </c>
    </row>
    <row r="1723">
      <c r="A1723" t="inlineStr">
        <is>
          <t>G|ORIG_BAL x ASSET_CLASS|where N|rows</t>
        </is>
      </c>
      <c r="B1723" t="inlineStr">
        <is>
          <t>5,005 - 15,448</t>
        </is>
      </c>
      <c r="C1723" t="inlineStr">
        <is>
          <t>15,449 - 26,323</t>
        </is>
      </c>
      <c r="D1723" t="inlineStr">
        <is>
          <t>26,324 - 37,950</t>
        </is>
      </c>
      <c r="E1723" t="inlineStr">
        <is>
          <t>37,951 - 49,151</t>
        </is>
      </c>
      <c r="F1723" t="inlineStr">
        <is>
          <t>49,152 - 59,984</t>
        </is>
      </c>
      <c r="G1723" t="inlineStr">
        <is>
          <t>(blank)</t>
        </is>
      </c>
      <c r="H1723" t="inlineStr">
        <is>
          <t>All</t>
        </is>
      </c>
    </row>
    <row r="1724">
      <c r="A1724" t="inlineStr">
        <is>
          <t>G|ORIG_BAL x ASSET_CLASS|where N|names</t>
        </is>
      </c>
      <c r="B1724" t="inlineStr">
        <is>
          <t>ORIG_BAL</t>
        </is>
      </c>
      <c r="C1724" t="inlineStr">
        <is>
          <t>ASSET_CLASS</t>
        </is>
      </c>
    </row>
    <row r="1725">
      <c r="A1725" t="inlineStr">
        <is>
          <t>G|ORIG_BAL x ASSET_CLASS|where N|total</t>
        </is>
      </c>
      <c r="B1725" t="n">
        <v>4329</v>
      </c>
    </row>
    <row r="1726">
      <c r="A1726" t="inlineStr">
        <is>
          <t>G|ORIG_BAL x ASSET_CLASS|where N|loans|1</t>
        </is>
      </c>
      <c r="B1726" t="n">
        <v>237</v>
      </c>
      <c r="C1726" t="n">
        <v>244</v>
      </c>
      <c r="D1726" t="n">
        <v>170</v>
      </c>
      <c r="E1726" t="n">
        <v>229</v>
      </c>
      <c r="F1726" t="n">
        <v>880</v>
      </c>
    </row>
    <row r="1727">
      <c r="A1727" t="inlineStr">
        <is>
          <t>G|ORIG_BAL x ASSET_CLASS|where N|loans|2</t>
        </is>
      </c>
      <c r="B1727" t="n">
        <v>224</v>
      </c>
      <c r="C1727" t="n">
        <v>186</v>
      </c>
      <c r="D1727" t="n">
        <v>234</v>
      </c>
      <c r="E1727" t="n">
        <v>223</v>
      </c>
      <c r="F1727" t="n">
        <v>867</v>
      </c>
    </row>
    <row r="1728">
      <c r="A1728" t="inlineStr">
        <is>
          <t>G|ORIG_BAL x ASSET_CLASS|where N|loans|3</t>
        </is>
      </c>
      <c r="B1728" t="n">
        <v>215</v>
      </c>
      <c r="C1728" t="n">
        <v>253</v>
      </c>
      <c r="D1728" t="n">
        <v>198</v>
      </c>
      <c r="E1728" t="n">
        <v>218</v>
      </c>
      <c r="F1728" t="n">
        <v>884</v>
      </c>
    </row>
    <row r="1729">
      <c r="A1729" t="inlineStr">
        <is>
          <t>G|ORIG_BAL x ASSET_CLASS|where N|loans|4</t>
        </is>
      </c>
      <c r="B1729" t="n">
        <v>207</v>
      </c>
      <c r="C1729" t="n">
        <v>221</v>
      </c>
      <c r="D1729" t="n">
        <v>187</v>
      </c>
      <c r="E1729" t="n">
        <v>225</v>
      </c>
      <c r="F1729" t="n">
        <v>840</v>
      </c>
    </row>
    <row r="1730">
      <c r="A1730" t="inlineStr">
        <is>
          <t>G|ORIG_BAL x ASSET_CLASS|where N|loans|5</t>
        </is>
      </c>
      <c r="B1730" t="n">
        <v>218</v>
      </c>
      <c r="C1730" t="n">
        <v>201</v>
      </c>
      <c r="D1730" t="n">
        <v>226</v>
      </c>
      <c r="E1730" t="n">
        <v>213</v>
      </c>
      <c r="F1730" t="n">
        <v>858</v>
      </c>
    </row>
    <row r="1731">
      <c r="A1731" t="inlineStr">
        <is>
          <t>G|ORIG_BAL x ASSET_CLASS|where N|loans|6</t>
        </is>
      </c>
    </row>
    <row r="1732">
      <c r="A1732" t="inlineStr">
        <is>
          <t>G|ORIG_BAL x ASSET_CLASS|where N|loans|7</t>
        </is>
      </c>
      <c r="B1732" t="n">
        <v>1101</v>
      </c>
      <c r="C1732" t="n">
        <v>1105</v>
      </c>
      <c r="D1732" t="n">
        <v>1015</v>
      </c>
      <c r="E1732" t="n">
        <v>1108</v>
      </c>
      <c r="F1732" t="n">
        <v>4329</v>
      </c>
    </row>
    <row r="1733">
      <c r="A1733" t="inlineStr">
        <is>
          <t>G|ORIG_BAL x ASSET_CLASS|where N|outcome_loans|rate|1</t>
        </is>
      </c>
      <c r="B1733" t="n">
        <v>0.03375527426160337</v>
      </c>
      <c r="C1733" t="n">
        <v>0.04098360655737705</v>
      </c>
      <c r="D1733" t="n">
        <v>0.06470588235294118</v>
      </c>
      <c r="E1733" t="n">
        <v>0.09606986899563319</v>
      </c>
      <c r="F1733" t="n">
        <v>0.05795454545454545</v>
      </c>
    </row>
    <row r="1734">
      <c r="A1734" t="inlineStr">
        <is>
          <t>G|ORIG_BAL x ASSET_CLASS|where N|outcome_loans|book|1</t>
        </is>
      </c>
      <c r="C1734" t="n">
        <v>0.5296088349797399</v>
      </c>
      <c r="D1734" t="n">
        <v>0.8361588900503659</v>
      </c>
      <c r="E1734" t="n">
        <v>1.241458614048578</v>
      </c>
      <c r="F1734" t="n">
        <v>0.7489150389190776</v>
      </c>
    </row>
    <row r="1735">
      <c r="A1735" t="inlineStr">
        <is>
          <t>G|ORIG_BAL x ASSET_CLASS|where N|outcome_loans|band|1</t>
        </is>
      </c>
      <c r="C1735" t="n">
        <v>0.6357457017193122</v>
      </c>
      <c r="D1735" t="n">
        <v>1.148529411764706</v>
      </c>
      <c r="E1735" t="n">
        <v>2.1566029212468</v>
      </c>
    </row>
    <row r="1736">
      <c r="A1736" t="inlineStr">
        <is>
          <t>G|ORIG_BAL x ASSET_CLASS|where N|outcome_loans|rate|2</t>
        </is>
      </c>
      <c r="B1736" t="n">
        <v>0.08035714285714286</v>
      </c>
      <c r="C1736" t="n">
        <v>0.06451612903225806</v>
      </c>
      <c r="D1736" t="n">
        <v>0.08547008547008547</v>
      </c>
      <c r="E1736" t="n">
        <v>0.1165919282511211</v>
      </c>
      <c r="F1736" t="n">
        <v>0.08765859284890427</v>
      </c>
    </row>
    <row r="1737">
      <c r="A1737" t="inlineStr">
        <is>
          <t>G|ORIG_BAL x ASSET_CLASS|where N|outcome_loans|book|2</t>
        </is>
      </c>
      <c r="B1737" t="n">
        <v>1.038411608585276</v>
      </c>
      <c r="C1737" t="n">
        <v>0.8337068111939131</v>
      </c>
      <c r="D1737" t="n">
        <v>1.104483382350911</v>
      </c>
      <c r="E1737" t="n">
        <v>1.506654013054471</v>
      </c>
      <c r="F1737" t="n">
        <v>1.132764271725986</v>
      </c>
    </row>
    <row r="1738">
      <c r="A1738" t="inlineStr">
        <is>
          <t>G|ORIG_BAL x ASSET_CLASS|where N|outcome_loans|band|2</t>
        </is>
      </c>
      <c r="B1738" t="n">
        <v>0.8908559113300494</v>
      </c>
      <c r="C1738" t="n">
        <v>0.686491935483871</v>
      </c>
      <c r="D1738" t="n">
        <v>0.9661172161172161</v>
      </c>
      <c r="E1738" t="n">
        <v>1.50170403587444</v>
      </c>
    </row>
    <row r="1739">
      <c r="A1739" t="inlineStr">
        <is>
          <t>G|ORIG_BAL x ASSET_CLASS|where N|outcome_loans|rate|3</t>
        </is>
      </c>
      <c r="B1739" t="n">
        <v>0.05581395348837209</v>
      </c>
      <c r="C1739" t="n">
        <v>0.03174603174603174</v>
      </c>
      <c r="D1739" t="n">
        <v>0.04545454545454546</v>
      </c>
      <c r="E1739" t="n">
        <v>0.07798165137614679</v>
      </c>
      <c r="F1739" t="n">
        <v>0.0520951302378256</v>
      </c>
    </row>
    <row r="1740">
      <c r="A1740" t="inlineStr">
        <is>
          <t>G|ORIG_BAL x ASSET_CLASS|where N|outcome_loans|book|3</t>
        </is>
      </c>
      <c r="B1740" t="n">
        <v>0.7212533343351992</v>
      </c>
      <c r="E1740" t="n">
        <v>1.007714425456863</v>
      </c>
      <c r="F1740" t="n">
        <v>0.6731970060942923</v>
      </c>
    </row>
    <row r="1741">
      <c r="A1741" t="inlineStr">
        <is>
          <t>G|ORIG_BAL x ASSET_CLASS|where N|outcome_loans|band|3</t>
        </is>
      </c>
      <c r="B1741" t="n">
        <v>1.096580027359781</v>
      </c>
      <c r="E1741" t="n">
        <v>1.788199936728883</v>
      </c>
    </row>
    <row r="1742">
      <c r="A1742" t="inlineStr">
        <is>
          <t>G|ORIG_BAL x ASSET_CLASS|where N|outcome_loans|rate|4</t>
        </is>
      </c>
      <c r="B1742" t="n">
        <v>0.02898550724637681</v>
      </c>
      <c r="C1742" t="n">
        <v>0.04072398190045249</v>
      </c>
      <c r="D1742" t="n">
        <v>0.06417112299465241</v>
      </c>
      <c r="E1742" t="n">
        <v>0.07111111111111111</v>
      </c>
      <c r="F1742" t="n">
        <v>0.05119047619047619</v>
      </c>
    </row>
    <row r="1743">
      <c r="A1743" t="inlineStr">
        <is>
          <t>G|ORIG_BAL x ASSET_CLASS|where N|outcome_loans|book|4</t>
        </is>
      </c>
      <c r="D1743" t="n">
        <v>0.8292484860003629</v>
      </c>
      <c r="E1743" t="n">
        <v>0.9189301741159576</v>
      </c>
      <c r="F1743" t="n">
        <v>0.6615066543580275</v>
      </c>
    </row>
    <row r="1744">
      <c r="A1744" t="inlineStr">
        <is>
          <t>G|ORIG_BAL x ASSET_CLASS|where N|outcome_loans|band|4</t>
        </is>
      </c>
      <c r="D1744" t="n">
        <v>1.351733655338968</v>
      </c>
      <c r="E1744" t="n">
        <v>1.619753086419753</v>
      </c>
    </row>
    <row r="1745">
      <c r="A1745" t="inlineStr">
        <is>
          <t>G|ORIG_BAL x ASSET_CLASS|where N|outcome_loans|rate|5</t>
        </is>
      </c>
      <c r="B1745" t="n">
        <v>0.02293577981651376</v>
      </c>
      <c r="C1745" t="n">
        <v>0.03980099502487562</v>
      </c>
      <c r="D1745" t="n">
        <v>0.03539823008849557</v>
      </c>
      <c r="E1745" t="n">
        <v>0.05633802816901409</v>
      </c>
      <c r="F1745" t="n">
        <v>0.03846153846153846</v>
      </c>
    </row>
    <row r="1746">
      <c r="A1746" t="inlineStr">
        <is>
          <t>G|ORIG_BAL x ASSET_CLASS|where N|outcome_loans|book|5</t>
        </is>
      </c>
      <c r="E1746" t="n">
        <v>0.7280256661129946</v>
      </c>
      <c r="F1746" t="n">
        <v>0.4970175220579098</v>
      </c>
    </row>
    <row r="1747">
      <c r="A1747" t="inlineStr">
        <is>
          <t>G|ORIG_BAL x ASSET_CLASS|where N|outcome_loans|band|5</t>
        </is>
      </c>
      <c r="E1747" t="n">
        <v>1.730382293762575</v>
      </c>
    </row>
    <row r="1748">
      <c r="A1748" t="inlineStr">
        <is>
          <t>G|ORIG_BAL x ASSET_CLASS|where N|outcome_loans|rate|6</t>
        </is>
      </c>
    </row>
    <row r="1749">
      <c r="A1749" t="inlineStr">
        <is>
          <t>G|ORIG_BAL x ASSET_CLASS|where N|outcome_loans|book|6</t>
        </is>
      </c>
    </row>
    <row r="1750">
      <c r="A1750" t="inlineStr">
        <is>
          <t>G|ORIG_BAL x ASSET_CLASS|where N|outcome_loans|band|6</t>
        </is>
      </c>
    </row>
    <row r="1751">
      <c r="A1751" t="inlineStr">
        <is>
          <t>G|ORIG_BAL x ASSET_CLASS|where N|outcome_loans|rate|7</t>
        </is>
      </c>
      <c r="B1751" t="n">
        <v>0.04450499545867393</v>
      </c>
      <c r="C1751" t="n">
        <v>0.04257246376811594</v>
      </c>
      <c r="D1751" t="n">
        <v>0.05911330049261083</v>
      </c>
      <c r="E1751" t="n">
        <v>0.08393501805054152</v>
      </c>
      <c r="F1751" t="n">
        <v>0.05753234750462107</v>
      </c>
    </row>
    <row r="1752">
      <c r="A1752" t="inlineStr">
        <is>
          <t>G|ORIG_BAL x ASSET_CLASS|where N|outcome_loans|book|7</t>
        </is>
      </c>
      <c r="B1752" t="n">
        <v>0.5751138266137847</v>
      </c>
      <c r="C1752" t="n">
        <v>0.5501407716981573</v>
      </c>
      <c r="D1752" t="n">
        <v>0.7638889994190534</v>
      </c>
      <c r="E1752" t="n">
        <v>1.084646541819518</v>
      </c>
      <c r="F1752" t="n">
        <v>0.7434592046679547</v>
      </c>
    </row>
    <row r="1753">
      <c r="A1753" t="inlineStr">
        <is>
          <t>G|ORIG_BAL x ASSET_CLASS|where N|outcome_loans|band|7</t>
        </is>
      </c>
    </row>
    <row r="1754">
      <c r="A1754" t="inlineStr">
        <is>
          <t>G|ORIG_BAL x ASSET_CLASS|where N|outcome_loans|meta</t>
        </is>
      </c>
      <c r="B1754" t="inlineStr">
        <is>
          <t>x</t>
        </is>
      </c>
      <c r="C1754" t="n">
        <v>2.1566029212468</v>
      </c>
      <c r="D1754" t="n">
        <v>10</v>
      </c>
      <c r="E1754" t="n">
        <v>0.07738467308413552</v>
      </c>
      <c r="F1754" t="n">
        <v>65</v>
      </c>
    </row>
    <row r="1755">
      <c r="A1755" t="inlineStr">
        <is>
          <t>G|ORIG_BAL x ASSET_CLASS|where N|outcome_booked|rate|1</t>
        </is>
      </c>
      <c r="B1755" t="n">
        <v>0.03679993042002801</v>
      </c>
      <c r="C1755" t="n">
        <v>0.03821151291320404</v>
      </c>
      <c r="D1755" t="n">
        <v>0.05841988256156872</v>
      </c>
      <c r="E1755" t="n">
        <v>0.09667721031344426</v>
      </c>
      <c r="F1755" t="n">
        <v>0.05676692253235505</v>
      </c>
    </row>
    <row r="1756">
      <c r="A1756" t="inlineStr">
        <is>
          <t>G|ORIG_BAL x ASSET_CLASS|where N|outcome_booked|book|1</t>
        </is>
      </c>
      <c r="C1756" t="n">
        <v>0.5106520202919443</v>
      </c>
      <c r="D1756" t="n">
        <v>0.7807131615815879</v>
      </c>
      <c r="E1756" t="n">
        <v>1.291977443418373</v>
      </c>
      <c r="F1756" t="n">
        <v>0.7586232909110101</v>
      </c>
    </row>
    <row r="1757">
      <c r="A1757" t="inlineStr">
        <is>
          <t>G|ORIG_BAL x ASSET_CLASS|where N|outcome_booked|band|1</t>
        </is>
      </c>
      <c r="C1757" t="n">
        <v>0.5975383052731965</v>
      </c>
      <c r="D1757" t="n">
        <v>1.036315785267434</v>
      </c>
      <c r="E1757" t="n">
        <v>2.251619929148984</v>
      </c>
    </row>
    <row r="1758">
      <c r="A1758" t="inlineStr">
        <is>
          <t>G|ORIG_BAL x ASSET_CLASS|where N|outcome_booked|rate|2</t>
        </is>
      </c>
      <c r="B1758" t="n">
        <v>0.08089546690967853</v>
      </c>
      <c r="C1758" t="n">
        <v>0.06463109008702723</v>
      </c>
      <c r="D1758" t="n">
        <v>0.08871680626441367</v>
      </c>
      <c r="E1758" t="n">
        <v>0.113990347437634</v>
      </c>
      <c r="F1758" t="n">
        <v>0.08812095851693781</v>
      </c>
    </row>
    <row r="1759">
      <c r="A1759" t="inlineStr">
        <is>
          <t>G|ORIG_BAL x ASSET_CLASS|where N|outcome_booked|book|2</t>
        </is>
      </c>
      <c r="B1759" t="n">
        <v>1.081072966247639</v>
      </c>
      <c r="C1759" t="n">
        <v>0.8637186599122209</v>
      </c>
      <c r="D1759" t="n">
        <v>1.185595986625204</v>
      </c>
      <c r="E1759" t="n">
        <v>1.523347200228079</v>
      </c>
      <c r="F1759" t="n">
        <v>1.177633180841353</v>
      </c>
    </row>
    <row r="1760">
      <c r="A1760" t="inlineStr">
        <is>
          <t>G|ORIG_BAL x ASSET_CLASS|where N|outcome_booked|band|2</t>
        </is>
      </c>
      <c r="B1760" t="n">
        <v>0.8928037372761037</v>
      </c>
      <c r="C1760" t="n">
        <v>0.6833682404976514</v>
      </c>
      <c r="D1760" t="n">
        <v>1.009249663736879</v>
      </c>
      <c r="E1760" t="n">
        <v>1.44332176693069</v>
      </c>
    </row>
    <row r="1761">
      <c r="A1761" t="inlineStr">
        <is>
          <t>G|ORIG_BAL x ASSET_CLASS|where N|outcome_booked|rate|3</t>
        </is>
      </c>
      <c r="B1761" t="n">
        <v>0.05664606303416495</v>
      </c>
      <c r="C1761" t="n">
        <v>0.0308754698179161</v>
      </c>
      <c r="D1761" t="n">
        <v>0.04518810927868743</v>
      </c>
      <c r="E1761" t="n">
        <v>0.08018408290994168</v>
      </c>
      <c r="F1761" t="n">
        <v>0.05249434506141384</v>
      </c>
    </row>
    <row r="1762">
      <c r="A1762" t="inlineStr">
        <is>
          <t>G|ORIG_BAL x ASSET_CLASS|where N|outcome_booked|book|3</t>
        </is>
      </c>
      <c r="B1762" t="n">
        <v>0.7570081455734665</v>
      </c>
      <c r="E1762" t="n">
        <v>1.071566154060063</v>
      </c>
      <c r="F1762" t="n">
        <v>0.7015253078411994</v>
      </c>
    </row>
    <row r="1763">
      <c r="A1763" t="inlineStr">
        <is>
          <t>G|ORIG_BAL x ASSET_CLASS|where N|outcome_booked|band|3</t>
        </is>
      </c>
      <c r="B1763" t="n">
        <v>1.107229778766627</v>
      </c>
      <c r="E1763" t="n">
        <v>1.845987453398257</v>
      </c>
    </row>
    <row r="1764">
      <c r="A1764" t="inlineStr">
        <is>
          <t>G|ORIG_BAL x ASSET_CLASS|where N|outcome_booked|rate|4</t>
        </is>
      </c>
      <c r="B1764" t="n">
        <v>0.02991064148617389</v>
      </c>
      <c r="C1764" t="n">
        <v>0.04097025853088018</v>
      </c>
      <c r="D1764" t="n">
        <v>0.06425475681784935</v>
      </c>
      <c r="E1764" t="n">
        <v>0.07141326548255705</v>
      </c>
      <c r="F1764" t="n">
        <v>0.05161003854763531</v>
      </c>
    </row>
    <row r="1765">
      <c r="A1765" t="inlineStr">
        <is>
          <t>G|ORIG_BAL x ASSET_CLASS|where N|outcome_booked|book|4</t>
        </is>
      </c>
      <c r="D1765" t="n">
        <v>0.8586894074812775</v>
      </c>
      <c r="E1765" t="n">
        <v>0.9543544736673172</v>
      </c>
      <c r="F1765" t="n">
        <v>0.6897075892168659</v>
      </c>
    </row>
    <row r="1766">
      <c r="A1766" t="inlineStr">
        <is>
          <t>G|ORIG_BAL x ASSET_CLASS|where N|outcome_booked|band|4</t>
        </is>
      </c>
      <c r="D1766" t="n">
        <v>1.339453162075143</v>
      </c>
      <c r="E1766" t="n">
        <v>1.609453684791959</v>
      </c>
    </row>
    <row r="1767">
      <c r="A1767" t="inlineStr">
        <is>
          <t>G|ORIG_BAL x ASSET_CLASS|where N|outcome_booked|rate|5</t>
        </is>
      </c>
      <c r="B1767" t="n">
        <v>0.02296048817854681</v>
      </c>
      <c r="C1767" t="n">
        <v>0.04127241320364201</v>
      </c>
      <c r="D1767" t="n">
        <v>0.03484243298522226</v>
      </c>
      <c r="E1767" t="n">
        <v>0.05749854459934164</v>
      </c>
      <c r="F1767" t="n">
        <v>0.03896998389941195</v>
      </c>
    </row>
    <row r="1768">
      <c r="A1768" t="inlineStr">
        <is>
          <t>G|ORIG_BAL x ASSET_CLASS|where N|outcome_booked|book|5</t>
        </is>
      </c>
      <c r="E1768" t="n">
        <v>0.7684005611134618</v>
      </c>
      <c r="F1768" t="n">
        <v>0.5207880947865519</v>
      </c>
    </row>
    <row r="1769">
      <c r="A1769" t="inlineStr">
        <is>
          <t>G|ORIG_BAL x ASSET_CLASS|where N|outcome_booked|band|5</t>
        </is>
      </c>
      <c r="E1769" t="n">
        <v>1.751403923668285</v>
      </c>
    </row>
    <row r="1770">
      <c r="A1770" t="inlineStr">
        <is>
          <t>G|ORIG_BAL x ASSET_CLASS|where N|outcome_booked|rate|6</t>
        </is>
      </c>
    </row>
    <row r="1771">
      <c r="A1771" t="inlineStr">
        <is>
          <t>G|ORIG_BAL x ASSET_CLASS|where N|outcome_booked|book|6</t>
        </is>
      </c>
    </row>
    <row r="1772">
      <c r="A1772" t="inlineStr">
        <is>
          <t>G|ORIG_BAL x ASSET_CLASS|where N|outcome_booked|band|6</t>
        </is>
      </c>
    </row>
    <row r="1773">
      <c r="A1773" t="inlineStr">
        <is>
          <t>G|ORIG_BAL x ASSET_CLASS|where N|outcome_booked|rate|7</t>
        </is>
      </c>
      <c r="B1773" t="n">
        <v>0.04006131886401176</v>
      </c>
      <c r="C1773" t="n">
        <v>0.0411699749517607</v>
      </c>
      <c r="D1773" t="n">
        <v>0.05299436180913607</v>
      </c>
      <c r="E1773" t="n">
        <v>0.07585305848656564</v>
      </c>
      <c r="F1773" t="n">
        <v>0.05260097895035094</v>
      </c>
    </row>
    <row r="1774">
      <c r="A1774" t="inlineStr">
        <is>
          <t>G|ORIG_BAL x ASSET_CLASS|where N|outcome_booked|book|7</t>
        </is>
      </c>
      <c r="B1774" t="n">
        <v>0.5353725056617246</v>
      </c>
      <c r="C1774" t="n">
        <v>0.5501883930175567</v>
      </c>
      <c r="D1774" t="n">
        <v>0.7082074447925457</v>
      </c>
      <c r="E1774" t="n">
        <v>1.013687096071587</v>
      </c>
      <c r="F1774" t="n">
        <v>0.7029503446080243</v>
      </c>
    </row>
    <row r="1775">
      <c r="A1775" t="inlineStr">
        <is>
          <t>G|ORIG_BAL x ASSET_CLASS|where N|outcome_booked|band|7</t>
        </is>
      </c>
    </row>
    <row r="1776">
      <c r="A1776" t="inlineStr">
        <is>
          <t>G|ORIG_BAL x ASSET_CLASS|where N|outcome_booked|meta</t>
        </is>
      </c>
      <c r="B1776" t="inlineStr">
        <is>
          <t>x</t>
        </is>
      </c>
      <c r="C1776" t="n">
        <v>2.251619929148984</v>
      </c>
      <c r="D1776" t="n">
        <v>10</v>
      </c>
      <c r="E1776" t="n">
        <v>0.07482886857347235</v>
      </c>
      <c r="F1776" t="n">
        <v>65</v>
      </c>
    </row>
    <row r="1777">
      <c r="A1777" t="inlineStr">
        <is>
          <t>G|ORIG_BAL x ASSET_CLASS|where N|gco_rate|rate|1</t>
        </is>
      </c>
      <c r="B1777" t="n">
        <v>0.02158221099364878</v>
      </c>
      <c r="C1777" t="n">
        <v>0.02050027446357541</v>
      </c>
      <c r="D1777" t="n">
        <v>0.03353180345793035</v>
      </c>
      <c r="E1777" t="n">
        <v>0.04764406554314145</v>
      </c>
      <c r="F1777" t="n">
        <v>0.03028865191912375</v>
      </c>
    </row>
    <row r="1778">
      <c r="A1778" t="inlineStr">
        <is>
          <t>G|ORIG_BAL x ASSET_CLASS|where N|gco_rate|book|1</t>
        </is>
      </c>
      <c r="C1778" t="n">
        <v>0.4927326937907987</v>
      </c>
      <c r="D1778" t="n">
        <v>0.8059509581125891</v>
      </c>
      <c r="E1778" t="n">
        <v>1.145145095492692</v>
      </c>
      <c r="F1778" t="n">
        <v>0.7280004508192712</v>
      </c>
    </row>
    <row r="1779">
      <c r="A1779" t="inlineStr">
        <is>
          <t>G|ORIG_BAL x ASSET_CLASS|where N|gco_rate|band|1</t>
        </is>
      </c>
      <c r="C1779" t="n">
        <v>0.6015878486647732</v>
      </c>
      <c r="D1779" t="n">
        <v>1.136089468421009</v>
      </c>
      <c r="E1779" t="n">
        <v>1.962724982777365</v>
      </c>
    </row>
    <row r="1780">
      <c r="A1780" t="inlineStr">
        <is>
          <t>G|ORIG_BAL x ASSET_CLASS|where N|gco_rate|rate|2</t>
        </is>
      </c>
      <c r="B1780" t="n">
        <v>0.04512999745407575</v>
      </c>
      <c r="C1780" t="n">
        <v>0.03837919816974449</v>
      </c>
      <c r="D1780" t="n">
        <v>0.05128330326744554</v>
      </c>
      <c r="E1780" t="n">
        <v>0.06450238386420175</v>
      </c>
      <c r="F1780" t="n">
        <v>0.05037744192296543</v>
      </c>
    </row>
    <row r="1781">
      <c r="A1781" t="inlineStr">
        <is>
          <t>G|ORIG_BAL x ASSET_CLASS|where N|gco_rate|book|2</t>
        </is>
      </c>
      <c r="B1781" t="n">
        <v>1.084718414664597</v>
      </c>
      <c r="C1781" t="n">
        <v>0.9224601228295422</v>
      </c>
      <c r="D1781" t="n">
        <v>1.232615700358375</v>
      </c>
      <c r="E1781" t="n">
        <v>1.550341846096102</v>
      </c>
      <c r="F1781" t="n">
        <v>1.210842943058969</v>
      </c>
    </row>
    <row r="1782">
      <c r="A1782" t="inlineStr">
        <is>
          <t>G|ORIG_BAL x ASSET_CLASS|where N|gco_rate|band|2</t>
        </is>
      </c>
      <c r="B1782" t="n">
        <v>0.8648263917598132</v>
      </c>
      <c r="C1782" t="n">
        <v>0.715026488344188</v>
      </c>
      <c r="D1782" t="n">
        <v>1.024699035378357</v>
      </c>
      <c r="E1782" t="n">
        <v>1.421221425359867</v>
      </c>
    </row>
    <row r="1783">
      <c r="A1783" t="inlineStr">
        <is>
          <t>G|ORIG_BAL x ASSET_CLASS|where N|gco_rate|rate|3</t>
        </is>
      </c>
      <c r="B1783" t="n">
        <v>0.03343753926611142</v>
      </c>
      <c r="C1783" t="n">
        <v>0.0175316537276591</v>
      </c>
      <c r="D1783" t="n">
        <v>0.02824016270041421</v>
      </c>
      <c r="E1783" t="n">
        <v>0.04374582534514742</v>
      </c>
      <c r="F1783" t="n">
        <v>0.03023717386085458</v>
      </c>
    </row>
    <row r="1784">
      <c r="A1784" t="inlineStr">
        <is>
          <t>G|ORIG_BAL x ASSET_CLASS|where N|gco_rate|book|3</t>
        </is>
      </c>
      <c r="B1784" t="n">
        <v>0.8036852787312968</v>
      </c>
      <c r="E1784" t="n">
        <v>1.05144925755579</v>
      </c>
      <c r="F1784" t="n">
        <v>0.7267631541007734</v>
      </c>
    </row>
    <row r="1785">
      <c r="A1785" t="inlineStr">
        <is>
          <t>G|ORIG_BAL x ASSET_CLASS|where N|gco_rate|band|3</t>
        </is>
      </c>
      <c r="B1785" t="n">
        <v>1.144709550712721</v>
      </c>
      <c r="E1785" t="n">
        <v>1.693858277472971</v>
      </c>
    </row>
    <row r="1786">
      <c r="A1786" t="inlineStr">
        <is>
          <t>G|ORIG_BAL x ASSET_CLASS|where N|gco_rate|rate|4</t>
        </is>
      </c>
      <c r="B1786" t="n">
        <v>0.0197137893080877</v>
      </c>
      <c r="C1786" t="n">
        <v>0.0266070327924772</v>
      </c>
      <c r="D1786" t="n">
        <v>0.03638140862888396</v>
      </c>
      <c r="E1786" t="n">
        <v>0.03905991768789436</v>
      </c>
      <c r="F1786" t="n">
        <v>0.03044551141022513</v>
      </c>
    </row>
    <row r="1787">
      <c r="A1787" t="inlineStr">
        <is>
          <t>G|ORIG_BAL x ASSET_CLASS|where N|gco_rate|book|4</t>
        </is>
      </c>
      <c r="D1787" t="n">
        <v>0.8744424134157333</v>
      </c>
      <c r="E1787" t="n">
        <v>0.9388215019169254</v>
      </c>
      <c r="F1787" t="n">
        <v>0.7317706344689764</v>
      </c>
    </row>
    <row r="1788">
      <c r="A1788" t="inlineStr">
        <is>
          <t>G|ORIG_BAL x ASSET_CLASS|where N|gco_rate|band|4</t>
        </is>
      </c>
      <c r="D1788" t="n">
        <v>1.266110995020215</v>
      </c>
      <c r="E1788" t="n">
        <v>1.431190260668067</v>
      </c>
    </row>
    <row r="1789">
      <c r="A1789" t="inlineStr">
        <is>
          <t>G|ORIG_BAL x ASSET_CLASS|where N|gco_rate|rate|5</t>
        </is>
      </c>
      <c r="B1789" t="n">
        <v>0.01490243563434412</v>
      </c>
      <c r="C1789" t="n">
        <v>0.02383718764570459</v>
      </c>
      <c r="D1789" t="n">
        <v>0.0170654622375865</v>
      </c>
      <c r="E1789" t="n">
        <v>0.03409135898201892</v>
      </c>
      <c r="F1789" t="n">
        <v>0.0223368630815147</v>
      </c>
    </row>
    <row r="1790">
      <c r="A1790" t="inlineStr">
        <is>
          <t>G|ORIG_BAL x ASSET_CLASS|where N|gco_rate|book|5</t>
        </is>
      </c>
      <c r="E1790" t="n">
        <v>0.8194001097910001</v>
      </c>
      <c r="F1790" t="n">
        <v>0.536875871420476</v>
      </c>
    </row>
    <row r="1791">
      <c r="A1791" t="inlineStr">
        <is>
          <t>G|ORIG_BAL x ASSET_CLASS|where N|gco_rate|band|5</t>
        </is>
      </c>
      <c r="E1791" t="n">
        <v>1.848606949303161</v>
      </c>
    </row>
    <row r="1792">
      <c r="A1792" t="inlineStr">
        <is>
          <t>G|ORIG_BAL x ASSET_CLASS|where N|gco_rate|rate|6</t>
        </is>
      </c>
    </row>
    <row r="1793">
      <c r="A1793" t="inlineStr">
        <is>
          <t>G|ORIG_BAL x ASSET_CLASS|where N|gco_rate|book|6</t>
        </is>
      </c>
    </row>
    <row r="1794">
      <c r="A1794" t="inlineStr">
        <is>
          <t>G|ORIG_BAL x ASSET_CLASS|where N|gco_rate|band|6</t>
        </is>
      </c>
    </row>
    <row r="1795">
      <c r="A1795" t="inlineStr">
        <is>
          <t>G|ORIG_BAL x ASSET_CLASS|where N|gco_rate|rate|7</t>
        </is>
      </c>
      <c r="B1795" t="n">
        <v>0.02428726127203878</v>
      </c>
      <c r="C1795" t="n">
        <v>0.02451582735282238</v>
      </c>
      <c r="D1795" t="n">
        <v>0.02969455401340456</v>
      </c>
      <c r="E1795" t="n">
        <v>0.04228479189813641</v>
      </c>
      <c r="F1795" t="n">
        <v>0.03024578450313006</v>
      </c>
    </row>
    <row r="1796">
      <c r="A1796" t="inlineStr">
        <is>
          <t>G|ORIG_BAL x ASSET_CLASS|where N|gco_rate|book|7</t>
        </is>
      </c>
      <c r="B1796" t="n">
        <v>0.5837545098547645</v>
      </c>
      <c r="C1796" t="n">
        <v>0.58924819145858</v>
      </c>
      <c r="D1796" t="n">
        <v>0.713721058512568</v>
      </c>
      <c r="E1796" t="n">
        <v>1.016332705953357</v>
      </c>
      <c r="F1796" t="n">
        <v>0.7269701144988503</v>
      </c>
    </row>
    <row r="1797">
      <c r="A1797" t="inlineStr">
        <is>
          <t>G|ORIG_BAL x ASSET_CLASS|where N|gco_rate|band|7</t>
        </is>
      </c>
    </row>
    <row r="1798">
      <c r="A1798" t="inlineStr">
        <is>
          <t>G|ORIG_BAL x ASSET_CLASS|where N|gco_rate|meta</t>
        </is>
      </c>
      <c r="B1798" t="inlineStr">
        <is>
          <t>x</t>
        </is>
      </c>
      <c r="C1798" t="n">
        <v>1.962724982777365</v>
      </c>
      <c r="D1798" t="n">
        <v>10</v>
      </c>
      <c r="E1798" t="n">
        <v>0.04160526533333565</v>
      </c>
      <c r="F1798" t="n">
        <v>65</v>
      </c>
    </row>
    <row r="1799">
      <c r="A1799" t="inlineStr">
        <is>
          <t>G|ORIG_BAL x ASSET_CLASS|where N|ranr_rate|rate|1</t>
        </is>
      </c>
      <c r="B1799" t="n">
        <v>0.176239434966219</v>
      </c>
      <c r="C1799" t="n">
        <v>0.1603051910266928</v>
      </c>
      <c r="D1799" t="n">
        <v>0.1528983361923</v>
      </c>
      <c r="E1799" t="n">
        <v>0.1465345434258317</v>
      </c>
      <c r="F1799" t="n">
        <v>0.1596536367322222</v>
      </c>
    </row>
    <row r="1800">
      <c r="A1800" t="inlineStr">
        <is>
          <t>G|ORIG_BAL x ASSET_CLASS|where N|ranr_rate|book|1</t>
        </is>
      </c>
      <c r="B1800" t="n">
        <v>4.824938532</v>
      </c>
      <c r="C1800" t="n">
        <v>3.231514138</v>
      </c>
      <c r="D1800" t="n">
        <v>2.490828654</v>
      </c>
      <c r="E1800" t="n">
        <v>1.854449378</v>
      </c>
      <c r="F1800" t="n">
        <v>3.166358708</v>
      </c>
    </row>
    <row r="1801">
      <c r="A1801" t="inlineStr">
        <is>
          <t>G|ORIG_BAL x ASSET_CLASS|where N|ranr_rate|band|1</t>
        </is>
      </c>
      <c r="B1801" t="n">
        <v>2.275259187</v>
      </c>
      <c r="C1801" t="n">
        <v>0.090371835</v>
      </c>
      <c r="D1801" t="n">
        <v>-0.836654843</v>
      </c>
      <c r="E1801" t="n">
        <v>-1.766527722</v>
      </c>
    </row>
    <row r="1802">
      <c r="A1802" t="inlineStr">
        <is>
          <t>G|ORIG_BAL x ASSET_CLASS|where N|ranr_rate|rate|2</t>
        </is>
      </c>
      <c r="B1802" t="n">
        <v>0.1469879840652782</v>
      </c>
      <c r="C1802" t="n">
        <v>0.1255047377985213</v>
      </c>
      <c r="D1802" t="n">
        <v>0.1203622319666544</v>
      </c>
      <c r="E1802" t="n">
        <v>0.09377246264905374</v>
      </c>
      <c r="F1802" t="n">
        <v>0.1213459153188463</v>
      </c>
    </row>
    <row r="1803">
      <c r="A1803" t="inlineStr">
        <is>
          <t>G|ORIG_BAL x ASSET_CLASS|where N|ranr_rate|book|2</t>
        </is>
      </c>
      <c r="B1803" t="n">
        <v>1.899793442</v>
      </c>
      <c r="C1803" t="n">
        <v>-0.248531185</v>
      </c>
      <c r="D1803" t="n">
        <v>-0.762781768</v>
      </c>
      <c r="E1803" t="n">
        <v>-3.4217587</v>
      </c>
      <c r="F1803" t="n">
        <v>-0.664413433</v>
      </c>
    </row>
    <row r="1804">
      <c r="A1804" t="inlineStr">
        <is>
          <t>G|ORIG_BAL x ASSET_CLASS|where N|ranr_rate|band|2</t>
        </is>
      </c>
      <c r="B1804" t="n">
        <v>3.446938145</v>
      </c>
      <c r="C1804" t="n">
        <v>0.5301893050000001</v>
      </c>
      <c r="D1804" t="n">
        <v>-0.134231131</v>
      </c>
      <c r="E1804" t="n">
        <v>-3.731891014</v>
      </c>
    </row>
    <row r="1805">
      <c r="A1805" t="inlineStr">
        <is>
          <t>G|ORIG_BAL x ASSET_CLASS|where N|ranr_rate|rate|3</t>
        </is>
      </c>
      <c r="B1805" t="n">
        <v>0.1390020442669093</v>
      </c>
      <c r="C1805" t="n">
        <v>0.1391589892053816</v>
      </c>
      <c r="D1805" t="n">
        <v>0.1339264829545374</v>
      </c>
      <c r="E1805" t="n">
        <v>0.1336109603303161</v>
      </c>
      <c r="F1805" t="n">
        <v>0.136587610943413</v>
      </c>
    </row>
    <row r="1806">
      <c r="A1806" t="inlineStr">
        <is>
          <t>G|ORIG_BAL x ASSET_CLASS|where N|ranr_rate|book|3</t>
        </is>
      </c>
      <c r="B1806" t="n">
        <v>1.101199462</v>
      </c>
      <c r="C1806" t="n">
        <v>1.116893956</v>
      </c>
      <c r="D1806" t="n">
        <v>0.593643331</v>
      </c>
      <c r="E1806" t="n">
        <v>0.562091068</v>
      </c>
      <c r="F1806" t="n">
        <v>0.85975613</v>
      </c>
    </row>
    <row r="1807">
      <c r="A1807" t="inlineStr">
        <is>
          <t>G|ORIG_BAL x ASSET_CLASS|where N|ranr_rate|band|3</t>
        </is>
      </c>
      <c r="B1807" t="n">
        <v>0.318898038</v>
      </c>
      <c r="C1807" t="n">
        <v>0.361058463</v>
      </c>
      <c r="D1807" t="n">
        <v>-0.342549148</v>
      </c>
      <c r="E1807" t="n">
        <v>-0.394862765</v>
      </c>
    </row>
    <row r="1808">
      <c r="A1808" t="inlineStr">
        <is>
          <t>G|ORIG_BAL x ASSET_CLASS|where N|ranr_rate|rate|4</t>
        </is>
      </c>
      <c r="B1808" t="n">
        <v>0.140071043511119</v>
      </c>
      <c r="C1808" t="n">
        <v>0.1476099886963977</v>
      </c>
      <c r="D1808" t="n">
        <v>0.1406694530167586</v>
      </c>
      <c r="E1808" t="n">
        <v>0.1371560416648463</v>
      </c>
      <c r="F1808" t="n">
        <v>0.1414110073367784</v>
      </c>
    </row>
    <row r="1809">
      <c r="A1809" t="inlineStr">
        <is>
          <t>G|ORIG_BAL x ASSET_CLASS|where N|ranr_rate|book|4</t>
        </is>
      </c>
      <c r="B1809" t="n">
        <v>1.208099386</v>
      </c>
      <c r="C1809" t="n">
        <v>1.961993905</v>
      </c>
      <c r="D1809" t="n">
        <v>1.267940337</v>
      </c>
      <c r="E1809" t="n">
        <v>0.916599202</v>
      </c>
      <c r="F1809" t="n">
        <v>1.342095769</v>
      </c>
    </row>
    <row r="1810">
      <c r="A1810" t="inlineStr">
        <is>
          <t>G|ORIG_BAL x ASSET_CLASS|where N|ranr_rate|band|4</t>
        </is>
      </c>
      <c r="B1810" t="n">
        <v>-0.177554645</v>
      </c>
      <c r="C1810" t="n">
        <v>0.841686482</v>
      </c>
      <c r="D1810" t="n">
        <v>-0.095497373</v>
      </c>
      <c r="E1810" t="n">
        <v>-0.581033553</v>
      </c>
    </row>
    <row r="1811">
      <c r="A1811" t="inlineStr">
        <is>
          <t>G|ORIG_BAL x ASSET_CLASS|where N|ranr_rate|rate|5</t>
        </is>
      </c>
      <c r="B1811" t="n">
        <v>0.1530163316614484</v>
      </c>
      <c r="C1811" t="n">
        <v>0.1454540254647117</v>
      </c>
      <c r="D1811" t="n">
        <v>0.1434917227991685</v>
      </c>
      <c r="E1811" t="n">
        <v>0.1364650676468008</v>
      </c>
      <c r="F1811" t="n">
        <v>0.1446173821485803</v>
      </c>
    </row>
    <row r="1812">
      <c r="A1812" t="inlineStr">
        <is>
          <t>G|ORIG_BAL x ASSET_CLASS|where N|ranr_rate|book|5</t>
        </is>
      </c>
      <c r="B1812" t="n">
        <v>2.502628201</v>
      </c>
      <c r="C1812" t="n">
        <v>1.746397582</v>
      </c>
      <c r="D1812" t="n">
        <v>1.550167315</v>
      </c>
      <c r="E1812" t="n">
        <v>0.8475018</v>
      </c>
      <c r="F1812" t="n">
        <v>1.66273325</v>
      </c>
    </row>
    <row r="1813">
      <c r="A1813" t="inlineStr">
        <is>
          <t>G|ORIG_BAL x ASSET_CLASS|where N|ranr_rate|band|5</t>
        </is>
      </c>
      <c r="B1813" t="n">
        <v>1.125360218</v>
      </c>
      <c r="C1813" t="n">
        <v>0.109175113</v>
      </c>
      <c r="D1813" t="n">
        <v>-0.15289418</v>
      </c>
      <c r="E1813" t="n">
        <v>-1.085383545</v>
      </c>
    </row>
    <row r="1814">
      <c r="A1814" t="inlineStr">
        <is>
          <t>G|ORIG_BAL x ASSET_CLASS|where N|ranr_rate|rate|6</t>
        </is>
      </c>
    </row>
    <row r="1815">
      <c r="A1815" t="inlineStr">
        <is>
          <t>G|ORIG_BAL x ASSET_CLASS|where N|ranr_rate|book|6</t>
        </is>
      </c>
    </row>
    <row r="1816">
      <c r="A1816" t="inlineStr">
        <is>
          <t>G|ORIG_BAL x ASSET_CLASS|where N|ranr_rate|band|6</t>
        </is>
      </c>
    </row>
    <row r="1817">
      <c r="A1817" t="inlineStr">
        <is>
          <t>G|ORIG_BAL x ASSET_CLASS|where N|ranr_rate|rate|7</t>
        </is>
      </c>
      <c r="B1817" t="n">
        <v>0.147728983035105</v>
      </c>
      <c r="C1817" t="n">
        <v>0.1434312623085464</v>
      </c>
      <c r="D1817" t="n">
        <v>0.1381391917896836</v>
      </c>
      <c r="E1817" t="n">
        <v>0.131065555320466</v>
      </c>
      <c r="F1817" t="n">
        <v>0.1400760724959788</v>
      </c>
    </row>
    <row r="1818">
      <c r="A1818" t="inlineStr">
        <is>
          <t>G|ORIG_BAL x ASSET_CLASS|where N|ranr_rate|book|7</t>
        </is>
      </c>
      <c r="B1818" t="n">
        <v>1.973893339</v>
      </c>
      <c r="C1818" t="n">
        <v>1.544121266</v>
      </c>
      <c r="D1818" t="n">
        <v>1.014914214</v>
      </c>
      <c r="E1818" t="n">
        <v>0.307550567</v>
      </c>
      <c r="F1818" t="n">
        <v>1.208602285</v>
      </c>
    </row>
    <row r="1819">
      <c r="A1819" t="inlineStr">
        <is>
          <t>G|ORIG_BAL x ASSET_CLASS|where N|ranr_rate|band|7</t>
        </is>
      </c>
    </row>
    <row r="1820">
      <c r="A1820" t="inlineStr">
        <is>
          <t>G|ORIG_BAL x ASSET_CLASS|where N|ranr_rate|meta</t>
        </is>
      </c>
      <c r="B1820" t="inlineStr">
        <is>
          <t>pts</t>
        </is>
      </c>
      <c r="C1820" t="n">
        <v>4.824938532</v>
      </c>
      <c r="D1820" t="n">
        <v>10</v>
      </c>
      <c r="E1820" t="n">
        <v>0.1279900496481481</v>
      </c>
      <c r="F1820" t="n">
        <v>65</v>
      </c>
    </row>
    <row r="1821">
      <c r="A1821" t="inlineStr">
        <is>
          <t>G|ORIG_BAL x ASSET_CLASS|where N|contribution_rate|rate|1</t>
        </is>
      </c>
      <c r="B1821" t="n">
        <v>0.1978216459598678</v>
      </c>
      <c r="C1821" t="n">
        <v>0.1808054654902682</v>
      </c>
      <c r="D1821" t="n">
        <v>0.1864301396502303</v>
      </c>
      <c r="E1821" t="n">
        <v>0.1941786089689732</v>
      </c>
      <c r="F1821" t="n">
        <v>0.189942288651346</v>
      </c>
    </row>
    <row r="1822">
      <c r="A1822" t="inlineStr">
        <is>
          <t>G|ORIG_BAL x ASSET_CLASS|where N|contribution_rate|book|1</t>
        </is>
      </c>
      <c r="B1822" t="n">
        <v>2.822919022</v>
      </c>
      <c r="C1822" t="n">
        <v>1.121300976</v>
      </c>
      <c r="D1822" t="n">
        <v>1.683768392</v>
      </c>
      <c r="E1822" t="n">
        <v>2.458615323</v>
      </c>
      <c r="F1822" t="n">
        <v>2.034983292</v>
      </c>
    </row>
    <row r="1823">
      <c r="A1823" t="inlineStr">
        <is>
          <t>G|ORIG_BAL x ASSET_CLASS|where N|contribution_rate|band|1</t>
        </is>
      </c>
      <c r="B1823" t="n">
        <v>1.080899445</v>
      </c>
      <c r="C1823" t="n">
        <v>-1.267294958</v>
      </c>
      <c r="D1823" t="n">
        <v>-0.434985306</v>
      </c>
      <c r="E1823" t="n">
        <v>0.570434031</v>
      </c>
    </row>
    <row r="1824">
      <c r="A1824" t="inlineStr">
        <is>
          <t>G|ORIG_BAL x ASSET_CLASS|where N|contribution_rate|rate|2</t>
        </is>
      </c>
      <c r="B1824" t="n">
        <v>0.192117981519354</v>
      </c>
      <c r="C1824" t="n">
        <v>0.1638839359682658</v>
      </c>
      <c r="D1824" t="n">
        <v>0.1716455352340999</v>
      </c>
      <c r="E1824" t="n">
        <v>0.1582748465132555</v>
      </c>
      <c r="F1824" t="n">
        <v>0.1717233572418117</v>
      </c>
    </row>
    <row r="1825">
      <c r="A1825" t="inlineStr">
        <is>
          <t>G|ORIG_BAL x ASSET_CLASS|where N|contribution_rate|book|2</t>
        </is>
      </c>
      <c r="B1825" t="n">
        <v>2.252552578</v>
      </c>
      <c r="C1825" t="n">
        <v>-0.570851977</v>
      </c>
      <c r="D1825" t="n">
        <v>0.20530795</v>
      </c>
      <c r="E1825" t="n">
        <v>-1.131760922</v>
      </c>
      <c r="F1825" t="n">
        <v>0.213090151</v>
      </c>
    </row>
    <row r="1826">
      <c r="A1826" t="inlineStr">
        <is>
          <t>G|ORIG_BAL x ASSET_CLASS|where N|contribution_rate|band|2</t>
        </is>
      </c>
      <c r="B1826" t="n">
        <v>2.741549798</v>
      </c>
      <c r="C1826" t="n">
        <v>-0.999412053</v>
      </c>
      <c r="D1826" t="n">
        <v>-0.010619409</v>
      </c>
      <c r="E1826" t="n">
        <v>-1.820170181</v>
      </c>
    </row>
    <row r="1827">
      <c r="A1827" t="inlineStr">
        <is>
          <t>G|ORIG_BAL x ASSET_CLASS|where N|contribution_rate|rate|3</t>
        </is>
      </c>
      <c r="B1827" t="n">
        <v>0.1724395835330208</v>
      </c>
      <c r="C1827" t="n">
        <v>0.1566906429330407</v>
      </c>
      <c r="D1827" t="n">
        <v>0.1621666456549517</v>
      </c>
      <c r="E1827" t="n">
        <v>0.1773567856754636</v>
      </c>
      <c r="F1827" t="n">
        <v>0.1668247848042676</v>
      </c>
    </row>
    <row r="1828">
      <c r="A1828" t="inlineStr">
        <is>
          <t>G|ORIG_BAL x ASSET_CLASS|where N|contribution_rate|book|3</t>
        </is>
      </c>
      <c r="B1828" t="n">
        <v>0.28471278</v>
      </c>
      <c r="C1828" t="n">
        <v>-1.29018128</v>
      </c>
      <c r="D1828" t="n">
        <v>-0.742581008</v>
      </c>
      <c r="E1828" t="n">
        <v>0.776432994</v>
      </c>
      <c r="F1828" t="n">
        <v>-0.276767093</v>
      </c>
    </row>
    <row r="1829">
      <c r="A1829" t="inlineStr">
        <is>
          <t>G|ORIG_BAL x ASSET_CLASS|where N|contribution_rate|band|3</t>
        </is>
      </c>
      <c r="B1829" t="n">
        <v>0.741601883</v>
      </c>
      <c r="C1829" t="n">
        <v>-1.422979162</v>
      </c>
      <c r="D1829" t="n">
        <v>-0.599610993</v>
      </c>
      <c r="E1829" t="n">
        <v>1.397105514</v>
      </c>
    </row>
    <row r="1830">
      <c r="A1830" t="inlineStr">
        <is>
          <t>G|ORIG_BAL x ASSET_CLASS|where N|contribution_rate|rate|4</t>
        </is>
      </c>
      <c r="B1830" t="n">
        <v>0.1597559262386171</v>
      </c>
      <c r="C1830" t="n">
        <v>0.1742170214888749</v>
      </c>
      <c r="D1830" t="n">
        <v>0.1770508616456425</v>
      </c>
      <c r="E1830" t="n">
        <v>0.1762159593527407</v>
      </c>
      <c r="F1830" t="n">
        <v>0.1718509057779426</v>
      </c>
    </row>
    <row r="1831">
      <c r="A1831" t="inlineStr">
        <is>
          <t>G|ORIG_BAL x ASSET_CLASS|where N|contribution_rate|book|4</t>
        </is>
      </c>
      <c r="B1831" t="n">
        <v>-0.98365295</v>
      </c>
      <c r="C1831" t="n">
        <v>0.462456575</v>
      </c>
      <c r="D1831" t="n">
        <v>0.745840591</v>
      </c>
      <c r="E1831" t="n">
        <v>0.662350362</v>
      </c>
      <c r="F1831" t="n">
        <v>0.225845004</v>
      </c>
    </row>
    <row r="1832">
      <c r="A1832" t="inlineStr">
        <is>
          <t>G|ORIG_BAL x ASSET_CLASS|where N|contribution_rate|band|4</t>
        </is>
      </c>
      <c r="B1832" t="n">
        <v>-1.600931846</v>
      </c>
      <c r="C1832" t="n">
        <v>0.321391756</v>
      </c>
      <c r="D1832" t="n">
        <v>0.669859675</v>
      </c>
      <c r="E1832" t="n">
        <v>0.596303176</v>
      </c>
    </row>
    <row r="1833">
      <c r="A1833" t="inlineStr">
        <is>
          <t>G|ORIG_BAL x ASSET_CLASS|where N|contribution_rate|rate|5</t>
        </is>
      </c>
      <c r="B1833" t="n">
        <v>0.1679187672957926</v>
      </c>
      <c r="C1833" t="n">
        <v>0.1692912131104163</v>
      </c>
      <c r="D1833" t="n">
        <v>0.160557185036755</v>
      </c>
      <c r="E1833" t="n">
        <v>0.1705564266288198</v>
      </c>
      <c r="F1833" t="n">
        <v>0.166954245230095</v>
      </c>
    </row>
    <row r="1834">
      <c r="A1834" t="inlineStr">
        <is>
          <t>G|ORIG_BAL x ASSET_CLASS|where N|contribution_rate|book|5</t>
        </is>
      </c>
      <c r="B1834" t="n">
        <v>-0.167368844</v>
      </c>
      <c r="C1834" t="n">
        <v>-0.030124262</v>
      </c>
      <c r="D1834" t="n">
        <v>-0.90352707</v>
      </c>
      <c r="E1834" t="n">
        <v>0.09639708900000001</v>
      </c>
      <c r="F1834" t="n">
        <v>-0.26382105</v>
      </c>
    </row>
    <row r="1835">
      <c r="A1835" t="inlineStr">
        <is>
          <t>G|ORIG_BAL x ASSET_CLASS|where N|contribution_rate|band|5</t>
        </is>
      </c>
      <c r="B1835" t="n">
        <v>0.129234586</v>
      </c>
      <c r="C1835" t="n">
        <v>0.304955204</v>
      </c>
      <c r="D1835" t="n">
        <v>-0.868889216</v>
      </c>
      <c r="E1835" t="n">
        <v>0.479587535</v>
      </c>
    </row>
    <row r="1836">
      <c r="A1836" t="inlineStr">
        <is>
          <t>G|ORIG_BAL x ASSET_CLASS|where N|contribution_rate|rate|6</t>
        </is>
      </c>
    </row>
    <row r="1837">
      <c r="A1837" t="inlineStr">
        <is>
          <t>G|ORIG_BAL x ASSET_CLASS|where N|contribution_rate|book|6</t>
        </is>
      </c>
    </row>
    <row r="1838">
      <c r="A1838" t="inlineStr">
        <is>
          <t>G|ORIG_BAL x ASSET_CLASS|where N|contribution_rate|band|6</t>
        </is>
      </c>
    </row>
    <row r="1839">
      <c r="A1839" t="inlineStr">
        <is>
          <t>G|ORIG_BAL x ASSET_CLASS|where N|contribution_rate|rate|7</t>
        </is>
      </c>
      <c r="B1839" t="n">
        <v>0.1720175555717958</v>
      </c>
      <c r="C1839" t="n">
        <v>0.1679470896613688</v>
      </c>
      <c r="D1839" t="n">
        <v>0.1678337458030882</v>
      </c>
      <c r="E1839" t="n">
        <v>0.1733503472186024</v>
      </c>
      <c r="F1839" t="n">
        <v>0.1703199959681274</v>
      </c>
    </row>
    <row r="1840">
      <c r="A1840" t="inlineStr">
        <is>
          <t>G|ORIG_BAL x ASSET_CLASS|where N|contribution_rate|book|7</t>
        </is>
      </c>
      <c r="B1840" t="n">
        <v>0.242509984</v>
      </c>
      <c r="C1840" t="n">
        <v>-0.164536607</v>
      </c>
      <c r="D1840" t="n">
        <v>-0.175870993</v>
      </c>
      <c r="E1840" t="n">
        <v>0.375789148</v>
      </c>
      <c r="F1840" t="n">
        <v>0.072754023</v>
      </c>
    </row>
    <row r="1841">
      <c r="A1841" t="inlineStr">
        <is>
          <t>G|ORIG_BAL x ASSET_CLASS|where N|contribution_rate|band|7</t>
        </is>
      </c>
    </row>
    <row r="1842">
      <c r="A1842" t="inlineStr">
        <is>
          <t>G|ORIG_BAL x ASSET_CLASS|where N|contribution_rate|meta</t>
        </is>
      </c>
      <c r="B1842" t="inlineStr">
        <is>
          <t>pts</t>
        </is>
      </c>
      <c r="C1842" t="n">
        <v>2.822919022</v>
      </c>
      <c r="D1842" t="n">
        <v>10</v>
      </c>
      <c r="E1842" t="n">
        <v>0.1695924557349815</v>
      </c>
      <c r="F1842" t="n">
        <v>65</v>
      </c>
    </row>
    <row r="1843">
      <c r="A1843" t="inlineStr">
        <is>
          <t>G|ORIG_BAL x ASSET_CLASS|where N|loan_size|rate|1</t>
        </is>
      </c>
      <c r="B1843" t="n">
        <v>10215.85012658228</v>
      </c>
      <c r="C1843" t="n">
        <v>10215.38102459016</v>
      </c>
      <c r="D1843" t="n">
        <v>10119.55535294118</v>
      </c>
      <c r="E1843" t="n">
        <v>10038.8827510917</v>
      </c>
      <c r="F1843" t="n">
        <v>10151.06592045454</v>
      </c>
    </row>
    <row r="1844">
      <c r="A1844" t="inlineStr">
        <is>
          <t>G|ORIG_BAL x ASSET_CLASS|where N|loan_size|median|1</t>
        </is>
      </c>
      <c r="B1844" t="n">
        <v>10247.71</v>
      </c>
      <c r="C1844" t="n">
        <v>10169.67</v>
      </c>
      <c r="D1844" t="n">
        <v>9953.065000000001</v>
      </c>
      <c r="E1844" t="n">
        <v>9973.889999999999</v>
      </c>
      <c r="F1844" t="n">
        <v>10103.33</v>
      </c>
    </row>
    <row r="1845">
      <c r="A1845" t="inlineStr">
        <is>
          <t>G|ORIG_BAL x ASSET_CLASS|where N|loan_size|book|1</t>
        </is>
      </c>
      <c r="B1845" t="n">
        <v>0.3166469454891522</v>
      </c>
      <c r="C1845" t="n">
        <v>0.3166324053665893</v>
      </c>
      <c r="D1845" t="n">
        <v>0.3136622261009259</v>
      </c>
      <c r="E1845" t="n">
        <v>0.3111617261284538</v>
      </c>
      <c r="F1845" t="n">
        <v>0.3146389167169888</v>
      </c>
    </row>
    <row r="1846">
      <c r="A1846" t="inlineStr">
        <is>
          <t>G|ORIG_BAL x ASSET_CLASS|where N|loan_size|band|1</t>
        </is>
      </c>
      <c r="B1846" t="n">
        <v>1.008754916166913</v>
      </c>
      <c r="C1846" t="n">
        <v>1.00878787390627</v>
      </c>
      <c r="D1846" t="n">
        <v>0.9961554436505838</v>
      </c>
      <c r="E1846" t="n">
        <v>0.9851189802279212</v>
      </c>
    </row>
    <row r="1847">
      <c r="A1847" t="inlineStr">
        <is>
          <t>G|ORIG_BAL x ASSET_CLASS|where N|loan_size|rate|2</t>
        </is>
      </c>
      <c r="B1847" t="n">
        <v>20658.8953125</v>
      </c>
      <c r="C1847" t="n">
        <v>20945.42741935484</v>
      </c>
      <c r="D1847" t="n">
        <v>20631.70547008547</v>
      </c>
      <c r="E1847" t="n">
        <v>21160.62578475336</v>
      </c>
      <c r="F1847" t="n">
        <v>20842.0769088812</v>
      </c>
    </row>
    <row r="1848">
      <c r="A1848" t="inlineStr">
        <is>
          <t>G|ORIG_BAL x ASSET_CLASS|where N|loan_size|median|2</t>
        </is>
      </c>
      <c r="B1848" t="n">
        <v>20475.045</v>
      </c>
      <c r="C1848" t="n">
        <v>21528.245</v>
      </c>
      <c r="D1848" t="n">
        <v>20634.15</v>
      </c>
      <c r="E1848" t="n">
        <v>21387.04</v>
      </c>
      <c r="F1848" t="n">
        <v>20891.92</v>
      </c>
    </row>
    <row r="1849">
      <c r="A1849" t="inlineStr">
        <is>
          <t>G|ORIG_BAL x ASSET_CLASS|where N|loan_size|book|2</t>
        </is>
      </c>
      <c r="B1849" t="n">
        <v>0.6403359501977914</v>
      </c>
      <c r="C1849" t="n">
        <v>0.6492171999514532</v>
      </c>
      <c r="D1849" t="n">
        <v>0.6394931832775437</v>
      </c>
      <c r="E1849" t="n">
        <v>0.6558874138086821</v>
      </c>
      <c r="F1849" t="n">
        <v>0.6460137833927991</v>
      </c>
    </row>
    <row r="1850">
      <c r="A1850" t="inlineStr">
        <is>
          <t>G|ORIG_BAL x ASSET_CLASS|where N|loan_size|band|2</t>
        </is>
      </c>
      <c r="B1850" t="n">
        <v>0.9881853387165684</v>
      </c>
      <c r="C1850" t="n">
        <v>1.00632167568334</v>
      </c>
      <c r="D1850" t="n">
        <v>0.9862265190837269</v>
      </c>
      <c r="E1850" t="n">
        <v>1.020685826806323</v>
      </c>
    </row>
    <row r="1851">
      <c r="A1851" t="inlineStr">
        <is>
          <t>G|ORIG_BAL x ASSET_CLASS|where N|loan_size|rate|3</t>
        </is>
      </c>
      <c r="B1851" t="n">
        <v>31875.89493023256</v>
      </c>
      <c r="C1851" t="n">
        <v>32100.2661660079</v>
      </c>
      <c r="D1851" t="n">
        <v>31799.23984848485</v>
      </c>
      <c r="E1851" t="n">
        <v>31860.91279816514</v>
      </c>
      <c r="F1851" t="n">
        <v>31919.24573529412</v>
      </c>
    </row>
    <row r="1852">
      <c r="A1852" t="inlineStr">
        <is>
          <t>G|ORIG_BAL x ASSET_CLASS|where N|loan_size|median|3</t>
        </is>
      </c>
      <c r="B1852" t="n">
        <v>31719.68</v>
      </c>
      <c r="C1852" t="n">
        <v>32147.3</v>
      </c>
      <c r="D1852" t="n">
        <v>31874.03</v>
      </c>
      <c r="E1852" t="n">
        <v>31737.305</v>
      </c>
      <c r="F1852" t="n">
        <v>31804.46</v>
      </c>
    </row>
    <row r="1853">
      <c r="A1853" t="inlineStr">
        <is>
          <t>G|ORIG_BAL x ASSET_CLASS|where N|loan_size|book|3</t>
        </is>
      </c>
      <c r="B1853" t="n">
        <v>0.9880141779025934</v>
      </c>
      <c r="C1853" t="n">
        <v>0.9949687108669153</v>
      </c>
      <c r="D1853" t="n">
        <v>0.9856382035890632</v>
      </c>
      <c r="E1853" t="n">
        <v>0.9875497969360285</v>
      </c>
      <c r="F1853" t="n">
        <v>0.9893578644129817</v>
      </c>
    </row>
    <row r="1854">
      <c r="A1854" t="inlineStr">
        <is>
          <t>G|ORIG_BAL x ASSET_CLASS|where N|loan_size|band|3</t>
        </is>
      </c>
      <c r="B1854" t="n">
        <v>0.9982061704337519</v>
      </c>
      <c r="C1854" t="n">
        <v>1.007963180029094</v>
      </c>
      <c r="D1854" t="n">
        <v>0.9951604268433825</v>
      </c>
      <c r="E1854" t="n">
        <v>0.9975757380545586</v>
      </c>
    </row>
    <row r="1855">
      <c r="A1855" t="inlineStr">
        <is>
          <t>G|ORIG_BAL x ASSET_CLASS|where N|loan_size|rate|4</t>
        </is>
      </c>
      <c r="B1855" t="n">
        <v>43366.02101449276</v>
      </c>
      <c r="C1855" t="n">
        <v>43629.22624434389</v>
      </c>
      <c r="D1855" t="n">
        <v>43730.28326203208</v>
      </c>
      <c r="E1855" t="n">
        <v>43534.2796</v>
      </c>
      <c r="F1855" t="n">
        <v>43561.43003571428</v>
      </c>
    </row>
    <row r="1856">
      <c r="A1856" t="inlineStr">
        <is>
          <t>G|ORIG_BAL x ASSET_CLASS|where N|loan_size|median|4</t>
        </is>
      </c>
      <c r="B1856" t="n">
        <v>43534.85</v>
      </c>
      <c r="C1856" t="n">
        <v>43936.63</v>
      </c>
      <c r="D1856" t="n">
        <v>43673.2</v>
      </c>
      <c r="E1856" t="n">
        <v>43626.49</v>
      </c>
      <c r="F1856" t="n">
        <v>43690.725</v>
      </c>
    </row>
    <row r="1857">
      <c r="A1857" t="inlineStr">
        <is>
          <t>G|ORIG_BAL x ASSET_CLASS|where N|loan_size|book|4</t>
        </is>
      </c>
      <c r="B1857" t="n">
        <v>1.344158138785409</v>
      </c>
      <c r="C1857" t="n">
        <v>1.352316356754197</v>
      </c>
      <c r="D1857" t="n">
        <v>1.355448685006346</v>
      </c>
      <c r="E1857" t="n">
        <v>1.349373423513849</v>
      </c>
      <c r="F1857" t="n">
        <v>1.35021496899769</v>
      </c>
    </row>
    <row r="1858">
      <c r="A1858" t="inlineStr">
        <is>
          <t>G|ORIG_BAL x ASSET_CLASS|where N|loan_size|band|4</t>
        </is>
      </c>
      <c r="B1858" t="n">
        <v>0.9940559638129519</v>
      </c>
      <c r="C1858" t="n">
        <v>1.002113164474663</v>
      </c>
      <c r="D1858" t="n">
        <v>1.004991782892987</v>
      </c>
      <c r="E1858" t="n">
        <v>0.9991489014964388</v>
      </c>
    </row>
    <row r="1859">
      <c r="A1859" t="inlineStr">
        <is>
          <t>G|ORIG_BAL x ASSET_CLASS|where N|loan_size|rate|5</t>
        </is>
      </c>
      <c r="B1859" t="n">
        <v>54616.08293577981</v>
      </c>
      <c r="C1859" t="n">
        <v>54565.65641791045</v>
      </c>
      <c r="D1859" t="n">
        <v>54780.40685840708</v>
      </c>
      <c r="E1859" t="n">
        <v>54848.00431924882</v>
      </c>
      <c r="F1859" t="n">
        <v>54705.12807692308</v>
      </c>
    </row>
    <row r="1860">
      <c r="A1860" t="inlineStr">
        <is>
          <t>G|ORIG_BAL x ASSET_CLASS|where N|loan_size|median|5</t>
        </is>
      </c>
      <c r="B1860" t="n">
        <v>54419.83</v>
      </c>
      <c r="C1860" t="n">
        <v>54537.97</v>
      </c>
      <c r="D1860" t="n">
        <v>54781.96000000001</v>
      </c>
      <c r="E1860" t="n">
        <v>54772.37</v>
      </c>
      <c r="F1860" t="n">
        <v>54664.42</v>
      </c>
    </row>
    <row r="1861">
      <c r="A1861" t="inlineStr">
        <is>
          <t>G|ORIG_BAL x ASSET_CLASS|where N|loan_size|book|5</t>
        </is>
      </c>
      <c r="B1861" t="n">
        <v>1.692861154178132</v>
      </c>
      <c r="C1861" t="n">
        <v>1.691298151328918</v>
      </c>
      <c r="D1861" t="n">
        <v>1.697954481461323</v>
      </c>
      <c r="E1861" t="n">
        <v>1.700049708900366</v>
      </c>
      <c r="F1861" t="n">
        <v>1.695621166473173</v>
      </c>
    </row>
    <row r="1862">
      <c r="A1862" t="inlineStr">
        <is>
          <t>G|ORIG_BAL x ASSET_CLASS|where N|loan_size|band|5</t>
        </is>
      </c>
      <c r="B1862" t="n">
        <v>0.9978190346010473</v>
      </c>
      <c r="C1862" t="n">
        <v>0.9966730886167244</v>
      </c>
      <c r="D1862" t="n">
        <v>1.001869082672806</v>
      </c>
      <c r="E1862" t="n">
        <v>1.003477236967605</v>
      </c>
    </row>
    <row r="1863">
      <c r="A1863" t="inlineStr">
        <is>
          <t>G|ORIG_BAL x ASSET_CLASS|where N|loan_size|rate|6</t>
        </is>
      </c>
    </row>
    <row r="1864">
      <c r="A1864" t="inlineStr">
        <is>
          <t>G|ORIG_BAL x ASSET_CLASS|where N|loan_size|median|6</t>
        </is>
      </c>
    </row>
    <row r="1865">
      <c r="A1865" t="inlineStr">
        <is>
          <t>G|ORIG_BAL x ASSET_CLASS|where N|loan_size|book|6</t>
        </is>
      </c>
    </row>
    <row r="1866">
      <c r="A1866" t="inlineStr">
        <is>
          <t>G|ORIG_BAL x ASSET_CLASS|where N|loan_size|band|6</t>
        </is>
      </c>
    </row>
    <row r="1867">
      <c r="A1867" t="inlineStr">
        <is>
          <t>G|ORIG_BAL x ASSET_CLASS|where N|loan_size|rate|7</t>
        </is>
      </c>
      <c r="B1867" t="n">
        <v>31594.13158038147</v>
      </c>
      <c r="C1867" t="n">
        <v>31782.37624434389</v>
      </c>
      <c r="D1867" t="n">
        <v>32908.69743842365</v>
      </c>
      <c r="E1867" t="n">
        <v>31986.67916967509</v>
      </c>
      <c r="F1867" t="n">
        <v>32050.87388311388</v>
      </c>
    </row>
    <row r="1868">
      <c r="A1868" t="inlineStr">
        <is>
          <t>G|ORIG_BAL x ASSET_CLASS|where N|loan_size|median|7</t>
        </is>
      </c>
      <c r="B1868" t="n">
        <v>30767.26</v>
      </c>
      <c r="C1868" t="n">
        <v>31745.09</v>
      </c>
      <c r="D1868" t="n">
        <v>32117.38</v>
      </c>
      <c r="E1868" t="n">
        <v>31475.255</v>
      </c>
      <c r="F1868" t="n">
        <v>31561.19</v>
      </c>
    </row>
    <row r="1869">
      <c r="A1869" t="inlineStr">
        <is>
          <t>G|ORIG_BAL x ASSET_CLASS|where N|loan_size|book|7</t>
        </is>
      </c>
      <c r="B1869" t="n">
        <v>0.9792807388861982</v>
      </c>
      <c r="C1869" t="n">
        <v>0.9851155051670024</v>
      </c>
      <c r="D1869" t="n">
        <v>1.020026566050426</v>
      </c>
      <c r="E1869" t="n">
        <v>0.9914480077447655</v>
      </c>
      <c r="F1869" t="n">
        <v>0.9934377648061041</v>
      </c>
    </row>
    <row r="1870">
      <c r="A1870" t="inlineStr">
        <is>
          <t>G|ORIG_BAL x ASSET_CLASS|where N|loan_size|band|7</t>
        </is>
      </c>
    </row>
    <row r="1871">
      <c r="A1871" t="inlineStr">
        <is>
          <t>G|ORIG_BAL x ASSET_CLASS|where N|loan_size|meta</t>
        </is>
      </c>
      <c r="B1871" t="inlineStr">
        <is>
          <t>size</t>
        </is>
      </c>
      <c r="C1871" t="n">
        <v>1</v>
      </c>
      <c r="E1871" t="n">
        <v>32262.58857732217</v>
      </c>
      <c r="F1871" t="n">
        <v>65</v>
      </c>
    </row>
    <row r="1872">
      <c r="A1872" t="inlineStr">
        <is>
          <t>G|ORIG_BAL x ASSET_CLASS|where Y|cols</t>
        </is>
      </c>
      <c r="B1872" t="inlineStr">
        <is>
          <t>1</t>
        </is>
      </c>
      <c r="C1872" t="inlineStr">
        <is>
          <t>2</t>
        </is>
      </c>
      <c r="D1872" t="inlineStr">
        <is>
          <t>3</t>
        </is>
      </c>
      <c r="E1872" t="inlineStr">
        <is>
          <t>4</t>
        </is>
      </c>
      <c r="F1872" t="inlineStr">
        <is>
          <t>All</t>
        </is>
      </c>
    </row>
    <row r="1873">
      <c r="A1873" t="inlineStr">
        <is>
          <t>G|ORIG_BAL x ASSET_CLASS|where Y|heads</t>
        </is>
      </c>
      <c r="B1873" t="inlineStr">
        <is>
          <t>1</t>
        </is>
      </c>
      <c r="C1873" t="inlineStr">
        <is>
          <t>2</t>
        </is>
      </c>
      <c r="D1873" t="inlineStr">
        <is>
          <t>3</t>
        </is>
      </c>
      <c r="E1873" t="inlineStr">
        <is>
          <t>4</t>
        </is>
      </c>
      <c r="F1873" t="inlineStr">
        <is>
          <t>All</t>
        </is>
      </c>
    </row>
    <row r="1874">
      <c r="A1874" t="inlineStr">
        <is>
          <t>G|ORIG_BAL x ASSET_CLASS|where Y|segs</t>
        </is>
      </c>
    </row>
    <row r="1875">
      <c r="A1875" t="inlineStr">
        <is>
          <t>G|ORIG_BAL x ASSET_CLASS|where Y|rows</t>
        </is>
      </c>
      <c r="B1875" t="inlineStr">
        <is>
          <t>5,005 - 15,448</t>
        </is>
      </c>
      <c r="C1875" t="inlineStr">
        <is>
          <t>15,449 - 26,323</t>
        </is>
      </c>
      <c r="D1875" t="inlineStr">
        <is>
          <t>26,324 - 37,950</t>
        </is>
      </c>
      <c r="E1875" t="inlineStr">
        <is>
          <t>37,951 - 49,151</t>
        </is>
      </c>
      <c r="F1875" t="inlineStr">
        <is>
          <t>49,152 - 59,984</t>
        </is>
      </c>
      <c r="G1875" t="inlineStr">
        <is>
          <t>(blank)</t>
        </is>
      </c>
      <c r="H1875" t="inlineStr">
        <is>
          <t>All</t>
        </is>
      </c>
    </row>
    <row r="1876">
      <c r="A1876" t="inlineStr">
        <is>
          <t>G|ORIG_BAL x ASSET_CLASS|where Y|names</t>
        </is>
      </c>
      <c r="B1876" t="inlineStr">
        <is>
          <t>ORIG_BAL</t>
        </is>
      </c>
      <c r="C1876" t="inlineStr">
        <is>
          <t>ASSET_CLASS</t>
        </is>
      </c>
    </row>
    <row r="1877">
      <c r="A1877" t="inlineStr">
        <is>
          <t>G|ORIG_BAL x ASSET_CLASS|where Y|total</t>
        </is>
      </c>
      <c r="B1877" t="n">
        <v>3671</v>
      </c>
    </row>
    <row r="1878">
      <c r="A1878" t="inlineStr">
        <is>
          <t>G|ORIG_BAL x ASSET_CLASS|where Y|loans|1</t>
        </is>
      </c>
      <c r="B1878" t="n">
        <v>180</v>
      </c>
      <c r="C1878" t="n">
        <v>160</v>
      </c>
      <c r="D1878" t="n">
        <v>184</v>
      </c>
      <c r="E1878" t="n">
        <v>196</v>
      </c>
      <c r="F1878" t="n">
        <v>720</v>
      </c>
    </row>
    <row r="1879">
      <c r="A1879" t="inlineStr">
        <is>
          <t>G|ORIG_BAL x ASSET_CLASS|where Y|loans|2</t>
        </is>
      </c>
      <c r="B1879" t="n">
        <v>180</v>
      </c>
      <c r="C1879" t="n">
        <v>170</v>
      </c>
      <c r="D1879" t="n">
        <v>193</v>
      </c>
      <c r="E1879" t="n">
        <v>190</v>
      </c>
      <c r="F1879" t="n">
        <v>733</v>
      </c>
    </row>
    <row r="1880">
      <c r="A1880" t="inlineStr">
        <is>
          <t>G|ORIG_BAL x ASSET_CLASS|where Y|loans|3</t>
        </is>
      </c>
      <c r="B1880" t="n">
        <v>173</v>
      </c>
      <c r="C1880" t="n">
        <v>179</v>
      </c>
      <c r="D1880" t="n">
        <v>169</v>
      </c>
      <c r="E1880" t="n">
        <v>194</v>
      </c>
      <c r="F1880" t="n">
        <v>715</v>
      </c>
    </row>
    <row r="1881">
      <c r="A1881" t="inlineStr">
        <is>
          <t>G|ORIG_BAL x ASSET_CLASS|where Y|loans|4</t>
        </is>
      </c>
      <c r="B1881" t="n">
        <v>177</v>
      </c>
      <c r="C1881" t="n">
        <v>199</v>
      </c>
      <c r="D1881" t="n">
        <v>195</v>
      </c>
      <c r="E1881" t="n">
        <v>189</v>
      </c>
      <c r="F1881" t="n">
        <v>760</v>
      </c>
    </row>
    <row r="1882">
      <c r="A1882" t="inlineStr">
        <is>
          <t>G|ORIG_BAL x ASSET_CLASS|where Y|loans|5</t>
        </is>
      </c>
      <c r="B1882" t="n">
        <v>195</v>
      </c>
      <c r="C1882" t="n">
        <v>197</v>
      </c>
      <c r="D1882" t="n">
        <v>179</v>
      </c>
      <c r="E1882" t="n">
        <v>171</v>
      </c>
      <c r="F1882" t="n">
        <v>742</v>
      </c>
    </row>
    <row r="1883">
      <c r="A1883" t="inlineStr">
        <is>
          <t>G|ORIG_BAL x ASSET_CLASS|where Y|loans|6</t>
        </is>
      </c>
      <c r="C1883" t="n">
        <v>1</v>
      </c>
      <c r="F1883" t="n">
        <v>1</v>
      </c>
    </row>
    <row r="1884">
      <c r="A1884" t="inlineStr">
        <is>
          <t>G|ORIG_BAL x ASSET_CLASS|where Y|loans|7</t>
        </is>
      </c>
      <c r="B1884" t="n">
        <v>905</v>
      </c>
      <c r="C1884" t="n">
        <v>906</v>
      </c>
      <c r="D1884" t="n">
        <v>920</v>
      </c>
      <c r="E1884" t="n">
        <v>940</v>
      </c>
      <c r="F1884" t="n">
        <v>3671</v>
      </c>
    </row>
    <row r="1885">
      <c r="A1885" t="inlineStr">
        <is>
          <t>G|ORIG_BAL x ASSET_CLASS|where Y|outcome_loans|rate|1</t>
        </is>
      </c>
      <c r="B1885" t="n">
        <v>0.1</v>
      </c>
      <c r="C1885" t="n">
        <v>0.10625</v>
      </c>
      <c r="D1885" t="n">
        <v>0.09782608695652174</v>
      </c>
      <c r="E1885" t="n">
        <v>0.09693877551020408</v>
      </c>
      <c r="F1885" t="n">
        <v>0.1</v>
      </c>
    </row>
    <row r="1886">
      <c r="A1886" t="inlineStr">
        <is>
          <t>G|ORIG_BAL x ASSET_CLASS|where Y|outcome_loans|book|1</t>
        </is>
      </c>
      <c r="B1886" t="n">
        <v>1.292245557350566</v>
      </c>
      <c r="C1886" t="n">
        <v>1.373010904684976</v>
      </c>
      <c r="D1886" t="n">
        <v>1.264153262625553</v>
      </c>
      <c r="E1886" t="n">
        <v>1.25268701988065</v>
      </c>
      <c r="F1886" t="n">
        <v>1.292245557350566</v>
      </c>
    </row>
    <row r="1887">
      <c r="A1887" t="inlineStr">
        <is>
          <t>G|ORIG_BAL x ASSET_CLASS|where Y|outcome_loans|band|1</t>
        </is>
      </c>
      <c r="B1887" t="n">
        <v>1</v>
      </c>
      <c r="C1887" t="n">
        <v>1.081818181818182</v>
      </c>
      <c r="D1887" t="n">
        <v>0.9710144927536233</v>
      </c>
      <c r="E1887" t="n">
        <v>0.9584135541008856</v>
      </c>
    </row>
    <row r="1888">
      <c r="A1888" t="inlineStr">
        <is>
          <t>G|ORIG_BAL x ASSET_CLASS|where Y|outcome_loans|rate|2</t>
        </is>
      </c>
      <c r="B1888" t="n">
        <v>0.1111111111111111</v>
      </c>
      <c r="C1888" t="n">
        <v>0.05882352941176471</v>
      </c>
      <c r="D1888" t="n">
        <v>0.1139896373056995</v>
      </c>
      <c r="E1888" t="n">
        <v>0.1105263157894737</v>
      </c>
      <c r="F1888" t="n">
        <v>0.09959072305593451</v>
      </c>
    </row>
    <row r="1889">
      <c r="A1889" t="inlineStr">
        <is>
          <t>G|ORIG_BAL x ASSET_CLASS|where Y|outcome_loans|book|2</t>
        </is>
      </c>
      <c r="B1889" t="n">
        <v>1.435828397056184</v>
      </c>
      <c r="C1889" t="n">
        <v>0.7601444455003326</v>
      </c>
      <c r="D1889" t="n">
        <v>1.473026023922924</v>
      </c>
      <c r="E1889" t="n">
        <v>1.42827140549273</v>
      </c>
      <c r="F1889" t="n">
        <v>1.286956694223619</v>
      </c>
    </row>
    <row r="1890">
      <c r="A1890" t="inlineStr">
        <is>
          <t>G|ORIG_BAL x ASSET_CLASS|where Y|outcome_loans|band|2</t>
        </is>
      </c>
      <c r="B1890" t="n">
        <v>1.159329140461216</v>
      </c>
      <c r="C1890" t="n">
        <v>0.5256769374416433</v>
      </c>
      <c r="D1890" t="n">
        <v>1.206949100883877</v>
      </c>
      <c r="E1890" t="n">
        <v>1.15414979757085</v>
      </c>
    </row>
    <row r="1891">
      <c r="A1891" t="inlineStr">
        <is>
          <t>G|ORIG_BAL x ASSET_CLASS|where Y|outcome_loans|rate|3</t>
        </is>
      </c>
      <c r="B1891" t="n">
        <v>0.08092485549132948</v>
      </c>
      <c r="C1891" t="n">
        <v>0.08379888268156424</v>
      </c>
      <c r="D1891" t="n">
        <v>0.0650887573964497</v>
      </c>
      <c r="E1891" t="n">
        <v>0.1237113402061856</v>
      </c>
      <c r="F1891" t="n">
        <v>0.08951048951048951</v>
      </c>
    </row>
    <row r="1892">
      <c r="A1892" t="inlineStr">
        <is>
          <t>G|ORIG_BAL x ASSET_CLASS|where Y|outcome_loans|book|3</t>
        </is>
      </c>
      <c r="B1892" t="n">
        <v>1.04574784987907</v>
      </c>
      <c r="C1892" t="n">
        <v>1.082887338561926</v>
      </c>
      <c r="D1892" t="n">
        <v>0.8411065757903088</v>
      </c>
      <c r="E1892" t="n">
        <v>1.598654297753277</v>
      </c>
      <c r="F1892" t="n">
        <v>1.156695324062045</v>
      </c>
    </row>
    <row r="1893">
      <c r="A1893" t="inlineStr">
        <is>
          <t>G|ORIG_BAL x ASSET_CLASS|where Y|outcome_loans|band|3</t>
        </is>
      </c>
      <c r="B1893" t="n">
        <v>0.8772254335260116</v>
      </c>
      <c r="C1893" t="n">
        <v>0.9166571656595599</v>
      </c>
      <c r="D1893" t="n">
        <v>0.6705370101596516</v>
      </c>
      <c r="E1893" t="n">
        <v>1.611340206185567</v>
      </c>
    </row>
    <row r="1894">
      <c r="A1894" t="inlineStr">
        <is>
          <t>G|ORIG_BAL x ASSET_CLASS|where Y|outcome_loans|rate|4</t>
        </is>
      </c>
      <c r="B1894" t="n">
        <v>0.07909604519774012</v>
      </c>
      <c r="C1894" t="n">
        <v>0.08542713567839195</v>
      </c>
      <c r="D1894" t="n">
        <v>0.1282051282051282</v>
      </c>
      <c r="E1894" t="n">
        <v>0.1851851851851852</v>
      </c>
      <c r="F1894" t="n">
        <v>0.1197368421052632</v>
      </c>
    </row>
    <row r="1895">
      <c r="A1895" t="inlineStr">
        <is>
          <t>G|ORIG_BAL x ASSET_CLASS|where Y|outcome_loans|book|4</t>
        </is>
      </c>
      <c r="B1895" t="n">
        <v>1.022115130107792</v>
      </c>
      <c r="C1895" t="n">
        <v>1.10392836557586</v>
      </c>
      <c r="D1895" t="n">
        <v>1.656725073526366</v>
      </c>
      <c r="E1895" t="n">
        <v>2.393047328426973</v>
      </c>
      <c r="F1895" t="n">
        <v>1.547294022617124</v>
      </c>
    </row>
    <row r="1896">
      <c r="A1896" t="inlineStr">
        <is>
          <t>G|ORIG_BAL x ASSET_CLASS|where Y|outcome_loans|band|4</t>
        </is>
      </c>
      <c r="B1896" t="n">
        <v>0.5988700564971752</v>
      </c>
      <c r="C1896" t="n">
        <v>0.6476300421024039</v>
      </c>
      <c r="D1896" t="n">
        <v>1.097513597513597</v>
      </c>
      <c r="E1896" t="n">
        <v>1.888227513227513</v>
      </c>
    </row>
    <row r="1897">
      <c r="A1897" t="inlineStr">
        <is>
          <t>G|ORIG_BAL x ASSET_CLASS|where Y|outcome_loans|rate|5</t>
        </is>
      </c>
      <c r="B1897" t="n">
        <v>0.1076923076923077</v>
      </c>
      <c r="C1897" t="n">
        <v>0.08121827411167512</v>
      </c>
      <c r="D1897" t="n">
        <v>0.0670391061452514</v>
      </c>
      <c r="E1897" t="n">
        <v>0.1228070175438596</v>
      </c>
      <c r="F1897" t="n">
        <v>0.09433962264150944</v>
      </c>
    </row>
    <row r="1898">
      <c r="A1898" t="inlineStr">
        <is>
          <t>G|ORIG_BAL x ASSET_CLASS|where Y|outcome_loans|book|5</t>
        </is>
      </c>
      <c r="B1898" t="n">
        <v>1.391649061762148</v>
      </c>
      <c r="C1898" t="n">
        <v>1.049539538964926</v>
      </c>
      <c r="D1898" t="n">
        <v>0.866309870849541</v>
      </c>
      <c r="E1898" t="n">
        <v>1.586968228325256</v>
      </c>
      <c r="F1898" t="n">
        <v>1.219099582406194</v>
      </c>
    </row>
    <row r="1899">
      <c r="A1899" t="inlineStr">
        <is>
          <t>G|ORIG_BAL x ASSET_CLASS|where Y|outcome_loans|band|5</t>
        </is>
      </c>
      <c r="B1899" t="n">
        <v>1.202197802197802</v>
      </c>
      <c r="C1899" t="n">
        <v>0.819702951682647</v>
      </c>
      <c r="D1899" t="n">
        <v>0.6507416682720093</v>
      </c>
      <c r="E1899" t="n">
        <v>1.431077694235589</v>
      </c>
    </row>
    <row r="1900">
      <c r="A1900" t="inlineStr">
        <is>
          <t>G|ORIG_BAL x ASSET_CLASS|where Y|outcome_loans|rate|6</t>
        </is>
      </c>
      <c r="C1900" t="n">
        <v>0</v>
      </c>
      <c r="F1900" t="n">
        <v>0</v>
      </c>
    </row>
    <row r="1901">
      <c r="A1901" t="inlineStr">
        <is>
          <t>G|ORIG_BAL x ASSET_CLASS|where Y|outcome_loans|book|6</t>
        </is>
      </c>
    </row>
    <row r="1902">
      <c r="A1902" t="inlineStr">
        <is>
          <t>G|ORIG_BAL x ASSET_CLASS|where Y|outcome_loans|band|6</t>
        </is>
      </c>
    </row>
    <row r="1903">
      <c r="A1903" t="inlineStr">
        <is>
          <t>G|ORIG_BAL x ASSET_CLASS|where Y|outcome_loans|rate|7</t>
        </is>
      </c>
      <c r="B1903" t="n">
        <v>0.09613259668508287</v>
      </c>
      <c r="C1903" t="n">
        <v>0.08278145695364239</v>
      </c>
      <c r="D1903" t="n">
        <v>0.09565217391304348</v>
      </c>
      <c r="E1903" t="n">
        <v>0.1276595744680851</v>
      </c>
      <c r="F1903" t="n">
        <v>0.1007899754835195</v>
      </c>
    </row>
    <row r="1904">
      <c r="A1904" t="inlineStr">
        <is>
          <t>G|ORIG_BAL x ASSET_CLASS|where Y|outcome_loans|book|7</t>
        </is>
      </c>
      <c r="B1904" t="n">
        <v>1.24226920982872</v>
      </c>
      <c r="C1904" t="n">
        <v>1.069739699793514</v>
      </c>
      <c r="D1904" t="n">
        <v>1.236060967900541</v>
      </c>
      <c r="E1904" t="n">
        <v>1.649675179596466</v>
      </c>
      <c r="F1904" t="n">
        <v>1.302453980440504</v>
      </c>
    </row>
    <row r="1905">
      <c r="A1905" t="inlineStr">
        <is>
          <t>G|ORIG_BAL x ASSET_CLASS|where Y|outcome_loans|band|7</t>
        </is>
      </c>
    </row>
    <row r="1906">
      <c r="A1906" t="inlineStr">
        <is>
          <t>G|ORIG_BAL x ASSET_CLASS|where Y|outcome_loans|meta</t>
        </is>
      </c>
      <c r="B1906" t="inlineStr">
        <is>
          <t>x</t>
        </is>
      </c>
      <c r="C1906" t="n">
        <v>2.393047328426973</v>
      </c>
      <c r="D1906" t="n">
        <v>10</v>
      </c>
      <c r="E1906" t="n">
        <v>0.07738467308413552</v>
      </c>
      <c r="F1906" t="n">
        <v>65</v>
      </c>
    </row>
    <row r="1907">
      <c r="A1907" t="inlineStr">
        <is>
          <t>G|ORIG_BAL x ASSET_CLASS|where Y|outcome_booked|rate|1</t>
        </is>
      </c>
      <c r="B1907" t="n">
        <v>0.09440597172888215</v>
      </c>
      <c r="C1907" t="n">
        <v>0.1007960374766282</v>
      </c>
      <c r="D1907" t="n">
        <v>0.09493353387894501</v>
      </c>
      <c r="E1907" t="n">
        <v>0.1039781288139145</v>
      </c>
      <c r="F1907" t="n">
        <v>0.09858878297777607</v>
      </c>
    </row>
    <row r="1908">
      <c r="A1908" t="inlineStr">
        <is>
          <t>G|ORIG_BAL x ASSET_CLASS|where Y|outcome_booked|book|1</t>
        </is>
      </c>
      <c r="B1908" t="n">
        <v>1.261625005544319</v>
      </c>
      <c r="C1908" t="n">
        <v>1.347020734085528</v>
      </c>
      <c r="D1908" t="n">
        <v>1.268675254467231</v>
      </c>
      <c r="E1908" t="n">
        <v>1.389545649909451</v>
      </c>
      <c r="F1908" t="n">
        <v>1.317523368417291</v>
      </c>
    </row>
    <row r="1909">
      <c r="A1909" t="inlineStr">
        <is>
          <t>G|ORIG_BAL x ASSET_CLASS|where Y|outcome_booked|band|1</t>
        </is>
      </c>
      <c r="B1909" t="n">
        <v>0.9441775926271867</v>
      </c>
      <c r="C1909" t="n">
        <v>1.029241275811371</v>
      </c>
      <c r="D1909" t="n">
        <v>0.9511690891539093</v>
      </c>
      <c r="E1909" t="n">
        <v>1.076448713890457</v>
      </c>
    </row>
    <row r="1910">
      <c r="A1910" t="inlineStr">
        <is>
          <t>G|ORIG_BAL x ASSET_CLASS|where Y|outcome_booked|rate|2</t>
        </is>
      </c>
      <c r="B1910" t="n">
        <v>0.1123341306486227</v>
      </c>
      <c r="C1910" t="n">
        <v>0.06144707504435287</v>
      </c>
      <c r="D1910" t="n">
        <v>0.1152512856454225</v>
      </c>
      <c r="E1910" t="n">
        <v>0.1097510846687575</v>
      </c>
      <c r="F1910" t="n">
        <v>0.1004438193702694</v>
      </c>
    </row>
    <row r="1911">
      <c r="A1911" t="inlineStr">
        <is>
          <t>G|ORIG_BAL x ASSET_CLASS|where Y|outcome_booked|book|2</t>
        </is>
      </c>
      <c r="B1911" t="n">
        <v>1.501213806785345</v>
      </c>
      <c r="C1911" t="n">
        <v>0.8211680360236868</v>
      </c>
      <c r="D1911" t="n">
        <v>1.540198159380969</v>
      </c>
      <c r="E1911" t="n">
        <v>1.466694429049078</v>
      </c>
      <c r="F1911" t="n">
        <v>1.342313752501102</v>
      </c>
    </row>
    <row r="1912">
      <c r="A1912" t="inlineStr">
        <is>
          <t>G|ORIG_BAL x ASSET_CLASS|where Y|outcome_booked|band|2</t>
        </is>
      </c>
      <c r="B1912" t="n">
        <v>1.163233702918486</v>
      </c>
      <c r="C1912" t="n">
        <v>0.5464387496658136</v>
      </c>
      <c r="D1912" t="n">
        <v>1.210030691505014</v>
      </c>
      <c r="E1912" t="n">
        <v>1.129251852236138</v>
      </c>
    </row>
    <row r="1913">
      <c r="A1913" t="inlineStr">
        <is>
          <t>G|ORIG_BAL x ASSET_CLASS|where Y|outcome_booked|rate|3</t>
        </is>
      </c>
      <c r="B1913" t="n">
        <v>0.07770229660654655</v>
      </c>
      <c r="C1913" t="n">
        <v>0.08353937164816114</v>
      </c>
      <c r="D1913" t="n">
        <v>0.06513303939771156</v>
      </c>
      <c r="E1913" t="n">
        <v>0.1188679459949054</v>
      </c>
      <c r="F1913" t="n">
        <v>0.08736643485781104</v>
      </c>
    </row>
    <row r="1914">
      <c r="A1914" t="inlineStr">
        <is>
          <t>G|ORIG_BAL x ASSET_CLASS|where Y|outcome_booked|book|3</t>
        </is>
      </c>
      <c r="B1914" t="n">
        <v>1.038399993048844</v>
      </c>
      <c r="C1914" t="n">
        <v>1.116405649861406</v>
      </c>
      <c r="D1914" t="n">
        <v>0.8704266232992588</v>
      </c>
      <c r="E1914" t="n">
        <v>1.588530579988555</v>
      </c>
      <c r="F1914" t="n">
        <v>1.16754985774011</v>
      </c>
    </row>
    <row r="1915">
      <c r="A1915" t="inlineStr">
        <is>
          <t>G|ORIG_BAL x ASSET_CLASS|where Y|outcome_booked|band|3</t>
        </is>
      </c>
      <c r="B1915" t="n">
        <v>0.859127453941835</v>
      </c>
      <c r="C1915" t="n">
        <v>0.942239666530384</v>
      </c>
      <c r="D1915" t="n">
        <v>0.6914305601803119</v>
      </c>
      <c r="E1915" t="n">
        <v>1.570818802720765</v>
      </c>
    </row>
    <row r="1916">
      <c r="A1916" t="inlineStr">
        <is>
          <t>G|ORIG_BAL x ASSET_CLASS|where Y|outcome_booked|rate|4</t>
        </is>
      </c>
      <c r="B1916" t="n">
        <v>0.07664499018288271</v>
      </c>
      <c r="C1916" t="n">
        <v>0.08509700596620973</v>
      </c>
      <c r="D1916" t="n">
        <v>0.1256107381334583</v>
      </c>
      <c r="E1916" t="n">
        <v>0.1828690446008137</v>
      </c>
      <c r="F1916" t="n">
        <v>0.1178825890190914</v>
      </c>
    </row>
    <row r="1917">
      <c r="A1917" t="inlineStr">
        <is>
          <t>G|ORIG_BAL x ASSET_CLASS|where Y|outcome_booked|book|4</t>
        </is>
      </c>
      <c r="B1917" t="n">
        <v>1.024270333683145</v>
      </c>
      <c r="C1917" t="n">
        <v>1.137221604288396</v>
      </c>
      <c r="D1917" t="n">
        <v>1.678640082739253</v>
      </c>
      <c r="E1917" t="n">
        <v>2.443830143192126</v>
      </c>
      <c r="F1917" t="n">
        <v>1.575362440544532</v>
      </c>
    </row>
    <row r="1918">
      <c r="A1918" t="inlineStr">
        <is>
          <t>G|ORIG_BAL x ASSET_CLASS|where Y|outcome_booked|band|4</t>
        </is>
      </c>
      <c r="B1918" t="n">
        <v>0.5875376257022785</v>
      </c>
      <c r="C1918" t="n">
        <v>0.6571667160406877</v>
      </c>
      <c r="D1918" t="n">
        <v>1.090033516136658</v>
      </c>
      <c r="E1918" t="n">
        <v>1.900075935785006</v>
      </c>
    </row>
    <row r="1919">
      <c r="A1919" t="inlineStr">
        <is>
          <t>G|ORIG_BAL x ASSET_CLASS|where Y|outcome_booked|rate|5</t>
        </is>
      </c>
      <c r="B1919" t="n">
        <v>0.1084151046817408</v>
      </c>
      <c r="C1919" t="n">
        <v>0.081029372326368</v>
      </c>
      <c r="D1919" t="n">
        <v>0.0668161388723891</v>
      </c>
      <c r="E1919" t="n">
        <v>0.1236107423729956</v>
      </c>
      <c r="F1919" t="n">
        <v>0.09465014265829717</v>
      </c>
    </row>
    <row r="1920">
      <c r="A1920" t="inlineStr">
        <is>
          <t>G|ORIG_BAL x ASSET_CLASS|where Y|outcome_booked|book|5</t>
        </is>
      </c>
      <c r="B1920" t="n">
        <v>1.448840624595187</v>
      </c>
      <c r="C1920" t="n">
        <v>1.082862454973612</v>
      </c>
      <c r="D1920" t="n">
        <v>0.8929192722830525</v>
      </c>
      <c r="E1920" t="n">
        <v>1.65191248684491</v>
      </c>
      <c r="F1920" t="n">
        <v>1.264888063426522</v>
      </c>
    </row>
    <row r="1921">
      <c r="A1921" t="inlineStr">
        <is>
          <t>G|ORIG_BAL x ASSET_CLASS|where Y|outcome_booked|band|5</t>
        </is>
      </c>
      <c r="B1921" t="n">
        <v>1.207988942322579</v>
      </c>
      <c r="C1921" t="n">
        <v>0.8137156282417782</v>
      </c>
      <c r="D1921" t="n">
        <v>0.6458123837603374</v>
      </c>
      <c r="E1921" t="n">
        <v>1.438361468859726</v>
      </c>
    </row>
    <row r="1922">
      <c r="A1922" t="inlineStr">
        <is>
          <t>G|ORIG_BAL x ASSET_CLASS|where Y|outcome_booked|rate|6</t>
        </is>
      </c>
    </row>
    <row r="1923">
      <c r="A1923" t="inlineStr">
        <is>
          <t>G|ORIG_BAL x ASSET_CLASS|where Y|outcome_booked|book|6</t>
        </is>
      </c>
    </row>
    <row r="1924">
      <c r="A1924" t="inlineStr">
        <is>
          <t>G|ORIG_BAL x ASSET_CLASS|where Y|outcome_booked|band|6</t>
        </is>
      </c>
    </row>
    <row r="1925">
      <c r="A1925" t="inlineStr">
        <is>
          <t>G|ORIG_BAL x ASSET_CLASS|where Y|outcome_booked|rate|7</t>
        </is>
      </c>
      <c r="B1925" t="n">
        <v>0.09391781030789159</v>
      </c>
      <c r="C1925" t="n">
        <v>0.08143078150540616</v>
      </c>
      <c r="D1925" t="n">
        <v>0.09169079542439568</v>
      </c>
      <c r="E1925" t="n">
        <v>0.1358979596343108</v>
      </c>
      <c r="F1925" t="n">
        <v>0.1006690692129982</v>
      </c>
    </row>
    <row r="1926">
      <c r="A1926" t="inlineStr">
        <is>
          <t>G|ORIG_BAL x ASSET_CLASS|where Y|outcome_booked|book|7</t>
        </is>
      </c>
      <c r="B1926" t="n">
        <v>1.255101301119853</v>
      </c>
      <c r="C1926" t="n">
        <v>1.088226817507625</v>
      </c>
      <c r="D1926" t="n">
        <v>1.225339861104102</v>
      </c>
      <c r="E1926" t="n">
        <v>1.81611672373312</v>
      </c>
      <c r="F1926" t="n">
        <v>1.345323952267889</v>
      </c>
    </row>
    <row r="1927">
      <c r="A1927" t="inlineStr">
        <is>
          <t>G|ORIG_BAL x ASSET_CLASS|where Y|outcome_booked|band|7</t>
        </is>
      </c>
    </row>
    <row r="1928">
      <c r="A1928" t="inlineStr">
        <is>
          <t>G|ORIG_BAL x ASSET_CLASS|where Y|outcome_booked|meta</t>
        </is>
      </c>
      <c r="B1928" t="inlineStr">
        <is>
          <t>x</t>
        </is>
      </c>
      <c r="C1928" t="n">
        <v>2.443830143192126</v>
      </c>
      <c r="D1928" t="n">
        <v>10</v>
      </c>
      <c r="E1928" t="n">
        <v>0.07482886857347235</v>
      </c>
      <c r="F1928" t="n">
        <v>65</v>
      </c>
    </row>
    <row r="1929">
      <c r="A1929" t="inlineStr">
        <is>
          <t>G|ORIG_BAL x ASSET_CLASS|where Y|gco_rate|rate|1</t>
        </is>
      </c>
      <c r="B1929" t="n">
        <v>0.04771941684954147</v>
      </c>
      <c r="C1929" t="n">
        <v>0.05730385058954697</v>
      </c>
      <c r="D1929" t="n">
        <v>0.05755051362133345</v>
      </c>
      <c r="E1929" t="n">
        <v>0.05740474500406834</v>
      </c>
      <c r="F1929" t="n">
        <v>0.05499092105694458</v>
      </c>
    </row>
    <row r="1930">
      <c r="A1930" t="inlineStr">
        <is>
          <t>G|ORIG_BAL x ASSET_CLASS|where Y|gco_rate|book|1</t>
        </is>
      </c>
      <c r="B1930" t="n">
        <v>1.146956195741575</v>
      </c>
      <c r="C1930" t="n">
        <v>1.377322080040505</v>
      </c>
      <c r="D1930" t="n">
        <v>1.383250729450868</v>
      </c>
      <c r="E1930" t="n">
        <v>1.379747119604921</v>
      </c>
      <c r="F1930" t="n">
        <v>1.321729848767095</v>
      </c>
    </row>
    <row r="1931">
      <c r="A1931" t="inlineStr">
        <is>
          <t>G|ORIG_BAL x ASSET_CLASS|where Y|gco_rate|band|1</t>
        </is>
      </c>
      <c r="B1931" t="n">
        <v>0.8310227891354538</v>
      </c>
      <c r="C1931" t="n">
        <v>1.055259645899176</v>
      </c>
      <c r="D1931" t="n">
        <v>1.063039198218671</v>
      </c>
      <c r="E1931" t="n">
        <v>1.061138182796222</v>
      </c>
    </row>
    <row r="1932">
      <c r="A1932" t="inlineStr">
        <is>
          <t>G|ORIG_BAL x ASSET_CLASS|where Y|gco_rate|rate|2</t>
        </is>
      </c>
      <c r="B1932" t="n">
        <v>0.06665746171826953</v>
      </c>
      <c r="C1932" t="n">
        <v>0.02990592595829179</v>
      </c>
      <c r="D1932" t="n">
        <v>0.06662045221440491</v>
      </c>
      <c r="E1932" t="n">
        <v>0.0606431774434793</v>
      </c>
      <c r="F1932" t="n">
        <v>0.05643820887369715</v>
      </c>
    </row>
    <row r="1933">
      <c r="A1933" t="inlineStr">
        <is>
          <t>G|ORIG_BAL x ASSET_CLASS|where Y|gco_rate|book|2</t>
        </is>
      </c>
      <c r="B1933" t="n">
        <v>1.602140046078763</v>
      </c>
      <c r="C1933" t="n">
        <v>0.7188014718495275</v>
      </c>
      <c r="D1933" t="n">
        <v>1.601250507132956</v>
      </c>
      <c r="E1933" t="n">
        <v>1.457584201365249</v>
      </c>
      <c r="F1933" t="n">
        <v>1.356516018381857</v>
      </c>
    </row>
    <row r="1934">
      <c r="A1934" t="inlineStr">
        <is>
          <t>G|ORIG_BAL x ASSET_CLASS|where Y|gco_rate|band|2</t>
        </is>
      </c>
      <c r="B1934" t="n">
        <v>1.255099708016456</v>
      </c>
      <c r="C1934" t="n">
        <v>0.4628904323291967</v>
      </c>
      <c r="D1934" t="n">
        <v>1.260214709427187</v>
      </c>
      <c r="E1934" t="n">
        <v>1.103249310943735</v>
      </c>
    </row>
    <row r="1935">
      <c r="A1935" t="inlineStr">
        <is>
          <t>G|ORIG_BAL x ASSET_CLASS|where Y|gco_rate|rate|3</t>
        </is>
      </c>
      <c r="B1935" t="n">
        <v>0.03937935610125742</v>
      </c>
      <c r="C1935" t="n">
        <v>0.04285562067459982</v>
      </c>
      <c r="D1935" t="n">
        <v>0.03522812136505121</v>
      </c>
      <c r="E1935" t="n">
        <v>0.06509947332517688</v>
      </c>
      <c r="F1935" t="n">
        <v>0.04624469674154727</v>
      </c>
    </row>
    <row r="1936">
      <c r="A1936" t="inlineStr">
        <is>
          <t>G|ORIG_BAL x ASSET_CLASS|where Y|gco_rate|book|3</t>
        </is>
      </c>
      <c r="B1936" t="n">
        <v>0.9464993381427915</v>
      </c>
      <c r="C1936" t="n">
        <v>1.030052814980184</v>
      </c>
      <c r="D1936" t="n">
        <v>0.8467226703833843</v>
      </c>
      <c r="E1936" t="n">
        <v>1.56469314168793</v>
      </c>
      <c r="F1936" t="n">
        <v>1.11151067950273</v>
      </c>
    </row>
    <row r="1937">
      <c r="A1937" t="inlineStr">
        <is>
          <t>G|ORIG_BAL x ASSET_CLASS|where Y|gco_rate|band|3</t>
        </is>
      </c>
      <c r="B1937" t="n">
        <v>0.81311132761386</v>
      </c>
      <c r="C1937" t="n">
        <v>0.9043063768303193</v>
      </c>
      <c r="D1937" t="n">
        <v>0.7098020837475901</v>
      </c>
      <c r="E1937" t="n">
        <v>1.658774590479079</v>
      </c>
    </row>
    <row r="1938">
      <c r="A1938" t="inlineStr">
        <is>
          <t>G|ORIG_BAL x ASSET_CLASS|where Y|gco_rate|rate|4</t>
        </is>
      </c>
      <c r="B1938" t="n">
        <v>0.04153139077202288</v>
      </c>
      <c r="C1938" t="n">
        <v>0.04389992757422654</v>
      </c>
      <c r="D1938" t="n">
        <v>0.06978149794772584</v>
      </c>
      <c r="E1938" t="n">
        <v>0.1032871988884892</v>
      </c>
      <c r="F1938" t="n">
        <v>0.06478485971440696</v>
      </c>
    </row>
    <row r="1939">
      <c r="A1939" t="inlineStr">
        <is>
          <t>G|ORIG_BAL x ASSET_CLASS|where Y|gco_rate|book|4</t>
        </is>
      </c>
      <c r="B1939" t="n">
        <v>0.9982243939385823</v>
      </c>
      <c r="C1939" t="n">
        <v>1.055153169256496</v>
      </c>
      <c r="D1939" t="n">
        <v>1.67722756695928</v>
      </c>
      <c r="E1939" t="n">
        <v>2.482551140125328</v>
      </c>
      <c r="F1939" t="n">
        <v>1.557131271615734</v>
      </c>
    </row>
    <row r="1940">
      <c r="A1940" t="inlineStr">
        <is>
          <t>G|ORIG_BAL x ASSET_CLASS|where Y|gco_rate|band|4</t>
        </is>
      </c>
      <c r="B1940" t="n">
        <v>0.5778507547774823</v>
      </c>
      <c r="C1940" t="n">
        <v>0.6082054665340298</v>
      </c>
      <c r="D1940" t="n">
        <v>1.10635224837663</v>
      </c>
      <c r="E1940" t="n">
        <v>1.987663555477795</v>
      </c>
    </row>
    <row r="1941">
      <c r="A1941" t="inlineStr">
        <is>
          <t>G|ORIG_BAL x ASSET_CLASS|where Y|gco_rate|rate|5</t>
        </is>
      </c>
      <c r="B1941" t="n">
        <v>0.05918236225894098</v>
      </c>
      <c r="C1941" t="n">
        <v>0.04184060461877476</v>
      </c>
      <c r="D1941" t="n">
        <v>0.03704973484090528</v>
      </c>
      <c r="E1941" t="n">
        <v>0.0662909487360247</v>
      </c>
      <c r="F1941" t="n">
        <v>0.0508965966722594</v>
      </c>
    </row>
    <row r="1942">
      <c r="A1942" t="inlineStr">
        <is>
          <t>G|ORIG_BAL x ASSET_CLASS|where Y|gco_rate|book|5</t>
        </is>
      </c>
      <c r="B1942" t="n">
        <v>1.422472895792877</v>
      </c>
      <c r="C1942" t="n">
        <v>1.005656478418143</v>
      </c>
      <c r="D1942" t="n">
        <v>0.8905059141930215</v>
      </c>
      <c r="E1942" t="n">
        <v>1.593330752848486</v>
      </c>
      <c r="F1942" t="n">
        <v>1.223321045172597</v>
      </c>
    </row>
    <row r="1943">
      <c r="A1943" t="inlineStr">
        <is>
          <t>G|ORIG_BAL x ASSET_CLASS|where Y|gco_rate|band|5</t>
        </is>
      </c>
      <c r="B1943" t="n">
        <v>1.234353845585681</v>
      </c>
      <c r="C1943" t="n">
        <v>0.7723381998034148</v>
      </c>
      <c r="D1943" t="n">
        <v>0.670224060429664</v>
      </c>
      <c r="E1943" t="n">
        <v>1.432826412843157</v>
      </c>
    </row>
    <row r="1944">
      <c r="A1944" t="inlineStr">
        <is>
          <t>G|ORIG_BAL x ASSET_CLASS|where Y|gco_rate|rate|6</t>
        </is>
      </c>
    </row>
    <row r="1945">
      <c r="A1945" t="inlineStr">
        <is>
          <t>G|ORIG_BAL x ASSET_CLASS|where Y|gco_rate|book|6</t>
        </is>
      </c>
    </row>
    <row r="1946">
      <c r="A1946" t="inlineStr">
        <is>
          <t>G|ORIG_BAL x ASSET_CLASS|where Y|gco_rate|band|6</t>
        </is>
      </c>
    </row>
    <row r="1947">
      <c r="A1947" t="inlineStr">
        <is>
          <t>G|ORIG_BAL x ASSET_CLASS|where Y|gco_rate|rate|7</t>
        </is>
      </c>
      <c r="B1947" t="n">
        <v>0.05105761588999549</v>
      </c>
      <c r="C1947" t="n">
        <v>0.04205486969531595</v>
      </c>
      <c r="D1947" t="n">
        <v>0.05138794933615651</v>
      </c>
      <c r="E1947" t="n">
        <v>0.07495703613824994</v>
      </c>
      <c r="F1947" t="n">
        <v>0.0548105476525432</v>
      </c>
    </row>
    <row r="1948">
      <c r="A1948" t="inlineStr">
        <is>
          <t>G|ORIG_BAL x ASSET_CLASS|where Y|gco_rate|book|7</t>
        </is>
      </c>
      <c r="B1948" t="n">
        <v>1.227191209596404</v>
      </c>
      <c r="C1948" t="n">
        <v>1.010806429387678</v>
      </c>
      <c r="D1948" t="n">
        <v>1.235130912504544</v>
      </c>
      <c r="E1948" t="n">
        <v>1.801623797798296</v>
      </c>
      <c r="F1948" t="n">
        <v>1.317394498350357</v>
      </c>
    </row>
    <row r="1949">
      <c r="A1949" t="inlineStr">
        <is>
          <t>G|ORIG_BAL x ASSET_CLASS|where Y|gco_rate|band|7</t>
        </is>
      </c>
    </row>
    <row r="1950">
      <c r="A1950" t="inlineStr">
        <is>
          <t>G|ORIG_BAL x ASSET_CLASS|where Y|gco_rate|meta</t>
        </is>
      </c>
      <c r="B1950" t="inlineStr">
        <is>
          <t>x</t>
        </is>
      </c>
      <c r="C1950" t="n">
        <v>2.482551140125328</v>
      </c>
      <c r="D1950" t="n">
        <v>10</v>
      </c>
      <c r="E1950" t="n">
        <v>0.04160526533333565</v>
      </c>
      <c r="F1950" t="n">
        <v>65</v>
      </c>
    </row>
    <row r="1951">
      <c r="A1951" t="inlineStr">
        <is>
          <t>G|ORIG_BAL x ASSET_CLASS|where Y|ranr_rate|rate|1</t>
        </is>
      </c>
      <c r="B1951" t="n">
        <v>0.1451278835003983</v>
      </c>
      <c r="C1951" t="n">
        <v>0.1112646564442411</v>
      </c>
      <c r="D1951" t="n">
        <v>0.1341773437247396</v>
      </c>
      <c r="E1951" t="n">
        <v>0.1309753335771528</v>
      </c>
      <c r="F1951" t="n">
        <v>0.1308043622690214</v>
      </c>
    </row>
    <row r="1952">
      <c r="A1952" t="inlineStr">
        <is>
          <t>G|ORIG_BAL x ASSET_CLASS|where Y|ranr_rate|book|1</t>
        </is>
      </c>
      <c r="B1952" t="n">
        <v>1.713783385</v>
      </c>
      <c r="C1952" t="n">
        <v>-1.67253932</v>
      </c>
      <c r="D1952" t="n">
        <v>0.618729408</v>
      </c>
      <c r="E1952" t="n">
        <v>0.298528393</v>
      </c>
      <c r="F1952" t="n">
        <v>0.281431262</v>
      </c>
    </row>
    <row r="1953">
      <c r="A1953" t="inlineStr">
        <is>
          <t>G|ORIG_BAL x ASSET_CLASS|where Y|ranr_rate|band|1</t>
        </is>
      </c>
      <c r="B1953" t="n">
        <v>1.911330843</v>
      </c>
      <c r="C1953" t="n">
        <v>-2.535059706</v>
      </c>
      <c r="D1953" t="n">
        <v>0.449731927</v>
      </c>
      <c r="E1953" t="n">
        <v>0.023426425</v>
      </c>
    </row>
    <row r="1954">
      <c r="A1954" t="inlineStr">
        <is>
          <t>G|ORIG_BAL x ASSET_CLASS|where Y|ranr_rate|rate|2</t>
        </is>
      </c>
      <c r="B1954" t="n">
        <v>0.1026030522909873</v>
      </c>
      <c r="C1954" t="n">
        <v>0.1308177588348792</v>
      </c>
      <c r="D1954" t="n">
        <v>0.1015119371033395</v>
      </c>
      <c r="E1954" t="n">
        <v>0.1311850681759872</v>
      </c>
      <c r="F1954" t="n">
        <v>0.1163666258605022</v>
      </c>
    </row>
    <row r="1955">
      <c r="A1955" t="inlineStr">
        <is>
          <t>G|ORIG_BAL x ASSET_CLASS|where Y|ranr_rate|book|2</t>
        </is>
      </c>
      <c r="B1955" t="n">
        <v>-2.538699736</v>
      </c>
      <c r="C1955" t="n">
        <v>0.282770919</v>
      </c>
      <c r="D1955" t="n">
        <v>-2.647811254</v>
      </c>
      <c r="E1955" t="n">
        <v>0.319501853</v>
      </c>
      <c r="F1955" t="n">
        <v>-1.162342379</v>
      </c>
    </row>
    <row r="1956">
      <c r="A1956" t="inlineStr">
        <is>
          <t>G|ORIG_BAL x ASSET_CLASS|where Y|ranr_rate|band|2</t>
        </is>
      </c>
      <c r="B1956" t="n">
        <v>-1.824704609</v>
      </c>
      <c r="C1956" t="n">
        <v>1.890032255</v>
      </c>
      <c r="D1956" t="n">
        <v>-2.006850216</v>
      </c>
      <c r="E1956" t="n">
        <v>2.000024176</v>
      </c>
    </row>
    <row r="1957">
      <c r="A1957" t="inlineStr">
        <is>
          <t>G|ORIG_BAL x ASSET_CLASS|where Y|ranr_rate|rate|3</t>
        </is>
      </c>
      <c r="B1957" t="n">
        <v>0.130159425166618</v>
      </c>
      <c r="C1957" t="n">
        <v>0.1228987370954112</v>
      </c>
      <c r="D1957" t="n">
        <v>0.136607210435126</v>
      </c>
      <c r="E1957" t="n">
        <v>0.1117344061294539</v>
      </c>
      <c r="F1957" t="n">
        <v>0.1248526978893463</v>
      </c>
    </row>
    <row r="1958">
      <c r="A1958" t="inlineStr">
        <is>
          <t>G|ORIG_BAL x ASSET_CLASS|where Y|ranr_rate|book|3</t>
        </is>
      </c>
      <c r="B1958" t="n">
        <v>0.216937552</v>
      </c>
      <c r="C1958" t="n">
        <v>-0.509131255</v>
      </c>
      <c r="D1958" t="n">
        <v>0.861716079</v>
      </c>
      <c r="E1958" t="n">
        <v>-1.625564352</v>
      </c>
      <c r="F1958" t="n">
        <v>-0.313735176</v>
      </c>
    </row>
    <row r="1959">
      <c r="A1959" t="inlineStr">
        <is>
          <t>G|ORIG_BAL x ASSET_CLASS|where Y|ranr_rate|band|3</t>
        </is>
      </c>
      <c r="B1959" t="n">
        <v>0.699626509</v>
      </c>
      <c r="C1959" t="n">
        <v>-0.261462689</v>
      </c>
      <c r="D1959" t="n">
        <v>1.536754584</v>
      </c>
      <c r="E1959" t="n">
        <v>-1.798799821</v>
      </c>
    </row>
    <row r="1960">
      <c r="A1960" t="inlineStr">
        <is>
          <t>G|ORIG_BAL x ASSET_CLASS|where Y|ranr_rate|rate|4</t>
        </is>
      </c>
      <c r="B1960" t="n">
        <v>0.1289667174912146</v>
      </c>
      <c r="C1960" t="n">
        <v>0.1239792151671739</v>
      </c>
      <c r="D1960" t="n">
        <v>0.09086001341967721</v>
      </c>
      <c r="E1960" t="n">
        <v>0.06294244542938228</v>
      </c>
      <c r="F1960" t="n">
        <v>0.1014475073967631</v>
      </c>
    </row>
    <row r="1961">
      <c r="A1961" t="inlineStr">
        <is>
          <t>G|ORIG_BAL x ASSET_CLASS|where Y|ranr_rate|book|4</t>
        </is>
      </c>
      <c r="B1961" t="n">
        <v>0.09766678400000001</v>
      </c>
      <c r="C1961" t="n">
        <v>-0.401083448</v>
      </c>
      <c r="D1961" t="n">
        <v>-3.713003623</v>
      </c>
      <c r="E1961" t="n">
        <v>-6.504760422</v>
      </c>
      <c r="F1961" t="n">
        <v>-2.654254225</v>
      </c>
    </row>
    <row r="1962">
      <c r="A1962" t="inlineStr">
        <is>
          <t>G|ORIG_BAL x ASSET_CLASS|where Y|ranr_rate|band|4</t>
        </is>
      </c>
      <c r="B1962" t="n">
        <v>3.590666095</v>
      </c>
      <c r="C1962" t="n">
        <v>3.0509346</v>
      </c>
      <c r="D1962" t="n">
        <v>-1.421375451</v>
      </c>
      <c r="E1962" t="n">
        <v>-5.132670261</v>
      </c>
    </row>
    <row r="1963">
      <c r="A1963" t="inlineStr">
        <is>
          <t>G|ORIG_BAL x ASSET_CLASS|where Y|ranr_rate|rate|5</t>
        </is>
      </c>
      <c r="B1963" t="n">
        <v>0.1198509850320753</v>
      </c>
      <c r="C1963" t="n">
        <v>0.1095398721533875</v>
      </c>
      <c r="D1963" t="n">
        <v>0.1225120577257538</v>
      </c>
      <c r="E1963" t="n">
        <v>0.1033932404821314</v>
      </c>
      <c r="F1963" t="n">
        <v>0.1139450120628223</v>
      </c>
    </row>
    <row r="1964">
      <c r="A1964" t="inlineStr">
        <is>
          <t>G|ORIG_BAL x ASSET_CLASS|where Y|ranr_rate|book|5</t>
        </is>
      </c>
      <c r="B1964" t="n">
        <v>-0.8139064620000001</v>
      </c>
      <c r="C1964" t="n">
        <v>-1.845017749</v>
      </c>
      <c r="D1964" t="n">
        <v>-0.547799192</v>
      </c>
      <c r="E1964" t="n">
        <v>-2.459680917</v>
      </c>
      <c r="F1964" t="n">
        <v>-1.404503759</v>
      </c>
    </row>
    <row r="1965">
      <c r="A1965" t="inlineStr">
        <is>
          <t>G|ORIG_BAL x ASSET_CLASS|where Y|ranr_rate|band|5</t>
        </is>
      </c>
      <c r="B1965" t="n">
        <v>0.800909635</v>
      </c>
      <c r="C1965" t="n">
        <v>-0.599935105</v>
      </c>
      <c r="D1965" t="n">
        <v>1.127882294</v>
      </c>
      <c r="E1965" t="n">
        <v>-1.372582249</v>
      </c>
    </row>
    <row r="1966">
      <c r="A1966" t="inlineStr">
        <is>
          <t>G|ORIG_BAL x ASSET_CLASS|where Y|ranr_rate|rate|6</t>
        </is>
      </c>
    </row>
    <row r="1967">
      <c r="A1967" t="inlineStr">
        <is>
          <t>G|ORIG_BAL x ASSET_CLASS|where Y|ranr_rate|book|6</t>
        </is>
      </c>
    </row>
    <row r="1968">
      <c r="A1968" t="inlineStr">
        <is>
          <t>G|ORIG_BAL x ASSET_CLASS|where Y|ranr_rate|band|6</t>
        </is>
      </c>
    </row>
    <row r="1969">
      <c r="A1969" t="inlineStr">
        <is>
          <t>G|ORIG_BAL x ASSET_CLASS|where Y|ranr_rate|rate|7</t>
        </is>
      </c>
      <c r="B1969" t="n">
        <v>0.1235529127423794</v>
      </c>
      <c r="C1969" t="n">
        <v>0.1188036462606204</v>
      </c>
      <c r="D1969" t="n">
        <v>0.1139107040211185</v>
      </c>
      <c r="E1969" t="n">
        <v>0.09945745884195703</v>
      </c>
      <c r="F1969" t="n">
        <v>0.1139361498721039</v>
      </c>
    </row>
    <row r="1970">
      <c r="A1970" t="inlineStr">
        <is>
          <t>G|ORIG_BAL x ASSET_CLASS|where Y|ranr_rate|book|7</t>
        </is>
      </c>
      <c r="B1970" t="n">
        <v>-0.443713691</v>
      </c>
      <c r="C1970" t="n">
        <v>-0.918640339</v>
      </c>
      <c r="D1970" t="n">
        <v>-1.407934563</v>
      </c>
      <c r="E1970" t="n">
        <v>-2.853259081</v>
      </c>
      <c r="F1970" t="n">
        <v>-1.405389978</v>
      </c>
    </row>
    <row r="1971">
      <c r="A1971" t="inlineStr">
        <is>
          <t>G|ORIG_BAL x ASSET_CLASS|where Y|ranr_rate|band|7</t>
        </is>
      </c>
    </row>
    <row r="1972">
      <c r="A1972" t="inlineStr">
        <is>
          <t>G|ORIG_BAL x ASSET_CLASS|where Y|ranr_rate|meta</t>
        </is>
      </c>
      <c r="B1972" t="inlineStr">
        <is>
          <t>pts</t>
        </is>
      </c>
      <c r="C1972" t="n">
        <v>6.504760422</v>
      </c>
      <c r="D1972" t="n">
        <v>10</v>
      </c>
      <c r="E1972" t="n">
        <v>0.1279900496481481</v>
      </c>
      <c r="F1972" t="n">
        <v>65</v>
      </c>
    </row>
    <row r="1973">
      <c r="A1973" t="inlineStr">
        <is>
          <t>G|ORIG_BAL x ASSET_CLASS|where Y|contribution_rate|rate|1</t>
        </is>
      </c>
      <c r="B1973" t="n">
        <v>0.1928473003499398</v>
      </c>
      <c r="C1973" t="n">
        <v>0.1685685070337879</v>
      </c>
      <c r="D1973" t="n">
        <v>0.1917278573460729</v>
      </c>
      <c r="E1973" t="n">
        <v>0.1883800785812211</v>
      </c>
      <c r="F1973" t="n">
        <v>0.185795283325966</v>
      </c>
    </row>
    <row r="1974">
      <c r="A1974" t="inlineStr">
        <is>
          <t>G|ORIG_BAL x ASSET_CLASS|where Y|contribution_rate|book|1</t>
        </is>
      </c>
      <c r="B1974" t="n">
        <v>2.325484461</v>
      </c>
      <c r="C1974" t="n">
        <v>-0.10239487</v>
      </c>
      <c r="D1974" t="n">
        <v>2.213540161</v>
      </c>
      <c r="E1974" t="n">
        <v>1.878762285</v>
      </c>
      <c r="F1974" t="n">
        <v>1.620282759</v>
      </c>
    </row>
    <row r="1975">
      <c r="A1975" t="inlineStr">
        <is>
          <t>G|ORIG_BAL x ASSET_CLASS|where Y|contribution_rate|band|1</t>
        </is>
      </c>
      <c r="B1975" t="n">
        <v>0.941021235</v>
      </c>
      <c r="C1975" t="n">
        <v>-2.234982801</v>
      </c>
      <c r="D1975" t="n">
        <v>0.791011744</v>
      </c>
      <c r="E1975" t="n">
        <v>0.354167685</v>
      </c>
    </row>
    <row r="1976">
      <c r="A1976" t="inlineStr">
        <is>
          <t>G|ORIG_BAL x ASSET_CLASS|where Y|contribution_rate|rate|2</t>
        </is>
      </c>
      <c r="B1976" t="n">
        <v>0.1692605140092568</v>
      </c>
      <c r="C1976" t="n">
        <v>0.160723684793171</v>
      </c>
      <c r="D1976" t="n">
        <v>0.1681323893177444</v>
      </c>
      <c r="E1976" t="n">
        <v>0.1918282456194665</v>
      </c>
      <c r="F1976" t="n">
        <v>0.1728048347341994</v>
      </c>
    </row>
    <row r="1977">
      <c r="A1977" t="inlineStr">
        <is>
          <t>G|ORIG_BAL x ASSET_CLASS|where Y|contribution_rate|book|2</t>
        </is>
      </c>
      <c r="B1977" t="n">
        <v>-0.033194173</v>
      </c>
      <c r="C1977" t="n">
        <v>-0.886877094</v>
      </c>
      <c r="D1977" t="n">
        <v>-0.146006642</v>
      </c>
      <c r="E1977" t="n">
        <v>2.223578988</v>
      </c>
      <c r="F1977" t="n">
        <v>0.3212379</v>
      </c>
    </row>
    <row r="1978">
      <c r="A1978" t="inlineStr">
        <is>
          <t>G|ORIG_BAL x ASSET_CLASS|where Y|contribution_rate|band|2</t>
        </is>
      </c>
      <c r="B1978" t="n">
        <v>-0.469888022</v>
      </c>
      <c r="C1978" t="n">
        <v>-1.580067328</v>
      </c>
      <c r="D1978" t="n">
        <v>-0.63124164</v>
      </c>
      <c r="E1978" t="n">
        <v>2.56756283</v>
      </c>
    </row>
    <row r="1979">
      <c r="A1979" t="inlineStr">
        <is>
          <t>G|ORIG_BAL x ASSET_CLASS|where Y|contribution_rate|rate|3</t>
        </is>
      </c>
      <c r="B1979" t="n">
        <v>0.1695387812678755</v>
      </c>
      <c r="C1979" t="n">
        <v>0.165754357770011</v>
      </c>
      <c r="D1979" t="n">
        <v>0.1718353318001772</v>
      </c>
      <c r="E1979" t="n">
        <v>0.1768338794546308</v>
      </c>
      <c r="F1979" t="n">
        <v>0.1710973946308936</v>
      </c>
    </row>
    <row r="1980">
      <c r="A1980" t="inlineStr">
        <is>
          <t>G|ORIG_BAL x ASSET_CLASS|where Y|contribution_rate|book|3</t>
        </is>
      </c>
      <c r="B1980" t="n">
        <v>-0.005367447</v>
      </c>
      <c r="C1980" t="n">
        <v>-0.383809796</v>
      </c>
      <c r="D1980" t="n">
        <v>0.224287607</v>
      </c>
      <c r="E1980" t="n">
        <v>0.724142372</v>
      </c>
      <c r="F1980" t="n">
        <v>0.15049389</v>
      </c>
    </row>
    <row r="1981">
      <c r="A1981" t="inlineStr">
        <is>
          <t>G|ORIG_BAL x ASSET_CLASS|where Y|contribution_rate|band|3</t>
        </is>
      </c>
      <c r="B1981" t="n">
        <v>-0.205483939</v>
      </c>
      <c r="C1981" t="n">
        <v>-0.714960499</v>
      </c>
      <c r="D1981" t="n">
        <v>0.09647599799999999</v>
      </c>
      <c r="E1981" t="n">
        <v>0.786595394</v>
      </c>
    </row>
    <row r="1982">
      <c r="A1982" t="inlineStr">
        <is>
          <t>G|ORIG_BAL x ASSET_CLASS|where Y|contribution_rate|rate|4</t>
        </is>
      </c>
      <c r="B1982" t="n">
        <v>0.1704981082632374</v>
      </c>
      <c r="C1982" t="n">
        <v>0.1678791427414002</v>
      </c>
      <c r="D1982" t="n">
        <v>0.1606415113674031</v>
      </c>
      <c r="E1982" t="n">
        <v>0.1662296443178715</v>
      </c>
      <c r="F1982" t="n">
        <v>0.16623236711117</v>
      </c>
    </row>
    <row r="1983">
      <c r="A1983" t="inlineStr">
        <is>
          <t>G|ORIG_BAL x ASSET_CLASS|where Y|contribution_rate|book|4</t>
        </is>
      </c>
      <c r="B1983" t="n">
        <v>0.090565253</v>
      </c>
      <c r="C1983" t="n">
        <v>-0.171331299</v>
      </c>
      <c r="D1983" t="n">
        <v>-0.895094437</v>
      </c>
      <c r="E1983" t="n">
        <v>-0.336281142</v>
      </c>
      <c r="F1983" t="n">
        <v>-0.336008862</v>
      </c>
    </row>
    <row r="1984">
      <c r="A1984" t="inlineStr">
        <is>
          <t>G|ORIG_BAL x ASSET_CLASS|where Y|contribution_rate|band|4</t>
        </is>
      </c>
      <c r="B1984" t="n">
        <v>0.556587637</v>
      </c>
      <c r="C1984" t="n">
        <v>0.222983752</v>
      </c>
      <c r="D1984" t="n">
        <v>-0.750574699</v>
      </c>
      <c r="E1984" t="n">
        <v>-0.000362944</v>
      </c>
    </row>
    <row r="1985">
      <c r="A1985" t="inlineStr">
        <is>
          <t>G|ORIG_BAL x ASSET_CLASS|where Y|contribution_rate|rate|5</t>
        </is>
      </c>
      <c r="B1985" t="n">
        <v>0.1790333472910162</v>
      </c>
      <c r="C1985" t="n">
        <v>0.1513804767721622</v>
      </c>
      <c r="D1985" t="n">
        <v>0.1595617925666591</v>
      </c>
      <c r="E1985" t="n">
        <v>0.1696841892181561</v>
      </c>
      <c r="F1985" t="n">
        <v>0.1648416087350817</v>
      </c>
    </row>
    <row r="1986">
      <c r="A1986" t="inlineStr">
        <is>
          <t>G|ORIG_BAL x ASSET_CLASS|where Y|contribution_rate|book|5</t>
        </is>
      </c>
      <c r="B1986" t="n">
        <v>0.944089156</v>
      </c>
      <c r="C1986" t="n">
        <v>-1.821197896</v>
      </c>
      <c r="D1986" t="n">
        <v>-1.003066317</v>
      </c>
      <c r="E1986" t="n">
        <v>0.009173348</v>
      </c>
      <c r="F1986" t="n">
        <v>-0.4750847</v>
      </c>
    </row>
    <row r="1987">
      <c r="A1987" t="inlineStr">
        <is>
          <t>G|ORIG_BAL x ASSET_CLASS|where Y|contribution_rate|band|5</t>
        </is>
      </c>
      <c r="B1987" t="n">
        <v>1.924543206</v>
      </c>
      <c r="C1987" t="n">
        <v>-1.833268815</v>
      </c>
      <c r="D1987" t="n">
        <v>-0.695106739</v>
      </c>
      <c r="E1987" t="n">
        <v>0.62992645</v>
      </c>
    </row>
    <row r="1988">
      <c r="A1988" t="inlineStr">
        <is>
          <t>G|ORIG_BAL x ASSET_CLASS|where Y|contribution_rate|rate|6</t>
        </is>
      </c>
    </row>
    <row r="1989">
      <c r="A1989" t="inlineStr">
        <is>
          <t>G|ORIG_BAL x ASSET_CLASS|where Y|contribution_rate|book|6</t>
        </is>
      </c>
    </row>
    <row r="1990">
      <c r="A1990" t="inlineStr">
        <is>
          <t>G|ORIG_BAL x ASSET_CLASS|where Y|contribution_rate|band|6</t>
        </is>
      </c>
    </row>
    <row r="1991">
      <c r="A1991" t="inlineStr">
        <is>
          <t>G|ORIG_BAL x ASSET_CLASS|where Y|contribution_rate|rate|7</t>
        </is>
      </c>
      <c r="B1991" t="n">
        <v>0.1746105286323749</v>
      </c>
      <c r="C1991" t="n">
        <v>0.1608585159559363</v>
      </c>
      <c r="D1991" t="n">
        <v>0.1652986533572751</v>
      </c>
      <c r="E1991" t="n">
        <v>0.1744144949802069</v>
      </c>
      <c r="F1991" t="n">
        <v>0.1687466975246471</v>
      </c>
    </row>
    <row r="1992">
      <c r="A1992" t="inlineStr">
        <is>
          <t>G|ORIG_BAL x ASSET_CLASS|where Y|contribution_rate|book|7</t>
        </is>
      </c>
      <c r="B1992" t="n">
        <v>0.50180729</v>
      </c>
      <c r="C1992" t="n">
        <v>-0.873393978</v>
      </c>
      <c r="D1992" t="n">
        <v>-0.429380238</v>
      </c>
      <c r="E1992" t="n">
        <v>0.482203925</v>
      </c>
      <c r="F1992" t="n">
        <v>-0.084575821</v>
      </c>
    </row>
    <row r="1993">
      <c r="A1993" t="inlineStr">
        <is>
          <t>G|ORIG_BAL x ASSET_CLASS|where Y|contribution_rate|band|7</t>
        </is>
      </c>
    </row>
    <row r="1994">
      <c r="A1994" t="inlineStr">
        <is>
          <t>G|ORIG_BAL x ASSET_CLASS|where Y|contribution_rate|meta</t>
        </is>
      </c>
      <c r="B1994" t="inlineStr">
        <is>
          <t>pts</t>
        </is>
      </c>
      <c r="C1994" t="n">
        <v>2.56756283</v>
      </c>
      <c r="D1994" t="n">
        <v>10</v>
      </c>
      <c r="E1994" t="n">
        <v>0.1695924557349815</v>
      </c>
      <c r="F1994" t="n">
        <v>65</v>
      </c>
    </row>
    <row r="1995">
      <c r="A1995" t="inlineStr">
        <is>
          <t>G|ORIG_BAL x ASSET_CLASS|where Y|loan_size|rate|1</t>
        </is>
      </c>
      <c r="B1995" t="n">
        <v>10163.39955555556</v>
      </c>
      <c r="C1995" t="n">
        <v>10458.4115</v>
      </c>
      <c r="D1995" t="n">
        <v>9918.738206521739</v>
      </c>
      <c r="E1995" t="n">
        <v>10062.92765306122</v>
      </c>
      <c r="F1995" t="n">
        <v>10139.08251388889</v>
      </c>
    </row>
    <row r="1996">
      <c r="A1996" t="inlineStr">
        <is>
          <t>G|ORIG_BAL x ASSET_CLASS|where Y|loan_size|median|1</t>
        </is>
      </c>
      <c r="B1996" t="n">
        <v>10074.185</v>
      </c>
      <c r="C1996" t="n">
        <v>10613.415</v>
      </c>
      <c r="D1996" t="n">
        <v>10035.045</v>
      </c>
      <c r="E1996" t="n">
        <v>10140.595</v>
      </c>
      <c r="F1996" t="n">
        <v>10126.21</v>
      </c>
    </row>
    <row r="1997">
      <c r="A1997" t="inlineStr">
        <is>
          <t>G|ORIG_BAL x ASSET_CLASS|where Y|loan_size|book|1</t>
        </is>
      </c>
      <c r="B1997" t="n">
        <v>0.3150212057906461</v>
      </c>
      <c r="C1997" t="n">
        <v>0.3241652936476203</v>
      </c>
      <c r="D1997" t="n">
        <v>0.3074377675167008</v>
      </c>
      <c r="E1997" t="n">
        <v>0.3119070135660038</v>
      </c>
      <c r="F1997" t="n">
        <v>0.3142674832054795</v>
      </c>
    </row>
    <row r="1998">
      <c r="A1998" t="inlineStr">
        <is>
          <t>G|ORIG_BAL x ASSET_CLASS|where Y|loan_size|band|1</t>
        </is>
      </c>
      <c r="B1998" t="n">
        <v>1.00320035498606</v>
      </c>
      <c r="C1998" t="n">
        <v>1.040861081384935</v>
      </c>
      <c r="D1998" t="n">
        <v>0.9710236990585009</v>
      </c>
      <c r="E1998" t="n">
        <v>0.9897084270682034</v>
      </c>
    </row>
    <row r="1999">
      <c r="A1999" t="inlineStr">
        <is>
          <t>G|ORIG_BAL x ASSET_CLASS|where Y|loan_size|rate|2</t>
        </is>
      </c>
      <c r="B1999" t="n">
        <v>20939.62288888889</v>
      </c>
      <c r="C1999" t="n">
        <v>21241.35376470588</v>
      </c>
      <c r="D1999" t="n">
        <v>20649.17160621762</v>
      </c>
      <c r="E1999" t="n">
        <v>20917.56715789474</v>
      </c>
      <c r="F1999" t="n">
        <v>20927.40810368349</v>
      </c>
    </row>
    <row r="2000">
      <c r="A2000" t="inlineStr">
        <is>
          <t>G|ORIG_BAL x ASSET_CLASS|where Y|loan_size|median|2</t>
        </is>
      </c>
      <c r="B2000" t="n">
        <v>21133.51</v>
      </c>
      <c r="C2000" t="n">
        <v>20929.71</v>
      </c>
      <c r="D2000" t="n">
        <v>20660.2</v>
      </c>
      <c r="E2000" t="n">
        <v>20769.945</v>
      </c>
      <c r="F2000" t="n">
        <v>20862.28</v>
      </c>
    </row>
    <row r="2001">
      <c r="A2001" t="inlineStr">
        <is>
          <t>G|ORIG_BAL x ASSET_CLASS|where Y|loan_size|book|2</t>
        </is>
      </c>
      <c r="B2001" t="n">
        <v>0.6490372847393793</v>
      </c>
      <c r="C2001" t="n">
        <v>0.6583896302616193</v>
      </c>
      <c r="D2001" t="n">
        <v>0.6400345575721166</v>
      </c>
      <c r="E2001" t="n">
        <v>0.6483536529551133</v>
      </c>
      <c r="F2001" t="n">
        <v>0.6486586794958439</v>
      </c>
    </row>
    <row r="2002">
      <c r="A2002" t="inlineStr">
        <is>
          <t>G|ORIG_BAL x ASSET_CLASS|where Y|loan_size|band|2</t>
        </is>
      </c>
      <c r="B2002" t="n">
        <v>1.000773805391196</v>
      </c>
      <c r="C2002" t="n">
        <v>1.019620332373534</v>
      </c>
      <c r="D2002" t="n">
        <v>0.982038191705205</v>
      </c>
      <c r="E2002" t="n">
        <v>0.9993653210605279</v>
      </c>
    </row>
    <row r="2003">
      <c r="A2003" t="inlineStr">
        <is>
          <t>G|ORIG_BAL x ASSET_CLASS|where Y|loan_size|rate|3</t>
        </is>
      </c>
      <c r="B2003" t="n">
        <v>32309.11190751445</v>
      </c>
      <c r="C2003" t="n">
        <v>32672.9787150838</v>
      </c>
      <c r="D2003" t="n">
        <v>32199.5799408284</v>
      </c>
      <c r="E2003" t="n">
        <v>32298.8962371134</v>
      </c>
      <c r="F2003" t="n">
        <v>32371.54465734266</v>
      </c>
    </row>
    <row r="2004">
      <c r="A2004" t="inlineStr">
        <is>
          <t>G|ORIG_BAL x ASSET_CLASS|where Y|loan_size|median|3</t>
        </is>
      </c>
      <c r="B2004" t="n">
        <v>32343.46</v>
      </c>
      <c r="C2004" t="n">
        <v>32848.57</v>
      </c>
      <c r="D2004" t="n">
        <v>32237.03</v>
      </c>
      <c r="E2004" t="n">
        <v>32363.505</v>
      </c>
      <c r="F2004" t="n">
        <v>32470.82</v>
      </c>
    </row>
    <row r="2005">
      <c r="A2005" t="inlineStr">
        <is>
          <t>G|ORIG_BAL x ASSET_CLASS|where Y|loan_size|book|3</t>
        </is>
      </c>
      <c r="B2005" t="n">
        <v>1.001442020998432</v>
      </c>
      <c r="C2005" t="n">
        <v>1.012720310299283</v>
      </c>
      <c r="D2005" t="n">
        <v>0.998047006168065</v>
      </c>
      <c r="E2005" t="n">
        <v>1.001125379623654</v>
      </c>
      <c r="F2005" t="n">
        <v>1.003377164847122</v>
      </c>
    </row>
    <row r="2006">
      <c r="A2006" t="inlineStr">
        <is>
          <t>G|ORIG_BAL x ASSET_CLASS|where Y|loan_size|band|3</t>
        </is>
      </c>
      <c r="B2006" t="n">
        <v>0.9974573386104207</v>
      </c>
      <c r="C2006" t="n">
        <v>1.012460135769703</v>
      </c>
      <c r="D2006" t="n">
        <v>0.9930549429354919</v>
      </c>
      <c r="E2006" t="n">
        <v>0.9969227108767403</v>
      </c>
    </row>
    <row r="2007">
      <c r="A2007" t="inlineStr">
        <is>
          <t>G|ORIG_BAL x ASSET_CLASS|where Y|loan_size|rate|4</t>
        </is>
      </c>
      <c r="B2007" t="n">
        <v>43690.98163841808</v>
      </c>
      <c r="C2007" t="n">
        <v>43500.92226130653</v>
      </c>
      <c r="D2007" t="n">
        <v>43313.73974358974</v>
      </c>
      <c r="E2007" t="n">
        <v>43757.10015873016</v>
      </c>
      <c r="F2007" t="n">
        <v>43560.86639473684</v>
      </c>
    </row>
    <row r="2008">
      <c r="A2008" t="inlineStr">
        <is>
          <t>G|ORIG_BAL x ASSET_CLASS|where Y|loan_size|median|4</t>
        </is>
      </c>
      <c r="B2008" t="n">
        <v>43868.39</v>
      </c>
      <c r="C2008" t="n">
        <v>43424.71</v>
      </c>
      <c r="D2008" t="n">
        <v>43139.16</v>
      </c>
      <c r="E2008" t="n">
        <v>43291.87</v>
      </c>
      <c r="F2008" t="n">
        <v>43474.215</v>
      </c>
    </row>
    <row r="2009">
      <c r="A2009" t="inlineStr">
        <is>
          <t>G|ORIG_BAL x ASSET_CLASS|where Y|loan_size|book|4</t>
        </is>
      </c>
      <c r="B2009" t="n">
        <v>1.354230505518987</v>
      </c>
      <c r="C2009" t="n">
        <v>1.348339491019141</v>
      </c>
      <c r="D2009" t="n">
        <v>1.342537646654788</v>
      </c>
      <c r="E2009" t="n">
        <v>1.356279892230583</v>
      </c>
      <c r="F2009" t="n">
        <v>1.350197498577544</v>
      </c>
    </row>
    <row r="2010">
      <c r="A2010" t="inlineStr">
        <is>
          <t>G|ORIG_BAL x ASSET_CLASS|where Y|loan_size|band|4</t>
        </is>
      </c>
      <c r="B2010" t="n">
        <v>1.003897361829869</v>
      </c>
      <c r="C2010" t="n">
        <v>0.9981366734784769</v>
      </c>
      <c r="D2010" t="n">
        <v>0.9923837935283016</v>
      </c>
      <c r="E2010" t="n">
        <v>1.006004858296258</v>
      </c>
    </row>
    <row r="2011">
      <c r="A2011" t="inlineStr">
        <is>
          <t>G|ORIG_BAL x ASSET_CLASS|where Y|loan_size|rate|5</t>
        </is>
      </c>
      <c r="B2011" t="n">
        <v>54441.84815384616</v>
      </c>
      <c r="C2011" t="n">
        <v>54533.2745177665</v>
      </c>
      <c r="D2011" t="n">
        <v>54302.95273743018</v>
      </c>
      <c r="E2011" t="n">
        <v>54672.08502923976</v>
      </c>
      <c r="F2011" t="n">
        <v>54485.67459568733</v>
      </c>
    </row>
    <row r="2012">
      <c r="A2012" t="inlineStr">
        <is>
          <t>G|ORIG_BAL x ASSET_CLASS|where Y|loan_size|median|5</t>
        </is>
      </c>
      <c r="B2012" t="n">
        <v>54077.6</v>
      </c>
      <c r="C2012" t="n">
        <v>54546.42</v>
      </c>
      <c r="D2012" t="n">
        <v>54197.19</v>
      </c>
      <c r="E2012" t="n">
        <v>54473.26</v>
      </c>
      <c r="F2012" t="n">
        <v>54283.705</v>
      </c>
    </row>
    <row r="2013">
      <c r="A2013" t="inlineStr">
        <is>
          <t>G|ORIG_BAL x ASSET_CLASS|where Y|loan_size|book|5</t>
        </is>
      </c>
      <c r="B2013" t="n">
        <v>1.687460633339078</v>
      </c>
      <c r="C2013" t="n">
        <v>1.690294453189001</v>
      </c>
      <c r="D2013" t="n">
        <v>1.683155479210385</v>
      </c>
      <c r="E2013" t="n">
        <v>1.694596975633553</v>
      </c>
      <c r="F2013" t="n">
        <v>1.688819062522035</v>
      </c>
    </row>
    <row r="2014">
      <c r="A2014" t="inlineStr">
        <is>
          <t>G|ORIG_BAL x ASSET_CLASS|where Y|loan_size|band|5</t>
        </is>
      </c>
      <c r="B2014" t="n">
        <v>0.998909197953737</v>
      </c>
      <c r="C2014" t="n">
        <v>1.00118978497023</v>
      </c>
      <c r="D2014" t="n">
        <v>0.9955848967097176</v>
      </c>
      <c r="E2014" t="n">
        <v>1.00445041879293</v>
      </c>
    </row>
    <row r="2015">
      <c r="A2015" t="inlineStr">
        <is>
          <t>G|ORIG_BAL x ASSET_CLASS|where Y|loan_size|rate|6</t>
        </is>
      </c>
    </row>
    <row r="2016">
      <c r="A2016" t="inlineStr">
        <is>
          <t>G|ORIG_BAL x ASSET_CLASS|where Y|loan_size|median|6</t>
        </is>
      </c>
    </row>
    <row r="2017">
      <c r="A2017" t="inlineStr">
        <is>
          <t>G|ORIG_BAL x ASSET_CLASS|where Y|loan_size|book|6</t>
        </is>
      </c>
    </row>
    <row r="2018">
      <c r="A2018" t="inlineStr">
        <is>
          <t>G|ORIG_BAL x ASSET_CLASS|where Y|loan_size|band|6</t>
        </is>
      </c>
    </row>
    <row r="2019">
      <c r="A2019" t="inlineStr">
        <is>
          <t>G|ORIG_BAL x ASSET_CLASS|where Y|loan_size|rate|7</t>
        </is>
      </c>
      <c r="B2019" t="n">
        <v>32638.1044640884</v>
      </c>
      <c r="C2019" t="n">
        <v>33737.65500552487</v>
      </c>
      <c r="D2019" t="n">
        <v>31976.60298913044</v>
      </c>
      <c r="E2019" t="n">
        <v>31735.82544680851</v>
      </c>
      <c r="F2019" t="n">
        <v>32512.31961580381</v>
      </c>
    </row>
    <row r="2020">
      <c r="A2020" t="inlineStr">
        <is>
          <t>G|ORIG_BAL x ASSET_CLASS|where Y|loan_size|median|7</t>
        </is>
      </c>
      <c r="B2020" t="n">
        <v>32843.59</v>
      </c>
      <c r="C2020" t="n">
        <v>34831.73</v>
      </c>
      <c r="D2020" t="n">
        <v>32062.34</v>
      </c>
      <c r="E2020" t="n">
        <v>31537.565</v>
      </c>
      <c r="F2020" t="n">
        <v>32864.335</v>
      </c>
    </row>
    <row r="2021">
      <c r="A2021" t="inlineStr">
        <is>
          <t>G|ORIG_BAL x ASSET_CLASS|where Y|loan_size|book|7</t>
        </is>
      </c>
      <c r="B2021" t="n">
        <v>1.011639360117253</v>
      </c>
      <c r="C2021" t="n">
        <v>1.045720647141114</v>
      </c>
      <c r="D2021" t="n">
        <v>0.9911356899491706</v>
      </c>
      <c r="E2021" t="n">
        <v>0.9836726328003351</v>
      </c>
      <c r="F2021" t="n">
        <v>1.007740576608821</v>
      </c>
    </row>
    <row r="2022">
      <c r="A2022" t="inlineStr">
        <is>
          <t>G|ORIG_BAL x ASSET_CLASS|where Y|loan_size|band|7</t>
        </is>
      </c>
    </row>
    <row r="2023">
      <c r="A2023" t="inlineStr">
        <is>
          <t>G|ORIG_BAL x ASSET_CLASS|where Y|loan_size|meta</t>
        </is>
      </c>
      <c r="B2023" t="inlineStr">
        <is>
          <t>size</t>
        </is>
      </c>
      <c r="C2023" t="n">
        <v>1</v>
      </c>
      <c r="E2023" t="n">
        <v>32262.58857732217</v>
      </c>
      <c r="F2023" t="n">
        <v>65</v>
      </c>
    </row>
    <row r="2024">
      <c r="A2024" t="inlineStr">
        <is>
          <t>G|FICO x CHANNEL / SYS_FLAG|cols</t>
        </is>
      </c>
      <c r="B2024" t="inlineStr">
        <is>
          <t>Branch · N</t>
        </is>
      </c>
      <c r="C2024" t="inlineStr">
        <is>
          <t>Branch · Y</t>
        </is>
      </c>
      <c r="D2024" t="inlineStr">
        <is>
          <t>Broker · N</t>
        </is>
      </c>
      <c r="E2024" t="inlineStr">
        <is>
          <t>Broker · Y</t>
        </is>
      </c>
      <c r="F2024" t="inlineStr">
        <is>
          <t>Online · N</t>
        </is>
      </c>
      <c r="G2024" t="inlineStr">
        <is>
          <t>Online · Y</t>
        </is>
      </c>
      <c r="H2024" t="inlineStr">
        <is>
          <t>All</t>
        </is>
      </c>
    </row>
    <row r="2025">
      <c r="A2025" t="inlineStr">
        <is>
          <t>G|FICO x CHANNEL / SYS_FLAG|heads</t>
        </is>
      </c>
      <c r="B2025" t="inlineStr">
        <is>
          <t>N</t>
        </is>
      </c>
      <c r="C2025" t="inlineStr">
        <is>
          <t>Y</t>
        </is>
      </c>
      <c r="D2025" t="inlineStr">
        <is>
          <t>N</t>
        </is>
      </c>
      <c r="E2025" t="inlineStr">
        <is>
          <t>Y</t>
        </is>
      </c>
      <c r="F2025" t="inlineStr">
        <is>
          <t>N</t>
        </is>
      </c>
      <c r="G2025" t="inlineStr">
        <is>
          <t>Y</t>
        </is>
      </c>
      <c r="H2025" t="inlineStr">
        <is>
          <t>All</t>
        </is>
      </c>
    </row>
    <row r="2026">
      <c r="A2026" t="inlineStr">
        <is>
          <t>G|FICO x CHANNEL / SYS_FLAG|segs</t>
        </is>
      </c>
      <c r="B2026" t="inlineStr">
        <is>
          <t>Branch</t>
        </is>
      </c>
      <c r="C2026" t="inlineStr">
        <is>
          <t>Broker</t>
        </is>
      </c>
      <c r="D2026" t="inlineStr">
        <is>
          <t>Online</t>
        </is>
      </c>
    </row>
    <row r="2027">
      <c r="A2027" t="inlineStr">
        <is>
          <t>G|FICO x CHANNEL / SYS_FLAG|rows</t>
        </is>
      </c>
      <c r="B2027" t="inlineStr">
        <is>
          <t>496 - 653</t>
        </is>
      </c>
      <c r="C2027" t="inlineStr">
        <is>
          <t>654 - 685</t>
        </is>
      </c>
      <c r="D2027" t="inlineStr">
        <is>
          <t>686 - 711</t>
        </is>
      </c>
      <c r="E2027" t="inlineStr">
        <is>
          <t>712 - 745</t>
        </is>
      </c>
      <c r="F2027" t="inlineStr">
        <is>
          <t>746 - 921</t>
        </is>
      </c>
      <c r="G2027" t="inlineStr">
        <is>
          <t>(blank)</t>
        </is>
      </c>
      <c r="H2027" t="inlineStr">
        <is>
          <t>(marked missing)</t>
        </is>
      </c>
      <c r="I2027" t="inlineStr">
        <is>
          <t>All</t>
        </is>
      </c>
    </row>
    <row r="2028">
      <c r="A2028" t="inlineStr">
        <is>
          <t>G|FICO x CHANNEL / SYS_FLAG|names</t>
        </is>
      </c>
      <c r="B2028" t="inlineStr">
        <is>
          <t>FICO</t>
        </is>
      </c>
      <c r="C2028" t="inlineStr">
        <is>
          <t>CHANNEL / SYS_FLAG</t>
        </is>
      </c>
    </row>
    <row r="2029">
      <c r="A2029" t="inlineStr">
        <is>
          <t>G|FICO x CHANNEL / SYS_FLAG|total</t>
        </is>
      </c>
      <c r="B2029" t="n">
        <v>8000</v>
      </c>
    </row>
    <row r="2030">
      <c r="A2030" t="inlineStr">
        <is>
          <t>G|FICO x CHANNEL / SYS_FLAG|loans|1</t>
        </is>
      </c>
      <c r="B2030" t="n">
        <v>271</v>
      </c>
      <c r="C2030" t="n">
        <v>231</v>
      </c>
      <c r="D2030" t="n">
        <v>258</v>
      </c>
      <c r="E2030" t="n">
        <v>265</v>
      </c>
      <c r="F2030" t="n">
        <v>305</v>
      </c>
      <c r="G2030" t="n">
        <v>226</v>
      </c>
      <c r="H2030" t="n">
        <v>1556</v>
      </c>
    </row>
    <row r="2031">
      <c r="A2031" t="inlineStr">
        <is>
          <t>G|FICO x CHANNEL / SYS_FLAG|loans|2</t>
        </is>
      </c>
      <c r="B2031" t="n">
        <v>249</v>
      </c>
      <c r="C2031" t="n">
        <v>254</v>
      </c>
      <c r="D2031" t="n">
        <v>287</v>
      </c>
      <c r="E2031" t="n">
        <v>244</v>
      </c>
      <c r="F2031" t="n">
        <v>269</v>
      </c>
      <c r="G2031" t="n">
        <v>236</v>
      </c>
      <c r="H2031" t="n">
        <v>1539</v>
      </c>
    </row>
    <row r="2032">
      <c r="A2032" t="inlineStr">
        <is>
          <t>G|FICO x CHANNEL / SYS_FLAG|loans|3</t>
        </is>
      </c>
      <c r="B2032" t="n">
        <v>280</v>
      </c>
      <c r="C2032" t="n">
        <v>235</v>
      </c>
      <c r="D2032" t="n">
        <v>271</v>
      </c>
      <c r="E2032" t="n">
        <v>230</v>
      </c>
      <c r="F2032" t="n">
        <v>297</v>
      </c>
      <c r="G2032" t="n">
        <v>249</v>
      </c>
      <c r="H2032" t="n">
        <v>1562</v>
      </c>
    </row>
    <row r="2033">
      <c r="A2033" t="inlineStr">
        <is>
          <t>G|FICO x CHANNEL / SYS_FLAG|loans|4</t>
        </is>
      </c>
      <c r="B2033" t="n">
        <v>307</v>
      </c>
      <c r="C2033" t="n">
        <v>231</v>
      </c>
      <c r="D2033" t="n">
        <v>291</v>
      </c>
      <c r="E2033" t="n">
        <v>218</v>
      </c>
      <c r="F2033" t="n">
        <v>286</v>
      </c>
      <c r="G2033" t="n">
        <v>278</v>
      </c>
      <c r="H2033" t="n">
        <v>1611</v>
      </c>
    </row>
    <row r="2034">
      <c r="A2034" t="inlineStr">
        <is>
          <t>G|FICO x CHANNEL / SYS_FLAG|loans|5</t>
        </is>
      </c>
      <c r="B2034" t="n">
        <v>279</v>
      </c>
      <c r="C2034" t="n">
        <v>239</v>
      </c>
      <c r="D2034" t="n">
        <v>299</v>
      </c>
      <c r="E2034" t="n">
        <v>237</v>
      </c>
      <c r="F2034" t="n">
        <v>292</v>
      </c>
      <c r="G2034" t="n">
        <v>225</v>
      </c>
      <c r="H2034" t="n">
        <v>1571</v>
      </c>
    </row>
    <row r="2035">
      <c r="A2035" t="inlineStr">
        <is>
          <t>G|FICO x CHANNEL / SYS_FLAG|loans|6</t>
        </is>
      </c>
      <c r="E2035" t="n">
        <v>1</v>
      </c>
      <c r="H2035" t="n">
        <v>1</v>
      </c>
    </row>
    <row r="2036">
      <c r="A2036" t="inlineStr">
        <is>
          <t>G|FICO x CHANNEL / SYS_FLAG|loans|7</t>
        </is>
      </c>
      <c r="B2036" t="n">
        <v>29</v>
      </c>
      <c r="C2036" t="n">
        <v>22</v>
      </c>
      <c r="D2036" t="n">
        <v>29</v>
      </c>
      <c r="E2036" t="n">
        <v>25</v>
      </c>
      <c r="F2036" t="n">
        <v>30</v>
      </c>
      <c r="G2036" t="n">
        <v>25</v>
      </c>
      <c r="H2036" t="n">
        <v>160</v>
      </c>
    </row>
    <row r="2037">
      <c r="A2037" t="inlineStr">
        <is>
          <t>G|FICO x CHANNEL / SYS_FLAG|loans|8</t>
        </is>
      </c>
      <c r="B2037" t="n">
        <v>1415</v>
      </c>
      <c r="C2037" t="n">
        <v>1212</v>
      </c>
      <c r="D2037" t="n">
        <v>1435</v>
      </c>
      <c r="E2037" t="n">
        <v>1220</v>
      </c>
      <c r="F2037" t="n">
        <v>1479</v>
      </c>
      <c r="G2037" t="n">
        <v>1239</v>
      </c>
      <c r="H2037" t="n">
        <v>8000</v>
      </c>
    </row>
    <row r="2038">
      <c r="A2038" t="inlineStr">
        <is>
          <t>G|FICO x CHANNEL / SYS_FLAG|outcome_loans|rate|1</t>
        </is>
      </c>
      <c r="B2038" t="n">
        <v>0.08518518518518518</v>
      </c>
      <c r="C2038" t="n">
        <v>0.1212121212121212</v>
      </c>
      <c r="D2038" t="n">
        <v>0.1937984496124031</v>
      </c>
      <c r="E2038" t="n">
        <v>0.2943396226415094</v>
      </c>
      <c r="F2038" t="n">
        <v>0.07540983606557378</v>
      </c>
      <c r="G2038" t="n">
        <v>0.1415929203539823</v>
      </c>
      <c r="H2038" t="n">
        <v>0.1504823151125402</v>
      </c>
    </row>
    <row r="2039">
      <c r="A2039" t="inlineStr">
        <is>
          <t>G|FICO x CHANNEL / SYS_FLAG|outcome_loans|book|1</t>
        </is>
      </c>
      <c r="B2039" t="n">
        <v>1.100801771076408</v>
      </c>
      <c r="C2039" t="n">
        <v>1.566358251334019</v>
      </c>
      <c r="D2039" t="n">
        <v>2.504351855330553</v>
      </c>
      <c r="E2039" t="n">
        <v>3.803590697107325</v>
      </c>
      <c r="F2039" t="n">
        <v>0.9744802563627215</v>
      </c>
      <c r="G2039" t="n">
        <v>1.829728222797261</v>
      </c>
      <c r="H2039" t="n">
        <v>1.944601031640079</v>
      </c>
    </row>
    <row r="2040">
      <c r="A2040" t="inlineStr">
        <is>
          <t>G|FICO x CHANNEL / SYS_FLAG|outcome_loans|band|1</t>
        </is>
      </c>
      <c r="B2040" t="n">
        <v>0.5187818149903458</v>
      </c>
      <c r="C2040" t="n">
        <v>0.7790526625478081</v>
      </c>
      <c r="D2040" t="n">
        <v>1.366068419278733</v>
      </c>
      <c r="E2040" t="n">
        <v>2.433962264150944</v>
      </c>
      <c r="F2040" t="n">
        <v>0.4467407349856266</v>
      </c>
      <c r="G2040" t="n">
        <v>0.9315692631210024</v>
      </c>
    </row>
    <row r="2041">
      <c r="A2041" t="inlineStr">
        <is>
          <t>G|FICO x CHANNEL / SYS_FLAG|outcome_loans|rate|2</t>
        </is>
      </c>
      <c r="B2041" t="n">
        <v>0.06425702811244979</v>
      </c>
      <c r="C2041" t="n">
        <v>0.1141732283464567</v>
      </c>
      <c r="D2041" t="n">
        <v>0.0627177700348432</v>
      </c>
      <c r="E2041" t="n">
        <v>0.1024590163934426</v>
      </c>
      <c r="F2041" t="n">
        <v>0.0483271375464684</v>
      </c>
      <c r="G2041" t="n">
        <v>0.1228813559322034</v>
      </c>
      <c r="H2041" t="n">
        <v>0.08447043534762833</v>
      </c>
    </row>
    <row r="2042">
      <c r="A2042" t="inlineStr">
        <is>
          <t>G|FICO x CHANNEL / SYS_FLAG|outcome_loans|book|2</t>
        </is>
      </c>
      <c r="B2042" t="n">
        <v>0.8303585910686363</v>
      </c>
      <c r="C2042" t="n">
        <v>1.475398470990803</v>
      </c>
      <c r="D2042" t="n">
        <v>0.8104675969446055</v>
      </c>
      <c r="E2042" t="n">
        <v>1.32402208744935</v>
      </c>
      <c r="F2042" t="n">
        <v>0.624505287938935</v>
      </c>
      <c r="G2042" t="n">
        <v>1.587928862846034</v>
      </c>
      <c r="H2042" t="n">
        <v>1.091565448054409</v>
      </c>
    </row>
    <row r="2043">
      <c r="A2043" t="inlineStr">
        <is>
          <t>G|FICO x CHANNEL / SYS_FLAG|outcome_loans|band|2</t>
        </is>
      </c>
      <c r="B2043" t="n">
        <v>0.7271190023250897</v>
      </c>
      <c r="C2043" t="n">
        <v>1.45259998440789</v>
      </c>
      <c r="D2043" t="n">
        <v>0.7010950721752116</v>
      </c>
      <c r="E2043" t="n">
        <v>1.263661202185792</v>
      </c>
      <c r="F2043" t="n">
        <v>0.5245766212308963</v>
      </c>
      <c r="G2043" t="n">
        <v>1.585291156234268</v>
      </c>
    </row>
    <row r="2044">
      <c r="A2044" t="inlineStr">
        <is>
          <t>G|FICO x CHANNEL / SYS_FLAG|outcome_loans|rate|3</t>
        </is>
      </c>
      <c r="B2044" t="n">
        <v>0.06071428571428571</v>
      </c>
      <c r="C2044" t="n">
        <v>0.04680851063829787</v>
      </c>
      <c r="D2044" t="n">
        <v>0.04059040590405904</v>
      </c>
      <c r="E2044" t="n">
        <v>0.06521739130434782</v>
      </c>
      <c r="F2044" t="n">
        <v>0.05387205387205387</v>
      </c>
      <c r="G2044" t="n">
        <v>0.1044176706827309</v>
      </c>
      <c r="H2044" t="n">
        <v>0.06145966709346991</v>
      </c>
    </row>
    <row r="2045">
      <c r="A2045" t="inlineStr">
        <is>
          <t>G|FICO x CHANNEL / SYS_FLAG|outcome_loans|book|3</t>
        </is>
      </c>
      <c r="B2045" t="n">
        <v>0.7845776598199862</v>
      </c>
      <c r="C2045" t="n">
        <v>0.604880899185371</v>
      </c>
      <c r="D2045" t="n">
        <v>0.5245277170057645</v>
      </c>
      <c r="E2045" t="n">
        <v>0.8427688417503687</v>
      </c>
      <c r="F2045" t="n">
        <v>0.6961592228151193</v>
      </c>
      <c r="G2045" t="n">
        <v>1.349332710486534</v>
      </c>
      <c r="H2045" t="n">
        <v>0.7942098175778123</v>
      </c>
    </row>
    <row r="2046">
      <c r="A2046" t="inlineStr">
        <is>
          <t>G|FICO x CHANNEL / SYS_FLAG|outcome_loans|band|3</t>
        </is>
      </c>
      <c r="B2046" t="n">
        <v>0.9852622061482821</v>
      </c>
      <c r="C2046" t="n">
        <v>0.7307634543178974</v>
      </c>
      <c r="D2046" t="n">
        <v>0.6164966355545908</v>
      </c>
      <c r="E2046" t="n">
        <v>1.072463768115942</v>
      </c>
      <c r="F2046" t="n">
        <v>0.8518518518518519</v>
      </c>
      <c r="G2046" t="n">
        <v>1.958577165806081</v>
      </c>
    </row>
    <row r="2047">
      <c r="A2047" t="inlineStr">
        <is>
          <t>G|FICO x CHANNEL / SYS_FLAG|outcome_loans|rate|4</t>
        </is>
      </c>
      <c r="B2047" t="n">
        <v>0.03257328990228013</v>
      </c>
      <c r="C2047" t="n">
        <v>0.05194805194805195</v>
      </c>
      <c r="D2047" t="n">
        <v>0.03092783505154639</v>
      </c>
      <c r="E2047" t="n">
        <v>0.03211009174311927</v>
      </c>
      <c r="F2047" t="n">
        <v>0.05594405594405594</v>
      </c>
      <c r="G2047" t="n">
        <v>0.118705035971223</v>
      </c>
      <c r="H2047" t="n">
        <v>0.05400372439478585</v>
      </c>
    </row>
    <row r="2048">
      <c r="A2048" t="inlineStr">
        <is>
          <t>G|FICO x CHANNEL / SYS_FLAG|outcome_loans|book|4</t>
        </is>
      </c>
      <c r="B2048" t="n">
        <v>0.4209268916451353</v>
      </c>
      <c r="C2048" t="n">
        <v>0.6712963934288652</v>
      </c>
      <c r="F2048" t="n">
        <v>0.7229345775387779</v>
      </c>
      <c r="G2048" t="n">
        <v>1.53396055368952</v>
      </c>
      <c r="H2048" t="n">
        <v>0.6978607292954636</v>
      </c>
    </row>
    <row r="2049">
      <c r="A2049" t="inlineStr">
        <is>
          <t>G|FICO x CHANNEL / SYS_FLAG|outcome_loans|band|4</t>
        </is>
      </c>
      <c r="B2049" t="n">
        <v>0.551630779643809</v>
      </c>
      <c r="C2049" t="n">
        <v>0.9558441558441559</v>
      </c>
      <c r="F2049" t="n">
        <v>1.044026396139072</v>
      </c>
      <c r="G2049" t="n">
        <v>2.930255795363709</v>
      </c>
    </row>
    <row r="2050">
      <c r="A2050" t="inlineStr">
        <is>
          <t>G|FICO x CHANNEL / SYS_FLAG|outcome_loans|rate|5</t>
        </is>
      </c>
      <c r="B2050" t="n">
        <v>0.03225806451612903</v>
      </c>
      <c r="C2050" t="n">
        <v>0.05857740585774059</v>
      </c>
      <c r="D2050" t="n">
        <v>0.02675585284280936</v>
      </c>
      <c r="E2050" t="n">
        <v>0.05063291139240506</v>
      </c>
      <c r="F2050" t="n">
        <v>0.0273972602739726</v>
      </c>
      <c r="G2050" t="n">
        <v>0.04888888888888889</v>
      </c>
      <c r="H2050" t="n">
        <v>0.03946530872056015</v>
      </c>
    </row>
    <row r="2051">
      <c r="A2051" t="inlineStr">
        <is>
          <t>G|FICO x CHANNEL / SYS_FLAG|outcome_loans|book|5</t>
        </is>
      </c>
      <c r="C2051" t="n">
        <v>0.7569639248078626</v>
      </c>
      <c r="E2051" t="n">
        <v>0.6543015480256027</v>
      </c>
      <c r="G2051" t="n">
        <v>0.6317644947047208</v>
      </c>
      <c r="H2051" t="n">
        <v>0.5099886986361238</v>
      </c>
    </row>
    <row r="2052">
      <c r="A2052" t="inlineStr">
        <is>
          <t>G|FICO x CHANNEL / SYS_FLAG|outcome_loans|band|5</t>
        </is>
      </c>
      <c r="C2052" t="n">
        <v>1.625523012552301</v>
      </c>
      <c r="E2052" t="n">
        <v>1.350886075949367</v>
      </c>
      <c r="G2052" t="n">
        <v>1.290283224400872</v>
      </c>
    </row>
    <row r="2053">
      <c r="A2053" t="inlineStr">
        <is>
          <t>G|FICO x CHANNEL / SYS_FLAG|outcome_loans|rate|6</t>
        </is>
      </c>
      <c r="E2053" t="n">
        <v>0</v>
      </c>
      <c r="H2053" t="n">
        <v>0</v>
      </c>
    </row>
    <row r="2054">
      <c r="A2054" t="inlineStr">
        <is>
          <t>G|FICO x CHANNEL / SYS_FLAG|outcome_loans|book|6</t>
        </is>
      </c>
    </row>
    <row r="2055">
      <c r="A2055" t="inlineStr">
        <is>
          <t>G|FICO x CHANNEL / SYS_FLAG|outcome_loans|band|6</t>
        </is>
      </c>
    </row>
    <row r="2056">
      <c r="A2056" t="inlineStr">
        <is>
          <t>G|FICO x CHANNEL / SYS_FLAG|outcome_loans|rate|7</t>
        </is>
      </c>
      <c r="B2056" t="n">
        <v>0</v>
      </c>
      <c r="C2056" t="n">
        <v>0.04545454545454546</v>
      </c>
      <c r="D2056" t="n">
        <v>0.06896551724137931</v>
      </c>
      <c r="E2056" t="n">
        <v>0.2</v>
      </c>
      <c r="F2056" t="n">
        <v>0</v>
      </c>
      <c r="G2056" t="n">
        <v>0.08</v>
      </c>
      <c r="H2056" t="n">
        <v>0.0625</v>
      </c>
    </row>
    <row r="2057">
      <c r="A2057" t="inlineStr">
        <is>
          <t>G|FICO x CHANNEL / SYS_FLAG|outcome_loans|book|7</t>
        </is>
      </c>
      <c r="H2057" t="n">
        <v>0.8076534733441034</v>
      </c>
    </row>
    <row r="2058">
      <c r="A2058" t="inlineStr">
        <is>
          <t>G|FICO x CHANNEL / SYS_FLAG|outcome_loans|band|7</t>
        </is>
      </c>
    </row>
    <row r="2059">
      <c r="A2059" t="inlineStr">
        <is>
          <t>G|FICO x CHANNEL / SYS_FLAG|outcome_loans|rate|8</t>
        </is>
      </c>
      <c r="B2059" t="n">
        <v>0.05304101838755304</v>
      </c>
      <c r="C2059" t="n">
        <v>0.07838283828382839</v>
      </c>
      <c r="D2059" t="n">
        <v>0.06829268292682927</v>
      </c>
      <c r="E2059" t="n">
        <v>0.1163934426229508</v>
      </c>
      <c r="F2059" t="n">
        <v>0.05138607167004733</v>
      </c>
      <c r="G2059" t="n">
        <v>0.1073446327683616</v>
      </c>
      <c r="H2059" t="n">
        <v>0.07738467308413552</v>
      </c>
    </row>
    <row r="2060">
      <c r="A2060" t="inlineStr">
        <is>
          <t>G|FICO x CHANNEL / SYS_FLAG|outcome_loans|book|8</t>
        </is>
      </c>
      <c r="B2060" t="n">
        <v>0.6854202036866507</v>
      </c>
      <c r="C2060" t="n">
        <v>1.01289874544805</v>
      </c>
      <c r="D2060" t="n">
        <v>0.8825091611174594</v>
      </c>
      <c r="E2060" t="n">
        <v>1.504089091342461</v>
      </c>
      <c r="F2060" t="n">
        <v>0.664034228253164</v>
      </c>
      <c r="G2060" t="n">
        <v>1.387156248003432</v>
      </c>
      <c r="H2060" t="n">
        <v>1</v>
      </c>
    </row>
    <row r="2061">
      <c r="A2061" t="inlineStr">
        <is>
          <t>G|FICO x CHANNEL / SYS_FLAG|outcome_loans|band|8</t>
        </is>
      </c>
    </row>
    <row r="2062">
      <c r="A2062" t="inlineStr">
        <is>
          <t>G|FICO x CHANNEL / SYS_FLAG|outcome_loans|meta</t>
        </is>
      </c>
      <c r="B2062" t="inlineStr">
        <is>
          <t>x</t>
        </is>
      </c>
      <c r="C2062" t="n">
        <v>3.803590697107325</v>
      </c>
      <c r="D2062" t="n">
        <v>10</v>
      </c>
      <c r="E2062" t="n">
        <v>0.07738467308413552</v>
      </c>
      <c r="F2062" t="n">
        <v>65</v>
      </c>
    </row>
    <row r="2063">
      <c r="A2063" t="inlineStr">
        <is>
          <t>G|FICO x CHANNEL / SYS_FLAG|outcome_booked|rate|1</t>
        </is>
      </c>
      <c r="B2063" t="n">
        <v>0.0794138438647022</v>
      </c>
      <c r="C2063" t="n">
        <v>0.1297037813636696</v>
      </c>
      <c r="D2063" t="n">
        <v>0.1885605093407791</v>
      </c>
      <c r="E2063" t="n">
        <v>0.3016834293054531</v>
      </c>
      <c r="F2063" t="n">
        <v>0.06258124234792066</v>
      </c>
      <c r="G2063" t="n">
        <v>0.1453393309736574</v>
      </c>
      <c r="H2063" t="n">
        <v>0.1491655756309188</v>
      </c>
    </row>
    <row r="2064">
      <c r="A2064" t="inlineStr">
        <is>
          <t>G|FICO x CHANNEL / SYS_FLAG|outcome_booked|book|1</t>
        </is>
      </c>
      <c r="B2064" t="n">
        <v>1.061272813268959</v>
      </c>
      <c r="C2064" t="n">
        <v>1.733338801405464</v>
      </c>
      <c r="D2064" t="n">
        <v>2.51988988922954</v>
      </c>
      <c r="E2064" t="n">
        <v>4.031644939402481</v>
      </c>
      <c r="F2064" t="n">
        <v>0.8363248508357962</v>
      </c>
      <c r="G2064" t="n">
        <v>1.94228957011361</v>
      </c>
      <c r="H2064" t="n">
        <v>1.993422839000397</v>
      </c>
    </row>
    <row r="2065">
      <c r="A2065" t="inlineStr">
        <is>
          <t>G|FICO x CHANNEL / SYS_FLAG|outcome_booked|band|1</t>
        </is>
      </c>
      <c r="B2065" t="n">
        <v>0.486096506781561</v>
      </c>
      <c r="C2065" t="n">
        <v>0.8496149376163674</v>
      </c>
      <c r="D2065" t="n">
        <v>1.335191174805331</v>
      </c>
      <c r="E2065" t="n">
        <v>2.549946120035542</v>
      </c>
      <c r="F2065" t="n">
        <v>0.3676148114294099</v>
      </c>
      <c r="G2065" t="n">
        <v>0.9700692769157516</v>
      </c>
    </row>
    <row r="2066">
      <c r="A2066" t="inlineStr">
        <is>
          <t>G|FICO x CHANNEL / SYS_FLAG|outcome_booked|rate|2</t>
        </is>
      </c>
      <c r="B2066" t="n">
        <v>0.05554172519848109</v>
      </c>
      <c r="C2066" t="n">
        <v>0.1168027201907751</v>
      </c>
      <c r="D2066" t="n">
        <v>0.06705098669680558</v>
      </c>
      <c r="E2066" t="n">
        <v>0.08796899397226021</v>
      </c>
      <c r="F2066" t="n">
        <v>0.03296595839017977</v>
      </c>
      <c r="G2066" t="n">
        <v>0.1304315222490313</v>
      </c>
      <c r="H2066" t="n">
        <v>0.07985779590889652</v>
      </c>
    </row>
    <row r="2067">
      <c r="A2067" t="inlineStr">
        <is>
          <t>G|FICO x CHANNEL / SYS_FLAG|outcome_booked|book|2</t>
        </is>
      </c>
      <c r="B2067" t="n">
        <v>0.7422499665880453</v>
      </c>
      <c r="C2067" t="n">
        <v>1.560931261122702</v>
      </c>
      <c r="D2067" t="n">
        <v>0.896057737809708</v>
      </c>
      <c r="E2067" t="n">
        <v>1.175602353066263</v>
      </c>
      <c r="F2067" t="n">
        <v>0.440551340928153</v>
      </c>
      <c r="G2067" t="n">
        <v>1.743064204170938</v>
      </c>
      <c r="H2067" t="n">
        <v>1.067205711262177</v>
      </c>
    </row>
    <row r="2068">
      <c r="A2068" t="inlineStr">
        <is>
          <t>G|FICO x CHANNEL / SYS_FLAG|outcome_booked|band|2</t>
        </is>
      </c>
      <c r="B2068" t="n">
        <v>0.6564676767459487</v>
      </c>
      <c r="C2068" t="n">
        <v>1.609082622937274</v>
      </c>
      <c r="D2068" t="n">
        <v>0.8087672661152377</v>
      </c>
      <c r="E2068" t="n">
        <v>1.123103833474255</v>
      </c>
      <c r="F2068" t="n">
        <v>0.3667534875670352</v>
      </c>
      <c r="G2068" t="n">
        <v>1.829878802677026</v>
      </c>
    </row>
    <row r="2069">
      <c r="A2069" t="inlineStr">
        <is>
          <t>G|FICO x CHANNEL / SYS_FLAG|outcome_booked|rate|3</t>
        </is>
      </c>
      <c r="B2069" t="n">
        <v>0.0465855873059688</v>
      </c>
      <c r="C2069" t="n">
        <v>0.04311993893646963</v>
      </c>
      <c r="D2069" t="n">
        <v>0.03474561944677844</v>
      </c>
      <c r="E2069" t="n">
        <v>0.05913224439241509</v>
      </c>
      <c r="F2069" t="n">
        <v>0.04588747108465464</v>
      </c>
      <c r="G2069" t="n">
        <v>0.1124322659900719</v>
      </c>
      <c r="H2069" t="n">
        <v>0.05686223568965071</v>
      </c>
    </row>
    <row r="2070">
      <c r="A2070" t="inlineStr">
        <is>
          <t>G|FICO x CHANNEL / SYS_FLAG|outcome_booked|book|3</t>
        </is>
      </c>
      <c r="B2070" t="n">
        <v>0.6225616956940587</v>
      </c>
      <c r="C2070" t="n">
        <v>0.5762473729524774</v>
      </c>
      <c r="D2070" t="n">
        <v>0.4643344221176176</v>
      </c>
      <c r="E2070" t="n">
        <v>0.7902330413342388</v>
      </c>
      <c r="F2070" t="n">
        <v>0.6132321917923834</v>
      </c>
      <c r="G2070" t="n">
        <v>1.502525270439949</v>
      </c>
      <c r="H2070" t="n">
        <v>0.7598970393868684</v>
      </c>
    </row>
    <row r="2071">
      <c r="A2071" t="inlineStr">
        <is>
          <t>G|FICO x CHANNEL / SYS_FLAG|outcome_booked|band|3</t>
        </is>
      </c>
      <c r="B2071" t="n">
        <v>0.787740873303767</v>
      </c>
      <c r="C2071" t="n">
        <v>0.7275907255115405</v>
      </c>
      <c r="D2071" t="n">
        <v>0.5656642388003054</v>
      </c>
      <c r="E2071" t="n">
        <v>1.047459721754345</v>
      </c>
      <c r="F2071" t="n">
        <v>0.7744643672214482</v>
      </c>
      <c r="G2071" t="n">
        <v>2.460958183760527</v>
      </c>
    </row>
    <row r="2072">
      <c r="A2072" t="inlineStr">
        <is>
          <t>G|FICO x CHANNEL / SYS_FLAG|outcome_booked|rate|4</t>
        </is>
      </c>
      <c r="B2072" t="n">
        <v>0.02849745236496489</v>
      </c>
      <c r="C2072" t="n">
        <v>0.05784973680639313</v>
      </c>
      <c r="D2072" t="n">
        <v>0.03368630898356112</v>
      </c>
      <c r="E2072" t="n">
        <v>0.03775659872129783</v>
      </c>
      <c r="F2072" t="n">
        <v>0.05542665693547472</v>
      </c>
      <c r="G2072" t="n">
        <v>0.1104764265748834</v>
      </c>
      <c r="H2072" t="n">
        <v>0.0545174919372222</v>
      </c>
    </row>
    <row r="2073">
      <c r="A2073" t="inlineStr">
        <is>
          <t>G|FICO x CHANNEL / SYS_FLAG|outcome_booked|book|4</t>
        </is>
      </c>
      <c r="B2073" t="n">
        <v>0.3808350026966404</v>
      </c>
      <c r="C2073" t="n">
        <v>0.7730938327577693</v>
      </c>
      <c r="F2073" t="n">
        <v>0.7407122143114172</v>
      </c>
      <c r="G2073" t="n">
        <v>1.476387772272805</v>
      </c>
      <c r="H2073" t="n">
        <v>0.7285622912191038</v>
      </c>
    </row>
    <row r="2074">
      <c r="A2074" t="inlineStr">
        <is>
          <t>G|FICO x CHANNEL / SYS_FLAG|outcome_booked|band|4</t>
        </is>
      </c>
      <c r="B2074" t="n">
        <v>0.4722041105377082</v>
      </c>
      <c r="C2074" t="n">
        <v>1.071783999275634</v>
      </c>
      <c r="F2074" t="n">
        <v>1.020342653067085</v>
      </c>
      <c r="G2074" t="n">
        <v>2.626839704292058</v>
      </c>
    </row>
    <row r="2075">
      <c r="A2075" t="inlineStr">
        <is>
          <t>G|FICO x CHANNEL / SYS_FLAG|outcome_booked|rate|5</t>
        </is>
      </c>
      <c r="B2075" t="n">
        <v>0.03251089888143482</v>
      </c>
      <c r="C2075" t="n">
        <v>0.05115145563384937</v>
      </c>
      <c r="D2075" t="n">
        <v>0.02158220810953489</v>
      </c>
      <c r="E2075" t="n">
        <v>0.04844346992587698</v>
      </c>
      <c r="F2075" t="n">
        <v>0.02591971942483821</v>
      </c>
      <c r="G2075" t="n">
        <v>0.04880991963256601</v>
      </c>
      <c r="H2075" t="n">
        <v>0.03682990751373654</v>
      </c>
    </row>
    <row r="2076">
      <c r="A2076" t="inlineStr">
        <is>
          <t>G|FICO x CHANNEL / SYS_FLAG|outcome_booked|book|5</t>
        </is>
      </c>
      <c r="C2076" t="n">
        <v>0.6835791668241677</v>
      </c>
      <c r="E2076" t="n">
        <v>0.6473901162665812</v>
      </c>
      <c r="G2076" t="n">
        <v>0.6522872864854415</v>
      </c>
      <c r="H2076" t="n">
        <v>0.4921884857523176</v>
      </c>
    </row>
    <row r="2077">
      <c r="A2077" t="inlineStr">
        <is>
          <t>G|FICO x CHANNEL / SYS_FLAG|outcome_booked|band|5</t>
        </is>
      </c>
      <c r="C2077" t="n">
        <v>1.488936159923377</v>
      </c>
      <c r="E2077" t="n">
        <v>1.39482000030846</v>
      </c>
      <c r="G2077" t="n">
        <v>1.404319146137164</v>
      </c>
    </row>
    <row r="2078">
      <c r="A2078" t="inlineStr">
        <is>
          <t>G|FICO x CHANNEL / SYS_FLAG|outcome_booked|rate|6</t>
        </is>
      </c>
      <c r="E2078" t="n">
        <v>0</v>
      </c>
      <c r="H2078" t="n">
        <v>0</v>
      </c>
    </row>
    <row r="2079">
      <c r="A2079" t="inlineStr">
        <is>
          <t>G|FICO x CHANNEL / SYS_FLAG|outcome_booked|book|6</t>
        </is>
      </c>
    </row>
    <row r="2080">
      <c r="A2080" t="inlineStr">
        <is>
          <t>G|FICO x CHANNEL / SYS_FLAG|outcome_booked|band|6</t>
        </is>
      </c>
    </row>
    <row r="2081">
      <c r="A2081" t="inlineStr">
        <is>
          <t>G|FICO x CHANNEL / SYS_FLAG|outcome_booked|rate|7</t>
        </is>
      </c>
      <c r="B2081" t="n">
        <v>0</v>
      </c>
      <c r="C2081" t="n">
        <v>0.03792886709862105</v>
      </c>
      <c r="D2081" t="n">
        <v>0.05448545483256266</v>
      </c>
      <c r="E2081" t="n">
        <v>0.1541676576370998</v>
      </c>
      <c r="F2081" t="n">
        <v>0</v>
      </c>
      <c r="G2081" t="n">
        <v>0.06226875881814359</v>
      </c>
      <c r="H2081" t="n">
        <v>0.04815037624246446</v>
      </c>
    </row>
    <row r="2082">
      <c r="A2082" t="inlineStr">
        <is>
          <t>G|FICO x CHANNEL / SYS_FLAG|outcome_booked|book|7</t>
        </is>
      </c>
      <c r="H2082" t="n">
        <v>0.6434732631990415</v>
      </c>
    </row>
    <row r="2083">
      <c r="A2083" t="inlineStr">
        <is>
          <t>G|FICO x CHANNEL / SYS_FLAG|outcome_booked|band|7</t>
        </is>
      </c>
    </row>
    <row r="2084">
      <c r="A2084" t="inlineStr">
        <is>
          <t>G|FICO x CHANNEL / SYS_FLAG|outcome_booked|rate|8</t>
        </is>
      </c>
      <c r="B2084" t="n">
        <v>0.04681040497767674</v>
      </c>
      <c r="C2084" t="n">
        <v>0.0799427328054727</v>
      </c>
      <c r="D2084" t="n">
        <v>0.0672028877166804</v>
      </c>
      <c r="E2084" t="n">
        <v>0.1128943071960848</v>
      </c>
      <c r="F2084" t="n">
        <v>0.04388565607070746</v>
      </c>
      <c r="G2084" t="n">
        <v>0.1084527276536025</v>
      </c>
      <c r="H2084" t="n">
        <v>0.07482886857347225</v>
      </c>
    </row>
    <row r="2085">
      <c r="A2085" t="inlineStr">
        <is>
          <t>G|FICO x CHANNEL / SYS_FLAG|outcome_booked|book|8</t>
        </is>
      </c>
      <c r="B2085" t="n">
        <v>0.6255661200024016</v>
      </c>
      <c r="C2085" t="n">
        <v>1.068340793192392</v>
      </c>
      <c r="D2085" t="n">
        <v>0.8980877166503699</v>
      </c>
      <c r="E2085" t="n">
        <v>1.508699908849178</v>
      </c>
      <c r="F2085" t="n">
        <v>0.5864802837105225</v>
      </c>
      <c r="G2085" t="n">
        <v>1.44934341145511</v>
      </c>
      <c r="H2085" t="n">
        <v>0.9999999999999987</v>
      </c>
    </row>
    <row r="2086">
      <c r="A2086" t="inlineStr">
        <is>
          <t>G|FICO x CHANNEL / SYS_FLAG|outcome_booked|band|8</t>
        </is>
      </c>
    </row>
    <row r="2087">
      <c r="A2087" t="inlineStr">
        <is>
          <t>G|FICO x CHANNEL / SYS_FLAG|outcome_booked|meta</t>
        </is>
      </c>
      <c r="B2087" t="inlineStr">
        <is>
          <t>x</t>
        </is>
      </c>
      <c r="C2087" t="n">
        <v>4.031644939402481</v>
      </c>
      <c r="D2087" t="n">
        <v>10</v>
      </c>
      <c r="E2087" t="n">
        <v>0.07482886857347235</v>
      </c>
      <c r="F2087" t="n">
        <v>65</v>
      </c>
    </row>
    <row r="2088">
      <c r="A2088" t="inlineStr">
        <is>
          <t>G|FICO x CHANNEL / SYS_FLAG|gco_rate|rate|1</t>
        </is>
      </c>
      <c r="B2088" t="n">
        <v>0.04319626527506609</v>
      </c>
      <c r="C2088" t="n">
        <v>0.06567919269946912</v>
      </c>
      <c r="D2088" t="n">
        <v>0.1169959507496203</v>
      </c>
      <c r="E2088" t="n">
        <v>0.1663088842121316</v>
      </c>
      <c r="F2088" t="n">
        <v>0.03659446658543245</v>
      </c>
      <c r="G2088" t="n">
        <v>0.0776503894870335</v>
      </c>
      <c r="H2088" t="n">
        <v>0.08345255929305036</v>
      </c>
    </row>
    <row r="2089">
      <c r="A2089" t="inlineStr">
        <is>
          <t>G|FICO x CHANNEL / SYS_FLAG|gco_rate|book|1</t>
        </is>
      </c>
      <c r="B2089" t="n">
        <v>1.038240350806168</v>
      </c>
      <c r="C2089" t="n">
        <v>1.578626939961961</v>
      </c>
      <c r="D2089" t="n">
        <v>2.812046740052369</v>
      </c>
      <c r="E2089" t="n">
        <v>3.997303775848748</v>
      </c>
      <c r="F2089" t="n">
        <v>0.8795633507500225</v>
      </c>
      <c r="G2089" t="n">
        <v>1.866359675029333</v>
      </c>
      <c r="H2089" t="n">
        <v>2.005817259532897</v>
      </c>
    </row>
    <row r="2090">
      <c r="A2090" t="inlineStr">
        <is>
          <t>G|FICO x CHANNEL / SYS_FLAG|gco_rate|band|1</t>
        </is>
      </c>
      <c r="B2090" t="n">
        <v>0.4711320851040447</v>
      </c>
      <c r="C2090" t="n">
        <v>0.7580459550492539</v>
      </c>
      <c r="D2090" t="n">
        <v>1.525447051381801</v>
      </c>
      <c r="E2090" t="n">
        <v>2.493214468325908</v>
      </c>
      <c r="F2090" t="n">
        <v>0.3858337599725619</v>
      </c>
      <c r="G2090" t="n">
        <v>0.9194875419412953</v>
      </c>
    </row>
    <row r="2091">
      <c r="A2091" t="inlineStr">
        <is>
          <t>G|FICO x CHANNEL / SYS_FLAG|gco_rate|rate|2</t>
        </is>
      </c>
      <c r="B2091" t="n">
        <v>0.02970099079695886</v>
      </c>
      <c r="C2091" t="n">
        <v>0.07028743920074985</v>
      </c>
      <c r="D2091" t="n">
        <v>0.03737148876027075</v>
      </c>
      <c r="E2091" t="n">
        <v>0.04817500333397545</v>
      </c>
      <c r="F2091" t="n">
        <v>0.01961302687332925</v>
      </c>
      <c r="G2091" t="n">
        <v>0.07252593076389867</v>
      </c>
      <c r="H2091" t="n">
        <v>0.04521453740915433</v>
      </c>
    </row>
    <row r="2092">
      <c r="A2092" t="inlineStr">
        <is>
          <t>G|FICO x CHANNEL / SYS_FLAG|gco_rate|book|2</t>
        </is>
      </c>
      <c r="B2092" t="n">
        <v>0.7138757693046449</v>
      </c>
      <c r="C2092" t="n">
        <v>1.689388077148808</v>
      </c>
      <c r="D2092" t="n">
        <v>0.8982394045766933</v>
      </c>
      <c r="E2092" t="n">
        <v>1.157906407951108</v>
      </c>
      <c r="F2092" t="n">
        <v>0.4714073258803275</v>
      </c>
      <c r="G2092" t="n">
        <v>1.743191160609863</v>
      </c>
      <c r="H2092" t="n">
        <v>1.086750367937849</v>
      </c>
    </row>
    <row r="2093">
      <c r="A2093" t="inlineStr">
        <is>
          <t>G|FICO x CHANNEL / SYS_FLAG|gco_rate|band|2</t>
        </is>
      </c>
      <c r="B2093" t="n">
        <v>0.6156350801612361</v>
      </c>
      <c r="C2093" t="n">
        <v>1.744886496175044</v>
      </c>
      <c r="D2093" t="n">
        <v>0.793773674737977</v>
      </c>
      <c r="E2093" t="n">
        <v>1.078809654624096</v>
      </c>
      <c r="F2093" t="n">
        <v>0.3869243662966473</v>
      </c>
      <c r="G2093" t="n">
        <v>1.787162976169975</v>
      </c>
    </row>
    <row r="2094">
      <c r="A2094" t="inlineStr">
        <is>
          <t>G|FICO x CHANNEL / SYS_FLAG|gco_rate|rate|3</t>
        </is>
      </c>
      <c r="B2094" t="n">
        <v>0.02691725048729523</v>
      </c>
      <c r="C2094" t="n">
        <v>0.02081961874904788</v>
      </c>
      <c r="D2094" t="n">
        <v>0.02262848139283763</v>
      </c>
      <c r="E2094" t="n">
        <v>0.03063262831577925</v>
      </c>
      <c r="F2094" t="n">
        <v>0.0236069982955354</v>
      </c>
      <c r="G2094" t="n">
        <v>0.06431861285587674</v>
      </c>
      <c r="H2094" t="n">
        <v>0.03151500509362794</v>
      </c>
    </row>
    <row r="2095">
      <c r="A2095" t="inlineStr">
        <is>
          <t>G|FICO x CHANNEL / SYS_FLAG|gco_rate|book|3</t>
        </is>
      </c>
      <c r="B2095" t="n">
        <v>0.6469674035638983</v>
      </c>
      <c r="C2095" t="n">
        <v>0.5004082676133409</v>
      </c>
      <c r="D2095" t="n">
        <v>0.5438850398270835</v>
      </c>
      <c r="E2095" t="n">
        <v>0.7362680677638962</v>
      </c>
      <c r="F2095" t="n">
        <v>0.5674041039373116</v>
      </c>
      <c r="G2095" t="n">
        <v>1.54592483284423</v>
      </c>
      <c r="H2095" t="n">
        <v>0.7574763636557552</v>
      </c>
    </row>
    <row r="2096">
      <c r="A2096" t="inlineStr">
        <is>
          <t>G|FICO x CHANNEL / SYS_FLAG|gco_rate|band|3</t>
        </is>
      </c>
      <c r="B2096" t="n">
        <v>0.827376030923355</v>
      </c>
      <c r="C2096" t="n">
        <v>0.6236358076004213</v>
      </c>
      <c r="D2096" t="n">
        <v>0.6785534350921791</v>
      </c>
      <c r="E2096" t="n">
        <v>0.9671197758717929</v>
      </c>
      <c r="F2096" t="n">
        <v>0.7102847333355953</v>
      </c>
      <c r="G2096" t="n">
        <v>2.581234517227557</v>
      </c>
    </row>
    <row r="2097">
      <c r="A2097" t="inlineStr">
        <is>
          <t>G|FICO x CHANNEL / SYS_FLAG|gco_rate|rate|4</t>
        </is>
      </c>
      <c r="B2097" t="n">
        <v>0.01506038913704331</v>
      </c>
      <c r="C2097" t="n">
        <v>0.03333266914159281</v>
      </c>
      <c r="D2097" t="n">
        <v>0.02198945898126834</v>
      </c>
      <c r="E2097" t="n">
        <v>0.01915208876567817</v>
      </c>
      <c r="F2097" t="n">
        <v>0.02908921838201917</v>
      </c>
      <c r="G2097" t="n">
        <v>0.06084205337936844</v>
      </c>
      <c r="H2097" t="n">
        <v>0.0302639717312273</v>
      </c>
    </row>
    <row r="2098">
      <c r="A2098" t="inlineStr">
        <is>
          <t>G|FICO x CHANNEL / SYS_FLAG|gco_rate|book|4</t>
        </is>
      </c>
      <c r="B2098" t="n">
        <v>0.3619827686803953</v>
      </c>
      <c r="C2098" t="n">
        <v>0.8011646813098309</v>
      </c>
      <c r="F2098" t="n">
        <v>0.6991715627567897</v>
      </c>
      <c r="G2098" t="n">
        <v>1.462364267885574</v>
      </c>
      <c r="H2098" t="n">
        <v>0.7274072521532199</v>
      </c>
    </row>
    <row r="2099">
      <c r="A2099" t="inlineStr">
        <is>
          <t>G|FICO x CHANNEL / SYS_FLAG|gco_rate|band|4</t>
        </is>
      </c>
      <c r="B2099" t="n">
        <v>0.4474615712255813</v>
      </c>
      <c r="C2099" t="n">
        <v>1.119894997654172</v>
      </c>
      <c r="F2099" t="n">
        <v>0.9532037942991682</v>
      </c>
      <c r="G2099" t="n">
        <v>2.594710023167195</v>
      </c>
    </row>
    <row r="2100">
      <c r="A2100" t="inlineStr">
        <is>
          <t>G|FICO x CHANNEL / SYS_FLAG|gco_rate|rate|5</t>
        </is>
      </c>
      <c r="B2100" t="n">
        <v>0.02067336794603068</v>
      </c>
      <c r="C2100" t="n">
        <v>0.02491889981363501</v>
      </c>
      <c r="D2100" t="n">
        <v>0.01081308268443443</v>
      </c>
      <c r="E2100" t="n">
        <v>0.02678732871900859</v>
      </c>
      <c r="F2100" t="n">
        <v>0.01271956349460758</v>
      </c>
      <c r="G2100" t="n">
        <v>0.02407431807254459</v>
      </c>
      <c r="H2100" t="n">
        <v>0.01940834703954903</v>
      </c>
    </row>
    <row r="2101">
      <c r="A2101" t="inlineStr">
        <is>
          <t>G|FICO x CHANNEL / SYS_FLAG|gco_rate|book|5</t>
        </is>
      </c>
      <c r="C2101" t="n">
        <v>0.5989362070879304</v>
      </c>
      <c r="E2101" t="n">
        <v>0.6438446793787327</v>
      </c>
      <c r="G2101" t="n">
        <v>0.5786363307544002</v>
      </c>
      <c r="H2101" t="n">
        <v>0.4664877602402493</v>
      </c>
    </row>
    <row r="2102">
      <c r="A2102" t="inlineStr">
        <is>
          <t>G|FICO x CHANNEL / SYS_FLAG|gco_rate|band|5</t>
        </is>
      </c>
      <c r="C2102" t="n">
        <v>1.350191697759529</v>
      </c>
      <c r="E2102" t="n">
        <v>1.482031176631609</v>
      </c>
      <c r="G2102" t="n">
        <v>1.29424918616927</v>
      </c>
    </row>
    <row r="2103">
      <c r="A2103" t="inlineStr">
        <is>
          <t>G|FICO x CHANNEL / SYS_FLAG|gco_rate|rate|6</t>
        </is>
      </c>
      <c r="E2103" t="n">
        <v>0</v>
      </c>
      <c r="H2103" t="n">
        <v>0</v>
      </c>
    </row>
    <row r="2104">
      <c r="A2104" t="inlineStr">
        <is>
          <t>G|FICO x CHANNEL / SYS_FLAG|gco_rate|book|6</t>
        </is>
      </c>
    </row>
    <row r="2105">
      <c r="A2105" t="inlineStr">
        <is>
          <t>G|FICO x CHANNEL / SYS_FLAG|gco_rate|band|6</t>
        </is>
      </c>
    </row>
    <row r="2106">
      <c r="A2106" t="inlineStr">
        <is>
          <t>G|FICO x CHANNEL / SYS_FLAG|gco_rate|rate|7</t>
        </is>
      </c>
      <c r="B2106" t="n">
        <v>0</v>
      </c>
      <c r="C2106" t="n">
        <v>0.01843284302108283</v>
      </c>
      <c r="D2106" t="n">
        <v>0.02790195897030846</v>
      </c>
      <c r="E2106" t="n">
        <v>0.07742929923514315</v>
      </c>
      <c r="F2106" t="n">
        <v>0</v>
      </c>
      <c r="G2106" t="n">
        <v>0.03937026992191468</v>
      </c>
      <c r="H2106" t="n">
        <v>0.02551311188947888</v>
      </c>
    </row>
    <row r="2107">
      <c r="A2107" t="inlineStr">
        <is>
          <t>G|FICO x CHANNEL / SYS_FLAG|gco_rate|book|7</t>
        </is>
      </c>
      <c r="H2107" t="n">
        <v>0.6132183435214593</v>
      </c>
    </row>
    <row r="2108">
      <c r="A2108" t="inlineStr">
        <is>
          <t>G|FICO x CHANNEL / SYS_FLAG|gco_rate|band|7</t>
        </is>
      </c>
    </row>
    <row r="2109">
      <c r="A2109" t="inlineStr">
        <is>
          <t>G|FICO x CHANNEL / SYS_FLAG|gco_rate|rate|8</t>
        </is>
      </c>
      <c r="B2109" t="n">
        <v>0.02622043264014382</v>
      </c>
      <c r="C2109" t="n">
        <v>0.0431550830066136</v>
      </c>
      <c r="D2109" t="n">
        <v>0.04061260621028653</v>
      </c>
      <c r="E2109" t="n">
        <v>0.06135421166542902</v>
      </c>
      <c r="F2109" t="n">
        <v>0.0239758495628505</v>
      </c>
      <c r="G2109" t="n">
        <v>0.0595108000659552</v>
      </c>
      <c r="H2109" t="n">
        <v>0.04160526533333562</v>
      </c>
    </row>
    <row r="2110">
      <c r="A2110" t="inlineStr">
        <is>
          <t>G|FICO x CHANNEL / SYS_FLAG|gco_rate|book|8</t>
        </is>
      </c>
      <c r="B2110" t="n">
        <v>0.6302190943879177</v>
      </c>
      <c r="C2110" t="n">
        <v>1.037250517713588</v>
      </c>
      <c r="D2110" t="n">
        <v>0.9761410216929018</v>
      </c>
      <c r="E2110" t="n">
        <v>1.474674207071329</v>
      </c>
      <c r="F2110" t="n">
        <v>0.5762695988298429</v>
      </c>
      <c r="G2110" t="n">
        <v>1.430367036219163</v>
      </c>
      <c r="H2110" t="n">
        <v>0.9999999999999993</v>
      </c>
    </row>
    <row r="2111">
      <c r="A2111" t="inlineStr">
        <is>
          <t>G|FICO x CHANNEL / SYS_FLAG|gco_rate|band|8</t>
        </is>
      </c>
    </row>
    <row r="2112">
      <c r="A2112" t="inlineStr">
        <is>
          <t>G|FICO x CHANNEL / SYS_FLAG|gco_rate|meta</t>
        </is>
      </c>
      <c r="B2112" t="inlineStr">
        <is>
          <t>x</t>
        </is>
      </c>
      <c r="C2112" t="n">
        <v>3.997303775848748</v>
      </c>
      <c r="D2112" t="n">
        <v>10</v>
      </c>
      <c r="E2112" t="n">
        <v>0.04160526533333565</v>
      </c>
      <c r="F2112" t="n">
        <v>65</v>
      </c>
    </row>
    <row r="2113">
      <c r="A2113" t="inlineStr">
        <is>
          <t>G|FICO x CHANNEL / SYS_FLAG|ranr_rate|rate|1</t>
        </is>
      </c>
      <c r="B2113" t="n">
        <v>0.2339664016596976</v>
      </c>
      <c r="C2113" t="n">
        <v>0.1982244774183919</v>
      </c>
      <c r="D2113" t="n">
        <v>0.1614995387459972</v>
      </c>
      <c r="E2113" t="n">
        <v>0.1144670123030767</v>
      </c>
      <c r="F2113" t="n">
        <v>0.2328439819088634</v>
      </c>
      <c r="G2113" t="n">
        <v>0.1937777780728021</v>
      </c>
      <c r="H2113" t="n">
        <v>0.1901717430158449</v>
      </c>
    </row>
    <row r="2114">
      <c r="A2114" t="inlineStr">
        <is>
          <t>G|FICO x CHANNEL / SYS_FLAG|ranr_rate|book|1</t>
        </is>
      </c>
      <c r="B2114" t="n">
        <v>10.597635201</v>
      </c>
      <c r="C2114" t="n">
        <v>7.023442777</v>
      </c>
      <c r="D2114" t="n">
        <v>3.35094891</v>
      </c>
      <c r="E2114" t="n">
        <v>-1.352303735</v>
      </c>
      <c r="F2114" t="n">
        <v>10.485393226</v>
      </c>
      <c r="G2114" t="n">
        <v>6.578772842</v>
      </c>
      <c r="H2114" t="n">
        <v>6.218169337</v>
      </c>
    </row>
    <row r="2115">
      <c r="A2115" t="inlineStr">
        <is>
          <t>G|FICO x CHANNEL / SYS_FLAG|ranr_rate|band|1</t>
        </is>
      </c>
      <c r="B2115" t="n">
        <v>5.275189829</v>
      </c>
      <c r="C2115" t="n">
        <v>0.949814586</v>
      </c>
      <c r="D2115" t="n">
        <v>-3.444742506</v>
      </c>
      <c r="E2115" t="n">
        <v>-9.100711630999999</v>
      </c>
      <c r="F2115" t="n">
        <v>5.304713808</v>
      </c>
      <c r="G2115" t="n">
        <v>0.422571677</v>
      </c>
    </row>
    <row r="2116">
      <c r="A2116" t="inlineStr">
        <is>
          <t>G|FICO x CHANNEL / SYS_FLAG|ranr_rate|rate|2</t>
        </is>
      </c>
      <c r="B2116" t="n">
        <v>0.169913038378118</v>
      </c>
      <c r="C2116" t="n">
        <v>0.1308714432177859</v>
      </c>
      <c r="D2116" t="n">
        <v>0.1664321553512761</v>
      </c>
      <c r="E2116" t="n">
        <v>0.1476246487993896</v>
      </c>
      <c r="F2116" t="n">
        <v>0.2075501460230495</v>
      </c>
      <c r="G2116" t="n">
        <v>0.150316214007657</v>
      </c>
      <c r="H2116" t="n">
        <v>0.1630754408239561</v>
      </c>
    </row>
    <row r="2117">
      <c r="A2117" t="inlineStr">
        <is>
          <t>G|FICO x CHANNEL / SYS_FLAG|ranr_rate|book|2</t>
        </is>
      </c>
      <c r="B2117" t="n">
        <v>4.192298873</v>
      </c>
      <c r="C2117" t="n">
        <v>0.288139357</v>
      </c>
      <c r="D2117" t="n">
        <v>3.84421057</v>
      </c>
      <c r="E2117" t="n">
        <v>1.963459915</v>
      </c>
      <c r="F2117" t="n">
        <v>7.956009637</v>
      </c>
      <c r="G2117" t="n">
        <v>2.232616436</v>
      </c>
      <c r="H2117" t="n">
        <v>3.508539118</v>
      </c>
    </row>
    <row r="2118">
      <c r="A2118" t="inlineStr">
        <is>
          <t>G|FICO x CHANNEL / SYS_FLAG|ranr_rate|band|2</t>
        </is>
      </c>
      <c r="B2118" t="n">
        <v>0.81730426</v>
      </c>
      <c r="C2118" t="n">
        <v>-3.853947786</v>
      </c>
      <c r="D2118" t="n">
        <v>0.415544281</v>
      </c>
      <c r="E2118" t="n">
        <v>-1.836737248</v>
      </c>
      <c r="F2118" t="n">
        <v>5.398586781</v>
      </c>
      <c r="G2118" t="n">
        <v>-1.492362446</v>
      </c>
    </row>
    <row r="2119">
      <c r="A2119" t="inlineStr">
        <is>
          <t>G|FICO x CHANNEL / SYS_FLAG|ranr_rate|rate|3</t>
        </is>
      </c>
      <c r="B2119" t="n">
        <v>0.1281026202552597</v>
      </c>
      <c r="C2119" t="n">
        <v>0.1318761608748316</v>
      </c>
      <c r="D2119" t="n">
        <v>0.1396611030012643</v>
      </c>
      <c r="E2119" t="n">
        <v>0.112557769963748</v>
      </c>
      <c r="F2119" t="n">
        <v>0.1948979666056128</v>
      </c>
      <c r="G2119" t="n">
        <v>0.1383388797068483</v>
      </c>
      <c r="H2119" t="n">
        <v>0.1419183148673722</v>
      </c>
    </row>
    <row r="2120">
      <c r="A2120" t="inlineStr">
        <is>
          <t>G|FICO x CHANNEL / SYS_FLAG|ranr_rate|book|3</t>
        </is>
      </c>
      <c r="B2120" t="n">
        <v>0.011257061</v>
      </c>
      <c r="C2120" t="n">
        <v>0.388611123</v>
      </c>
      <c r="D2120" t="n">
        <v>1.167105335</v>
      </c>
      <c r="E2120" t="n">
        <v>-1.543227968</v>
      </c>
      <c r="F2120" t="n">
        <v>6.690791696</v>
      </c>
      <c r="G2120" t="n">
        <v>1.034883006</v>
      </c>
      <c r="H2120" t="n">
        <v>1.392826522</v>
      </c>
    </row>
    <row r="2121">
      <c r="A2121" t="inlineStr">
        <is>
          <t>G|FICO x CHANNEL / SYS_FLAG|ranr_rate|band|3</t>
        </is>
      </c>
      <c r="B2121" t="n">
        <v>-1.687546682</v>
      </c>
      <c r="C2121" t="n">
        <v>-1.179724032</v>
      </c>
      <c r="D2121" t="n">
        <v>-0.272283025</v>
      </c>
      <c r="E2121" t="n">
        <v>-3.465363591</v>
      </c>
      <c r="F2121" t="n">
        <v>6.450921169</v>
      </c>
      <c r="G2121" t="n">
        <v>-0.429930624</v>
      </c>
    </row>
    <row r="2122">
      <c r="A2122" t="inlineStr">
        <is>
          <t>G|FICO x CHANNEL / SYS_FLAG|ranr_rate|rate|4</t>
        </is>
      </c>
      <c r="B2122" t="n">
        <v>0.0943049164055508</v>
      </c>
      <c r="C2122" t="n">
        <v>0.07449793831365925</v>
      </c>
      <c r="D2122" t="n">
        <v>0.08741398711430745</v>
      </c>
      <c r="E2122" t="n">
        <v>0.09604406388127933</v>
      </c>
      <c r="F2122" t="n">
        <v>0.1256660315638293</v>
      </c>
      <c r="G2122" t="n">
        <v>0.09363308498528264</v>
      </c>
      <c r="H2122" t="n">
        <v>0.09596924359374787</v>
      </c>
    </row>
    <row r="2123">
      <c r="A2123" t="inlineStr">
        <is>
          <t>G|FICO x CHANNEL / SYS_FLAG|ranr_rate|book|4</t>
        </is>
      </c>
      <c r="B2123" t="n">
        <v>-3.368513324</v>
      </c>
      <c r="C2123" t="n">
        <v>-5.349211133</v>
      </c>
      <c r="D2123" t="n">
        <v>-4.057606253</v>
      </c>
      <c r="E2123" t="n">
        <v>-3.194598577</v>
      </c>
      <c r="F2123" t="n">
        <v>-0.232401808</v>
      </c>
      <c r="G2123" t="n">
        <v>-3.435696466</v>
      </c>
      <c r="H2123" t="n">
        <v>-3.202080605</v>
      </c>
    </row>
    <row r="2124">
      <c r="A2124" t="inlineStr">
        <is>
          <t>G|FICO x CHANNEL / SYS_FLAG|ranr_rate|band|4</t>
        </is>
      </c>
      <c r="B2124" t="n">
        <v>-0.203738466</v>
      </c>
      <c r="C2124" t="n">
        <v>-2.496567471</v>
      </c>
      <c r="D2124" t="n">
        <v>-1.043164541</v>
      </c>
      <c r="E2124" t="n">
        <v>0.008676527999999999</v>
      </c>
      <c r="F2124" t="n">
        <v>3.609499669</v>
      </c>
      <c r="G2124" t="n">
        <v>-0.285636496</v>
      </c>
    </row>
    <row r="2125">
      <c r="A2125" t="inlineStr">
        <is>
          <t>G|FICO x CHANNEL / SYS_FLAG|ranr_rate|rate|5</t>
        </is>
      </c>
      <c r="B2125" t="n">
        <v>0.04741689160388554</v>
      </c>
      <c r="C2125" t="n">
        <v>0.04114199357781516</v>
      </c>
      <c r="D2125" t="n">
        <v>0.05699302560560132</v>
      </c>
      <c r="E2125" t="n">
        <v>0.03924328468823907</v>
      </c>
      <c r="F2125" t="n">
        <v>0.05243045064662431</v>
      </c>
      <c r="G2125" t="n">
        <v>0.03914023005630266</v>
      </c>
      <c r="H2125" t="n">
        <v>0.04674341748455087</v>
      </c>
    </row>
    <row r="2126">
      <c r="A2126" t="inlineStr">
        <is>
          <t>G|FICO x CHANNEL / SYS_FLAG|ranr_rate|book|5</t>
        </is>
      </c>
      <c r="B2126" t="n">
        <v>-8.057315804</v>
      </c>
      <c r="C2126" t="n">
        <v>-8.684805606999999</v>
      </c>
      <c r="D2126" t="n">
        <v>-7.099702404</v>
      </c>
      <c r="E2126" t="n">
        <v>-8.874676495999999</v>
      </c>
      <c r="F2126" t="n">
        <v>-7.5559599</v>
      </c>
      <c r="G2126" t="n">
        <v>-8.884981958999999</v>
      </c>
      <c r="H2126" t="n">
        <v>-8.124663216</v>
      </c>
    </row>
    <row r="2127">
      <c r="A2127" t="inlineStr">
        <is>
          <t>G|FICO x CHANNEL / SYS_FLAG|ranr_rate|band|5</t>
        </is>
      </c>
      <c r="B2127" t="n">
        <v>0.08195148300000001</v>
      </c>
      <c r="C2127" t="n">
        <v>-0.656965481</v>
      </c>
      <c r="D2127" t="n">
        <v>1.259290284</v>
      </c>
      <c r="E2127" t="n">
        <v>-0.885563517</v>
      </c>
      <c r="F2127" t="n">
        <v>0.700168625</v>
      </c>
      <c r="G2127" t="n">
        <v>-0.891877119</v>
      </c>
    </row>
    <row r="2128">
      <c r="A2128" t="inlineStr">
        <is>
          <t>G|FICO x CHANNEL / SYS_FLAG|ranr_rate|rate|6</t>
        </is>
      </c>
      <c r="E2128" t="n">
        <v>0.140296941334961</v>
      </c>
      <c r="H2128" t="n">
        <v>0.140296941334961</v>
      </c>
    </row>
    <row r="2129">
      <c r="A2129" t="inlineStr">
        <is>
          <t>G|FICO x CHANNEL / SYS_FLAG|ranr_rate|book|6</t>
        </is>
      </c>
      <c r="E2129" t="n">
        <v>1.230689169</v>
      </c>
      <c r="H2129" t="n">
        <v>1.230689169</v>
      </c>
    </row>
    <row r="2130">
      <c r="A2130" t="inlineStr">
        <is>
          <t>G|FICO x CHANNEL / SYS_FLAG|ranr_rate|band|6</t>
        </is>
      </c>
    </row>
    <row r="2131">
      <c r="A2131" t="inlineStr">
        <is>
          <t>G|FICO x CHANNEL / SYS_FLAG|ranr_rate|rate|7</t>
        </is>
      </c>
      <c r="B2131" t="n">
        <v>0.1550315661198207</v>
      </c>
      <c r="C2131" t="n">
        <v>0.1358681559141303</v>
      </c>
      <c r="D2131" t="n">
        <v>0.1539214881301053</v>
      </c>
      <c r="E2131" t="n">
        <v>0.09613836715770098</v>
      </c>
      <c r="F2131" t="n">
        <v>0.229985150313889</v>
      </c>
      <c r="G2131" t="n">
        <v>0.1442105413235336</v>
      </c>
      <c r="H2131" t="n">
        <v>0.1551731988462655</v>
      </c>
    </row>
    <row r="2132">
      <c r="A2132" t="inlineStr">
        <is>
          <t>G|FICO x CHANNEL / SYS_FLAG|ranr_rate|book|7</t>
        </is>
      </c>
      <c r="B2132" t="n">
        <v>2.704151647</v>
      </c>
      <c r="C2132" t="n">
        <v>0.787810627</v>
      </c>
      <c r="D2132" t="n">
        <v>2.593143848</v>
      </c>
      <c r="E2132" t="n">
        <v>-3.185168249</v>
      </c>
      <c r="F2132" t="n">
        <v>10.199510067</v>
      </c>
      <c r="G2132" t="n">
        <v>1.622049168</v>
      </c>
      <c r="H2132" t="n">
        <v>2.71831492</v>
      </c>
    </row>
    <row r="2133">
      <c r="A2133" t="inlineStr">
        <is>
          <t>G|FICO x CHANNEL / SYS_FLAG|ranr_rate|band|7</t>
        </is>
      </c>
      <c r="B2133" t="n">
        <v>-0.017563228</v>
      </c>
      <c r="C2133" t="n">
        <v>-2.248199049</v>
      </c>
      <c r="D2133" t="n">
        <v>-0.149253583</v>
      </c>
      <c r="E2133" t="n">
        <v>-6.979433606</v>
      </c>
      <c r="F2133" t="n">
        <v>9.182319145999999</v>
      </c>
      <c r="G2133" t="n">
        <v>-1.311842904</v>
      </c>
    </row>
    <row r="2134">
      <c r="A2134" t="inlineStr">
        <is>
          <t>G|FICO x CHANNEL / SYS_FLAG|ranr_rate|rate|8</t>
        </is>
      </c>
      <c r="B2134" t="n">
        <v>0.1332692091964859</v>
      </c>
      <c r="C2134" t="n">
        <v>0.1169453091003141</v>
      </c>
      <c r="D2134" t="n">
        <v>0.1222096812820414</v>
      </c>
      <c r="E2134" t="n">
        <v>0.1023825193760782</v>
      </c>
      <c r="F2134" t="n">
        <v>0.1640539804937369</v>
      </c>
      <c r="G2134" t="n">
        <v>0.1223457649562408</v>
      </c>
      <c r="H2134" t="n">
        <v>0.1279900496481476</v>
      </c>
    </row>
    <row r="2135">
      <c r="A2135" t="inlineStr">
        <is>
          <t>G|FICO x CHANNEL / SYS_FLAG|ranr_rate|book|8</t>
        </is>
      </c>
      <c r="B2135" t="n">
        <v>0.527915955</v>
      </c>
      <c r="C2135" t="n">
        <v>-1.104474055</v>
      </c>
      <c r="D2135" t="n">
        <v>-0.578036837</v>
      </c>
      <c r="E2135" t="n">
        <v>-2.560753027</v>
      </c>
      <c r="F2135" t="n">
        <v>3.606393085</v>
      </c>
      <c r="G2135" t="n">
        <v>-0.564428469</v>
      </c>
      <c r="H2135" t="n">
        <v>0</v>
      </c>
    </row>
    <row r="2136">
      <c r="A2136" t="inlineStr">
        <is>
          <t>G|FICO x CHANNEL / SYS_FLAG|ranr_rate|band|8</t>
        </is>
      </c>
    </row>
    <row r="2137">
      <c r="A2137" t="inlineStr">
        <is>
          <t>G|FICO x CHANNEL / SYS_FLAG|ranr_rate|meta</t>
        </is>
      </c>
      <c r="B2137" t="inlineStr">
        <is>
          <t>pts</t>
        </is>
      </c>
      <c r="C2137" t="n">
        <v>10.597635201</v>
      </c>
      <c r="D2137" t="n">
        <v>10</v>
      </c>
      <c r="E2137" t="n">
        <v>0.1279900496481481</v>
      </c>
      <c r="F2137" t="n">
        <v>65</v>
      </c>
    </row>
    <row r="2138">
      <c r="A2138" t="inlineStr">
        <is>
          <t>G|FICO x CHANNEL / SYS_FLAG|contribution_rate|rate|1</t>
        </is>
      </c>
      <c r="B2138" t="n">
        <v>0.2771626669347637</v>
      </c>
      <c r="C2138" t="n">
        <v>0.263903670117861</v>
      </c>
      <c r="D2138" t="n">
        <v>0.2784954894956177</v>
      </c>
      <c r="E2138" t="n">
        <v>0.2807758965152085</v>
      </c>
      <c r="F2138" t="n">
        <v>0.2694384484942957</v>
      </c>
      <c r="G2138" t="n">
        <v>0.2714281675598356</v>
      </c>
      <c r="H2138" t="n">
        <v>0.2736243023088953</v>
      </c>
    </row>
    <row r="2139">
      <c r="A2139" t="inlineStr">
        <is>
          <t>G|FICO x CHANNEL / SYS_FLAG|contribution_rate|book|1</t>
        </is>
      </c>
      <c r="B2139" t="n">
        <v>10.75702112</v>
      </c>
      <c r="C2139" t="n">
        <v>9.431121438</v>
      </c>
      <c r="D2139" t="n">
        <v>10.890303376</v>
      </c>
      <c r="E2139" t="n">
        <v>11.118344078</v>
      </c>
      <c r="F2139" t="n">
        <v>9.984599276000001</v>
      </c>
      <c r="G2139" t="n">
        <v>10.183571182</v>
      </c>
      <c r="H2139" t="n">
        <v>10.403184657</v>
      </c>
    </row>
    <row r="2140">
      <c r="A2140" t="inlineStr">
        <is>
          <t>G|FICO x CHANNEL / SYS_FLAG|contribution_rate|band|1</t>
        </is>
      </c>
      <c r="B2140" t="n">
        <v>0.426205973</v>
      </c>
      <c r="C2140" t="n">
        <v>-1.146542005</v>
      </c>
      <c r="D2140" t="n">
        <v>0.585235282</v>
      </c>
      <c r="E2140" t="n">
        <v>0.859716374</v>
      </c>
      <c r="F2140" t="n">
        <v>-0.5203560229999999</v>
      </c>
      <c r="G2140" t="n">
        <v>-0.257353112</v>
      </c>
    </row>
    <row r="2141">
      <c r="A2141" t="inlineStr">
        <is>
          <t>G|FICO x CHANNEL / SYS_FLAG|contribution_rate|rate|2</t>
        </is>
      </c>
      <c r="B2141" t="n">
        <v>0.1996140291750769</v>
      </c>
      <c r="C2141" t="n">
        <v>0.2011588824185357</v>
      </c>
      <c r="D2141" t="n">
        <v>0.2038036441115468</v>
      </c>
      <c r="E2141" t="n">
        <v>0.195799652133365</v>
      </c>
      <c r="F2141" t="n">
        <v>0.2271631728963787</v>
      </c>
      <c r="G2141" t="n">
        <v>0.2228421447715557</v>
      </c>
      <c r="H2141" t="n">
        <v>0.2082899782331104</v>
      </c>
    </row>
    <row r="2142">
      <c r="A2142" t="inlineStr">
        <is>
          <t>G|FICO x CHANNEL / SYS_FLAG|contribution_rate|book|2</t>
        </is>
      </c>
      <c r="B2142" t="n">
        <v>3.002157344</v>
      </c>
      <c r="C2142" t="n">
        <v>3.156642668</v>
      </c>
      <c r="D2142" t="n">
        <v>3.421118838</v>
      </c>
      <c r="E2142" t="n">
        <v>2.62071964</v>
      </c>
      <c r="F2142" t="n">
        <v>5.757071716</v>
      </c>
      <c r="G2142" t="n">
        <v>5.324968904</v>
      </c>
      <c r="H2142" t="n">
        <v>3.86975225</v>
      </c>
    </row>
    <row r="2143">
      <c r="A2143" t="inlineStr">
        <is>
          <t>G|FICO x CHANNEL / SYS_FLAG|contribution_rate|band|2</t>
        </is>
      </c>
      <c r="B2143" t="n">
        <v>-1.037044089</v>
      </c>
      <c r="C2143" t="n">
        <v>-0.853399359</v>
      </c>
      <c r="D2143" t="n">
        <v>-0.555385474</v>
      </c>
      <c r="E2143" t="n">
        <v>-1.484807196</v>
      </c>
      <c r="F2143" t="n">
        <v>2.290933212</v>
      </c>
      <c r="G2143" t="n">
        <v>1.702070757</v>
      </c>
    </row>
    <row r="2144">
      <c r="A2144" t="inlineStr">
        <is>
          <t>G|FICO x CHANNEL / SYS_FLAG|contribution_rate|rate|3</t>
        </is>
      </c>
      <c r="B2144" t="n">
        <v>0.155019870742555</v>
      </c>
      <c r="C2144" t="n">
        <v>0.1526957796238796</v>
      </c>
      <c r="D2144" t="n">
        <v>0.1622895843941019</v>
      </c>
      <c r="E2144" t="n">
        <v>0.1431903982795272</v>
      </c>
      <c r="F2144" t="n">
        <v>0.2185049649011482</v>
      </c>
      <c r="G2144" t="n">
        <v>0.2026574925627251</v>
      </c>
      <c r="H2144" t="n">
        <v>0.1734333199610002</v>
      </c>
    </row>
    <row r="2145">
      <c r="A2145" t="inlineStr">
        <is>
          <t>G|FICO x CHANNEL / SYS_FLAG|contribution_rate|book|3</t>
        </is>
      </c>
      <c r="B2145" t="n">
        <v>-1.457258499</v>
      </c>
      <c r="C2145" t="n">
        <v>-1.689667611</v>
      </c>
      <c r="D2145" t="n">
        <v>-0.730287134</v>
      </c>
      <c r="E2145" t="n">
        <v>-2.640205746</v>
      </c>
      <c r="F2145" t="n">
        <v>4.891250917</v>
      </c>
      <c r="G2145" t="n">
        <v>3.306503683</v>
      </c>
      <c r="H2145" t="n">
        <v>0.384086423</v>
      </c>
    </row>
    <row r="2146">
      <c r="A2146" t="inlineStr">
        <is>
          <t>G|FICO x CHANNEL / SYS_FLAG|contribution_rate|band|3</t>
        </is>
      </c>
      <c r="B2146" t="n">
        <v>-2.249148957</v>
      </c>
      <c r="C2146" t="n">
        <v>-2.436187965</v>
      </c>
      <c r="D2146" t="n">
        <v>-1.344246887</v>
      </c>
      <c r="E2146" t="n">
        <v>-3.569508673</v>
      </c>
      <c r="F2146" t="n">
        <v>5.488024532</v>
      </c>
      <c r="G2146" t="n">
        <v>3.510153474</v>
      </c>
    </row>
    <row r="2147">
      <c r="A2147" t="inlineStr">
        <is>
          <t>G|FICO x CHANNEL / SYS_FLAG|contribution_rate|rate|4</t>
        </is>
      </c>
      <c r="B2147" t="n">
        <v>0.1091426988572596</v>
      </c>
      <c r="C2147" t="n">
        <v>0.107830607455252</v>
      </c>
      <c r="D2147" t="n">
        <v>0.1094034460955758</v>
      </c>
      <c r="E2147" t="n">
        <v>0.1151961526469575</v>
      </c>
      <c r="F2147" t="n">
        <v>0.1547552499458483</v>
      </c>
      <c r="G2147" t="n">
        <v>0.154475138364651</v>
      </c>
      <c r="H2147" t="n">
        <v>0.1261938892004919</v>
      </c>
    </row>
    <row r="2148">
      <c r="A2148" t="inlineStr">
        <is>
          <t>G|FICO x CHANNEL / SYS_FLAG|contribution_rate|book|4</t>
        </is>
      </c>
      <c r="B2148" t="n">
        <v>-6.044975688</v>
      </c>
      <c r="C2148" t="n">
        <v>-6.176184828</v>
      </c>
      <c r="D2148" t="n">
        <v>-6.018900964</v>
      </c>
      <c r="E2148" t="n">
        <v>-5.439630309</v>
      </c>
      <c r="F2148" t="n">
        <v>-1.483720579</v>
      </c>
      <c r="G2148" t="n">
        <v>-1.511731737</v>
      </c>
      <c r="H2148" t="n">
        <v>-4.339856653</v>
      </c>
    </row>
    <row r="2149">
      <c r="A2149" t="inlineStr">
        <is>
          <t>G|FICO x CHANNEL / SYS_FLAG|contribution_rate|band|4</t>
        </is>
      </c>
      <c r="B2149" t="n">
        <v>-2.085699338</v>
      </c>
      <c r="C2149" t="n">
        <v>-2.135453314</v>
      </c>
      <c r="D2149" t="n">
        <v>-2.047651097</v>
      </c>
      <c r="E2149" t="n">
        <v>-1.275509833</v>
      </c>
      <c r="F2149" t="n">
        <v>3.472075287</v>
      </c>
      <c r="G2149" t="n">
        <v>3.458478732</v>
      </c>
    </row>
    <row r="2150">
      <c r="A2150" t="inlineStr">
        <is>
          <t>G|FICO x CHANNEL / SYS_FLAG|contribution_rate|rate|5</t>
        </is>
      </c>
      <c r="B2150" t="n">
        <v>0.06809025954991622</v>
      </c>
      <c r="C2150" t="n">
        <v>0.06606089339145017</v>
      </c>
      <c r="D2150" t="n">
        <v>0.06780610829003578</v>
      </c>
      <c r="E2150" t="n">
        <v>0.06603061340724767</v>
      </c>
      <c r="F2150" t="n">
        <v>0.06515001414123189</v>
      </c>
      <c r="G2150" t="n">
        <v>0.06321454812884725</v>
      </c>
      <c r="H2150" t="n">
        <v>0.0661517645240999</v>
      </c>
    </row>
    <row r="2151">
      <c r="A2151" t="inlineStr">
        <is>
          <t>G|FICO x CHANNEL / SYS_FLAG|contribution_rate|book|5</t>
        </is>
      </c>
      <c r="B2151" t="n">
        <v>-10.150219619</v>
      </c>
      <c r="C2151" t="n">
        <v>-10.353156234</v>
      </c>
      <c r="D2151" t="n">
        <v>-10.178634744</v>
      </c>
      <c r="E2151" t="n">
        <v>-10.356184233</v>
      </c>
      <c r="F2151" t="n">
        <v>-10.444244159</v>
      </c>
      <c r="G2151" t="n">
        <v>-10.637790761</v>
      </c>
      <c r="H2151" t="n">
        <v>-10.344069121</v>
      </c>
    </row>
    <row r="2152">
      <c r="A2152" t="inlineStr">
        <is>
          <t>G|FICO x CHANNEL / SYS_FLAG|contribution_rate|band|5</t>
        </is>
      </c>
      <c r="B2152" t="n">
        <v>0.235885146</v>
      </c>
      <c r="C2152" t="n">
        <v>-0.010657861</v>
      </c>
      <c r="D2152" t="n">
        <v>0.203256457</v>
      </c>
      <c r="E2152" t="n">
        <v>-0.014304681</v>
      </c>
      <c r="F2152" t="n">
        <v>-0.123332178</v>
      </c>
      <c r="G2152" t="n">
        <v>-0.344544459</v>
      </c>
    </row>
    <row r="2153">
      <c r="A2153" t="inlineStr">
        <is>
          <t>G|FICO x CHANNEL / SYS_FLAG|contribution_rate|rate|6</t>
        </is>
      </c>
      <c r="E2153" t="n">
        <v>0.140296941334961</v>
      </c>
      <c r="H2153" t="n">
        <v>0.140296941334961</v>
      </c>
    </row>
    <row r="2154">
      <c r="A2154" t="inlineStr">
        <is>
          <t>G|FICO x CHANNEL / SYS_FLAG|contribution_rate|book|6</t>
        </is>
      </c>
      <c r="E2154" t="n">
        <v>-2.92955144</v>
      </c>
      <c r="H2154" t="n">
        <v>-2.92955144</v>
      </c>
    </row>
    <row r="2155">
      <c r="A2155" t="inlineStr">
        <is>
          <t>G|FICO x CHANNEL / SYS_FLAG|contribution_rate|band|6</t>
        </is>
      </c>
    </row>
    <row r="2156">
      <c r="A2156" t="inlineStr">
        <is>
          <t>G|FICO x CHANNEL / SYS_FLAG|contribution_rate|rate|7</t>
        </is>
      </c>
      <c r="B2156" t="n">
        <v>0.1550315661198207</v>
      </c>
      <c r="C2156" t="n">
        <v>0.1543009989352131</v>
      </c>
      <c r="D2156" t="n">
        <v>0.1818234471004137</v>
      </c>
      <c r="E2156" t="n">
        <v>0.1735676663928442</v>
      </c>
      <c r="F2156" t="n">
        <v>0.229985150313889</v>
      </c>
      <c r="G2156" t="n">
        <v>0.1835808112454482</v>
      </c>
      <c r="H2156" t="n">
        <v>0.1806863107357443</v>
      </c>
    </row>
    <row r="2157">
      <c r="A2157" t="inlineStr">
        <is>
          <t>G|FICO x CHANNEL / SYS_FLAG|contribution_rate|book|7</t>
        </is>
      </c>
      <c r="B2157" t="n">
        <v>-1.456088962</v>
      </c>
      <c r="C2157" t="n">
        <v>-1.52914568</v>
      </c>
      <c r="D2157" t="n">
        <v>1.223099137</v>
      </c>
      <c r="E2157" t="n">
        <v>0.397521066</v>
      </c>
      <c r="F2157" t="n">
        <v>6.039269458</v>
      </c>
      <c r="G2157" t="n">
        <v>1.398835551</v>
      </c>
      <c r="H2157" t="n">
        <v>1.1093855</v>
      </c>
    </row>
    <row r="2158">
      <c r="A2158" t="inlineStr">
        <is>
          <t>G|FICO x CHANNEL / SYS_FLAG|contribution_rate|band|7</t>
        </is>
      </c>
      <c r="B2158" t="n">
        <v>-3.181327811</v>
      </c>
      <c r="C2158" t="n">
        <v>-3.072742863</v>
      </c>
      <c r="D2158" t="n">
        <v>0.135591775</v>
      </c>
      <c r="E2158" t="n">
        <v>-0.841606627</v>
      </c>
      <c r="F2158" t="n">
        <v>6.05087382</v>
      </c>
      <c r="G2158" t="n">
        <v>0.346369477</v>
      </c>
    </row>
    <row r="2159">
      <c r="A2159" t="inlineStr">
        <is>
          <t>G|FICO x CHANNEL / SYS_FLAG|contribution_rate|rate|8</t>
        </is>
      </c>
      <c r="B2159" t="n">
        <v>0.159477974501621</v>
      </c>
      <c r="C2159" t="n">
        <v>0.1601003921069277</v>
      </c>
      <c r="D2159" t="n">
        <v>0.1628222874923279</v>
      </c>
      <c r="E2159" t="n">
        <v>0.1637367310415072</v>
      </c>
      <c r="F2159" t="n">
        <v>0.1880298300565874</v>
      </c>
      <c r="G2159" t="n">
        <v>0.181856565022196</v>
      </c>
      <c r="H2159" t="n">
        <v>0.1695924557349811</v>
      </c>
    </row>
    <row r="2160">
      <c r="A2160" t="inlineStr">
        <is>
          <t>G|FICO x CHANNEL / SYS_FLAG|contribution_rate|book|8</t>
        </is>
      </c>
      <c r="B2160" t="n">
        <v>-1.011448123</v>
      </c>
      <c r="C2160" t="n">
        <v>-0.9492063630000001</v>
      </c>
      <c r="D2160" t="n">
        <v>-0.677016824</v>
      </c>
      <c r="E2160" t="n">
        <v>-0.585572469</v>
      </c>
      <c r="F2160" t="n">
        <v>1.843737432</v>
      </c>
      <c r="G2160" t="n">
        <v>1.226410929</v>
      </c>
      <c r="H2160" t="n">
        <v>0</v>
      </c>
    </row>
    <row r="2161">
      <c r="A2161" t="inlineStr">
        <is>
          <t>G|FICO x CHANNEL / SYS_FLAG|contribution_rate|band|8</t>
        </is>
      </c>
    </row>
    <row r="2162">
      <c r="A2162" t="inlineStr">
        <is>
          <t>G|FICO x CHANNEL / SYS_FLAG|contribution_rate|meta</t>
        </is>
      </c>
      <c r="B2162" t="inlineStr">
        <is>
          <t>pts</t>
        </is>
      </c>
      <c r="C2162" t="n">
        <v>11.118344078</v>
      </c>
      <c r="D2162" t="n">
        <v>10</v>
      </c>
      <c r="E2162" t="n">
        <v>0.1695924557349815</v>
      </c>
      <c r="F2162" t="n">
        <v>65</v>
      </c>
    </row>
    <row r="2163">
      <c r="A2163" t="inlineStr">
        <is>
          <t>G|FICO x CHANNEL / SYS_FLAG|loan_size|rate|1</t>
        </is>
      </c>
      <c r="B2163" t="n">
        <v>31796.94051660517</v>
      </c>
      <c r="C2163" t="n">
        <v>33431.75718614719</v>
      </c>
      <c r="D2163" t="n">
        <v>32976.96220930233</v>
      </c>
      <c r="E2163" t="n">
        <v>32200.042</v>
      </c>
      <c r="F2163" t="n">
        <v>32541.72806557377</v>
      </c>
      <c r="G2163" t="n">
        <v>32928.98765486725</v>
      </c>
      <c r="H2163" t="n">
        <v>32614.36532133676</v>
      </c>
    </row>
    <row r="2164">
      <c r="A2164" t="inlineStr">
        <is>
          <t>G|FICO x CHANNEL / SYS_FLAG|loan_size|median|1</t>
        </is>
      </c>
      <c r="B2164" t="n">
        <v>30132.9</v>
      </c>
      <c r="C2164" t="n">
        <v>33552.73</v>
      </c>
      <c r="D2164" t="n">
        <v>32234.175</v>
      </c>
      <c r="E2164" t="n">
        <v>33065.97</v>
      </c>
      <c r="F2164" t="n">
        <v>33158.86</v>
      </c>
      <c r="G2164" t="n">
        <v>33072.31</v>
      </c>
      <c r="H2164" t="n">
        <v>32375.37</v>
      </c>
    </row>
    <row r="2165">
      <c r="A2165" t="inlineStr">
        <is>
          <t>G|FICO x CHANNEL / SYS_FLAG|loan_size|book|1</t>
        </is>
      </c>
      <c r="B2165" t="n">
        <v>0.985566934296019</v>
      </c>
      <c r="C2165" t="n">
        <v>1.036239144482252</v>
      </c>
      <c r="D2165" t="n">
        <v>1.022142477199809</v>
      </c>
      <c r="E2165" t="n">
        <v>0.9980613279938073</v>
      </c>
      <c r="F2165" t="n">
        <v>1.008652110712772</v>
      </c>
      <c r="G2165" t="n">
        <v>1.02065547455834</v>
      </c>
      <c r="H2165" t="n">
        <v>1.010903549886318</v>
      </c>
    </row>
    <row r="2166">
      <c r="A2166" t="inlineStr">
        <is>
          <t>G|FICO x CHANNEL / SYS_FLAG|loan_size|band|1</t>
        </is>
      </c>
      <c r="B2166" t="n">
        <v>0.9698105064475893</v>
      </c>
      <c r="C2166" t="n">
        <v>1.029560844644633</v>
      </c>
      <c r="D2166" t="n">
        <v>1.013357058339741</v>
      </c>
      <c r="E2166" t="n">
        <v>0.9847284618195767</v>
      </c>
      <c r="F2166" t="n">
        <v>0.9972313565810433</v>
      </c>
      <c r="G2166" t="n">
        <v>1.011304492150485</v>
      </c>
    </row>
    <row r="2167">
      <c r="A2167" t="inlineStr">
        <is>
          <t>G|FICO x CHANNEL / SYS_FLAG|loan_size|rate|2</t>
        </is>
      </c>
      <c r="B2167" t="n">
        <v>32383.70325301205</v>
      </c>
      <c r="C2167" t="n">
        <v>31939.16791338583</v>
      </c>
      <c r="D2167" t="n">
        <v>33050.91268292683</v>
      </c>
      <c r="E2167" t="n">
        <v>32115.94459016394</v>
      </c>
      <c r="F2167" t="n">
        <v>32321.0036802974</v>
      </c>
      <c r="G2167" t="n">
        <v>30327.3411440678</v>
      </c>
      <c r="H2167" t="n">
        <v>32066.01408706952</v>
      </c>
    </row>
    <row r="2168">
      <c r="A2168" t="inlineStr">
        <is>
          <t>G|FICO x CHANNEL / SYS_FLAG|loan_size|median|2</t>
        </is>
      </c>
      <c r="B2168" t="n">
        <v>33060.93</v>
      </c>
      <c r="C2168" t="n">
        <v>31860.04</v>
      </c>
      <c r="D2168" t="n">
        <v>34004.87</v>
      </c>
      <c r="E2168" t="n">
        <v>33779.885</v>
      </c>
      <c r="F2168" t="n">
        <v>31585.87</v>
      </c>
      <c r="G2168" t="n">
        <v>29780.72</v>
      </c>
      <c r="H2168" t="n">
        <v>32343.46</v>
      </c>
    </row>
    <row r="2169">
      <c r="A2169" t="inlineStr">
        <is>
          <t>G|FICO x CHANNEL / SYS_FLAG|loan_size|book|2</t>
        </is>
      </c>
      <c r="B2169" t="n">
        <v>1.003754028459298</v>
      </c>
      <c r="C2169" t="n">
        <v>0.9899753653318545</v>
      </c>
      <c r="D2169" t="n">
        <v>1.024434620418486</v>
      </c>
      <c r="E2169" t="n">
        <v>0.9954546738614363</v>
      </c>
      <c r="F2169" t="n">
        <v>1.001810614261011</v>
      </c>
      <c r="G2169" t="n">
        <v>0.9400157421151667</v>
      </c>
      <c r="H2169" t="n">
        <v>0.9939070453140634</v>
      </c>
    </row>
    <row r="2170">
      <c r="A2170" t="inlineStr">
        <is>
          <t>G|FICO x CHANNEL / SYS_FLAG|loan_size|band|2</t>
        </is>
      </c>
      <c r="B2170" t="n">
        <v>1.011842343457618</v>
      </c>
      <c r="C2170" t="n">
        <v>0.9952659980440114</v>
      </c>
      <c r="D2170" t="n">
        <v>1.038023268043416</v>
      </c>
      <c r="E2170" t="n">
        <v>1.001851046161998</v>
      </c>
      <c r="F2170" t="n">
        <v>1.009652603921521</v>
      </c>
      <c r="G2170" t="n">
        <v>0.9365804916665009</v>
      </c>
    </row>
    <row r="2171">
      <c r="A2171" t="inlineStr">
        <is>
          <t>G|FICO x CHANNEL / SYS_FLAG|loan_size|rate|3</t>
        </is>
      </c>
      <c r="B2171" t="n">
        <v>33035.83674999999</v>
      </c>
      <c r="C2171" t="n">
        <v>32296.85523404255</v>
      </c>
      <c r="D2171" t="n">
        <v>32192.17354243542</v>
      </c>
      <c r="E2171" t="n">
        <v>33879.94991304348</v>
      </c>
      <c r="F2171" t="n">
        <v>30700.43932659933</v>
      </c>
      <c r="G2171" t="n">
        <v>34305.75967871486</v>
      </c>
      <c r="H2171" t="n">
        <v>32660.96505761844</v>
      </c>
    </row>
    <row r="2172">
      <c r="A2172" t="inlineStr">
        <is>
          <t>G|FICO x CHANNEL / SYS_FLAG|loan_size|median|3</t>
        </is>
      </c>
      <c r="B2172" t="n">
        <v>33818.765</v>
      </c>
      <c r="C2172" t="n">
        <v>33248.03</v>
      </c>
      <c r="D2172" t="n">
        <v>31941.63</v>
      </c>
      <c r="E2172" t="n">
        <v>35858.745</v>
      </c>
      <c r="F2172" t="n">
        <v>28911.33</v>
      </c>
      <c r="G2172" t="n">
        <v>35193.47</v>
      </c>
      <c r="H2172" t="n">
        <v>32657.185</v>
      </c>
    </row>
    <row r="2173">
      <c r="A2173" t="inlineStr">
        <is>
          <t>G|FICO x CHANNEL / SYS_FLAG|loan_size|book|3</t>
        </is>
      </c>
      <c r="B2173" t="n">
        <v>1.023967332033033</v>
      </c>
      <c r="C2173" t="n">
        <v>1.001062117400724</v>
      </c>
      <c r="D2173" t="n">
        <v>0.997817440013594</v>
      </c>
      <c r="E2173" t="n">
        <v>1.050131170716357</v>
      </c>
      <c r="F2173" t="n">
        <v>0.9515801639109362</v>
      </c>
      <c r="G2173" t="n">
        <v>1.063329422451516</v>
      </c>
      <c r="H2173" t="n">
        <v>1.012347939141384</v>
      </c>
    </row>
    <row r="2174">
      <c r="A2174" t="inlineStr">
        <is>
          <t>G|FICO x CHANNEL / SYS_FLAG|loan_size|band|3</t>
        </is>
      </c>
      <c r="B2174" t="n">
        <v>1.014019634917419</v>
      </c>
      <c r="C2174" t="n">
        <v>0.9869034491696171</v>
      </c>
      <c r="D2174" t="n">
        <v>0.9826859378920417</v>
      </c>
      <c r="E2174" t="n">
        <v>1.044050819656556</v>
      </c>
      <c r="F2174" t="n">
        <v>0.9269103016939472</v>
      </c>
      <c r="G2174" t="n">
        <v>1.060487626772877</v>
      </c>
    </row>
    <row r="2175">
      <c r="A2175" t="inlineStr">
        <is>
          <t>G|FICO x CHANNEL / SYS_FLAG|loan_size|rate|4</t>
        </is>
      </c>
      <c r="B2175" t="n">
        <v>30485.35954397394</v>
      </c>
      <c r="C2175" t="n">
        <v>31104.60282608696</v>
      </c>
      <c r="D2175" t="n">
        <v>31593.95852233677</v>
      </c>
      <c r="E2175" t="n">
        <v>32278.29114678899</v>
      </c>
      <c r="F2175" t="n">
        <v>31679.06468531469</v>
      </c>
      <c r="G2175" t="n">
        <v>33484.52514388489</v>
      </c>
      <c r="H2175" t="n">
        <v>31746.88442236025</v>
      </c>
    </row>
    <row r="2176">
      <c r="A2176" t="inlineStr">
        <is>
          <t>G|FICO x CHANNEL / SYS_FLAG|loan_size|median|4</t>
        </is>
      </c>
      <c r="B2176" t="n">
        <v>29347.76</v>
      </c>
      <c r="C2176" t="n">
        <v>30633.685</v>
      </c>
      <c r="D2176" t="n">
        <v>30925.17</v>
      </c>
      <c r="E2176" t="n">
        <v>33002.01</v>
      </c>
      <c r="F2176" t="n">
        <v>30466.17</v>
      </c>
      <c r="G2176" t="n">
        <v>34405.455</v>
      </c>
      <c r="H2176" t="n">
        <v>31495.24</v>
      </c>
    </row>
    <row r="2177">
      <c r="A2177" t="inlineStr">
        <is>
          <t>G|FICO x CHANNEL / SYS_FLAG|loan_size|book|4</t>
        </is>
      </c>
      <c r="B2177" t="n">
        <v>0.944913625604194</v>
      </c>
      <c r="C2177" t="n">
        <v>0.9641074754910034</v>
      </c>
      <c r="D2177" t="n">
        <v>0.9792753748390981</v>
      </c>
      <c r="E2177" t="n">
        <v>1.000486711394196</v>
      </c>
      <c r="F2177" t="n">
        <v>0.9819132959338034</v>
      </c>
      <c r="G2177" t="n">
        <v>1.037874721789114</v>
      </c>
      <c r="H2177" t="n">
        <v>0.9840154129689267</v>
      </c>
    </row>
    <row r="2178">
      <c r="A2178" t="inlineStr">
        <is>
          <t>G|FICO x CHANNEL / SYS_FLAG|loan_size|band|4</t>
        </is>
      </c>
      <c r="B2178" t="n">
        <v>0.9513560276838685</v>
      </c>
      <c r="C2178" t="n">
        <v>0.9764761052369699</v>
      </c>
      <c r="D2178" t="n">
        <v>0.9941264628969483</v>
      </c>
      <c r="E2178" t="n">
        <v>1.019411207669876</v>
      </c>
      <c r="F2178" t="n">
        <v>0.9974034749383021</v>
      </c>
      <c r="G2178" t="n">
        <v>1.066922205714555</v>
      </c>
    </row>
    <row r="2179">
      <c r="A2179" t="inlineStr">
        <is>
          <t>G|FICO x CHANNEL / SYS_FLAG|loan_size|rate|5</t>
        </is>
      </c>
      <c r="B2179" t="n">
        <v>32271.98100358423</v>
      </c>
      <c r="C2179" t="n">
        <v>31156.68255230126</v>
      </c>
      <c r="D2179" t="n">
        <v>31444.34795986622</v>
      </c>
      <c r="E2179" t="n">
        <v>32632.09383966245</v>
      </c>
      <c r="F2179" t="n">
        <v>32489.15284246576</v>
      </c>
      <c r="G2179" t="n">
        <v>33124.0692</v>
      </c>
      <c r="H2179" t="n">
        <v>32161.51770210057</v>
      </c>
    </row>
    <row r="2180">
      <c r="A2180" t="inlineStr">
        <is>
          <t>G|FICO x CHANNEL / SYS_FLAG|loan_size|median|5</t>
        </is>
      </c>
      <c r="B2180" t="n">
        <v>31469.9</v>
      </c>
      <c r="C2180" t="n">
        <v>30349.14</v>
      </c>
      <c r="D2180" t="n">
        <v>30854.9</v>
      </c>
      <c r="E2180" t="n">
        <v>31892.25</v>
      </c>
      <c r="F2180" t="n">
        <v>32291.67</v>
      </c>
      <c r="G2180" t="n">
        <v>35322.29</v>
      </c>
      <c r="H2180" t="n">
        <v>31538.61</v>
      </c>
    </row>
    <row r="2181">
      <c r="A2181" t="inlineStr">
        <is>
          <t>G|FICO x CHANNEL / SYS_FLAG|loan_size|book|5</t>
        </is>
      </c>
      <c r="B2181" t="n">
        <v>1.000291124385123</v>
      </c>
      <c r="C2181" t="n">
        <v>0.9657217206123916</v>
      </c>
      <c r="D2181" t="n">
        <v>0.9746380977615943</v>
      </c>
      <c r="E2181" t="n">
        <v>1.011453056888312</v>
      </c>
      <c r="F2181" t="n">
        <v>1.00702250734161</v>
      </c>
      <c r="G2181" t="n">
        <v>1.026702154435412</v>
      </c>
      <c r="H2181" t="n">
        <v>0.9968672422245548</v>
      </c>
    </row>
    <row r="2182">
      <c r="A2182" t="inlineStr">
        <is>
          <t>G|FICO x CHANNEL / SYS_FLAG|loan_size|band|5</t>
        </is>
      </c>
      <c r="B2182" t="n">
        <v>1.004179433192587</v>
      </c>
      <c r="C2182" t="n">
        <v>0.9633560405189803</v>
      </c>
      <c r="D2182" t="n">
        <v>0.9726029365890398</v>
      </c>
      <c r="E2182" t="n">
        <v>1.017276037156821</v>
      </c>
      <c r="F2182" t="n">
        <v>1.012542116358425</v>
      </c>
      <c r="G2182" t="n">
        <v>1.035107246202191</v>
      </c>
    </row>
    <row r="2183">
      <c r="A2183" t="inlineStr">
        <is>
          <t>G|FICO x CHANNEL / SYS_FLAG|loan_size|rate|6</t>
        </is>
      </c>
      <c r="E2183" t="n">
        <v>27999.47</v>
      </c>
      <c r="H2183" t="n">
        <v>27999.47</v>
      </c>
    </row>
    <row r="2184">
      <c r="A2184" t="inlineStr">
        <is>
          <t>G|FICO x CHANNEL / SYS_FLAG|loan_size|median|6</t>
        </is>
      </c>
      <c r="E2184" t="n">
        <v>27999.47</v>
      </c>
      <c r="H2184" t="n">
        <v>27999.47</v>
      </c>
    </row>
    <row r="2185">
      <c r="A2185" t="inlineStr">
        <is>
          <t>G|FICO x CHANNEL / SYS_FLAG|loan_size|book|6</t>
        </is>
      </c>
      <c r="E2185" t="n">
        <v>0.8678618559355534</v>
      </c>
      <c r="H2185" t="n">
        <v>0.8678618559355534</v>
      </c>
    </row>
    <row r="2186">
      <c r="A2186" t="inlineStr">
        <is>
          <t>G|FICO x CHANNEL / SYS_FLAG|loan_size|band|6</t>
        </is>
      </c>
    </row>
    <row r="2187">
      <c r="A2187" t="inlineStr">
        <is>
          <t>G|FICO x CHANNEL / SYS_FLAG|loan_size|rate|7</t>
        </is>
      </c>
      <c r="B2187" t="n">
        <v>35300.61517241379</v>
      </c>
      <c r="C2187" t="n">
        <v>33967.53181818181</v>
      </c>
      <c r="D2187" t="n">
        <v>29423.23379310345</v>
      </c>
      <c r="E2187" t="n">
        <v>32609.4492</v>
      </c>
      <c r="F2187" t="n">
        <v>32656.807</v>
      </c>
      <c r="G2187" t="n">
        <v>34761.0012</v>
      </c>
      <c r="H2187" t="n">
        <v>33051.5174375</v>
      </c>
    </row>
    <row r="2188">
      <c r="A2188" t="inlineStr">
        <is>
          <t>G|FICO x CHANNEL / SYS_FLAG|loan_size|median|7</t>
        </is>
      </c>
      <c r="B2188" t="n">
        <v>33165.97</v>
      </c>
      <c r="C2188" t="n">
        <v>36575.155</v>
      </c>
      <c r="D2188" t="n">
        <v>27433.47</v>
      </c>
      <c r="E2188" t="n">
        <v>30599.75</v>
      </c>
      <c r="F2188" t="n">
        <v>33919.78</v>
      </c>
      <c r="G2188" t="n">
        <v>36736.09</v>
      </c>
      <c r="H2188" t="n">
        <v>33153.41</v>
      </c>
    </row>
    <row r="2189">
      <c r="A2189" t="inlineStr">
        <is>
          <t>G|FICO x CHANNEL / SYS_FLAG|loan_size|book|7</t>
        </is>
      </c>
      <c r="B2189" t="n">
        <v>1.094165618106264</v>
      </c>
      <c r="C2189" t="n">
        <v>1.052845829055951</v>
      </c>
      <c r="D2189" t="n">
        <v>0.9119923444018209</v>
      </c>
      <c r="E2189" t="n">
        <v>1.010751171495323</v>
      </c>
      <c r="F2189" t="n">
        <v>1.012219057430343</v>
      </c>
      <c r="G2189" t="n">
        <v>1.077439930670473</v>
      </c>
      <c r="H2189" t="n">
        <v>1.024453365181379</v>
      </c>
    </row>
    <row r="2190">
      <c r="A2190" t="inlineStr">
        <is>
          <t>G|FICO x CHANNEL / SYS_FLAG|loan_size|band|7</t>
        </is>
      </c>
      <c r="B2190" t="n">
        <v>1.084383522621015</v>
      </c>
      <c r="C2190" t="n">
        <v>1.032275641016703</v>
      </c>
      <c r="D2190" t="n">
        <v>0.8691027193663642</v>
      </c>
      <c r="E2190" t="n">
        <v>0.9841871642593788</v>
      </c>
      <c r="F2190" t="n">
        <v>0.9853422062197247</v>
      </c>
      <c r="G2190" t="n">
        <v>1.061892718769305</v>
      </c>
    </row>
    <row r="2191">
      <c r="A2191" t="inlineStr">
        <is>
          <t>G|FICO x CHANNEL / SYS_FLAG|loan_size|rate|8</t>
        </is>
      </c>
      <c r="B2191" t="n">
        <v>32026.25667844523</v>
      </c>
      <c r="C2191" t="n">
        <v>32017.20645747317</v>
      </c>
      <c r="D2191" t="n">
        <v>32171.93238327526</v>
      </c>
      <c r="E2191" t="n">
        <v>32602.78647540984</v>
      </c>
      <c r="F2191" t="n">
        <v>31956.96881000676</v>
      </c>
      <c r="G2191" t="n">
        <v>32907.16422114609</v>
      </c>
      <c r="H2191" t="n">
        <v>32262.58857732217</v>
      </c>
    </row>
    <row r="2192">
      <c r="A2192" t="inlineStr">
        <is>
          <t>G|FICO x CHANNEL / SYS_FLAG|loan_size|median|8</t>
        </is>
      </c>
      <c r="B2192" t="n">
        <v>31141.73</v>
      </c>
      <c r="C2192" t="n">
        <v>31923.05</v>
      </c>
      <c r="D2192" t="n">
        <v>31928.12</v>
      </c>
      <c r="E2192" t="n">
        <v>33360.735</v>
      </c>
      <c r="F2192" t="n">
        <v>31263.76</v>
      </c>
      <c r="G2192" t="n">
        <v>33331.65</v>
      </c>
      <c r="H2192" t="n">
        <v>32112.83</v>
      </c>
    </row>
    <row r="2193">
      <c r="A2193" t="inlineStr">
        <is>
          <t>G|FICO x CHANNEL / SYS_FLAG|loan_size|book|8</t>
        </is>
      </c>
      <c r="B2193" t="n">
        <v>0.9926747384726886</v>
      </c>
      <c r="C2193" t="n">
        <v>0.9923942209639842</v>
      </c>
      <c r="D2193" t="n">
        <v>0.9971900520682141</v>
      </c>
      <c r="E2193" t="n">
        <v>1.010544655995979</v>
      </c>
      <c r="F2193" t="n">
        <v>0.9905271157463715</v>
      </c>
      <c r="G2193" t="n">
        <v>1.019979042979738</v>
      </c>
      <c r="H2193" t="n">
        <v>1</v>
      </c>
    </row>
    <row r="2194">
      <c r="A2194" t="inlineStr">
        <is>
          <t>G|FICO x CHANNEL / SYS_FLAG|loan_size|band|8</t>
        </is>
      </c>
    </row>
    <row r="2195">
      <c r="A2195" t="inlineStr">
        <is>
          <t>G|FICO x CHANNEL / SYS_FLAG|loan_size|meta</t>
        </is>
      </c>
      <c r="B2195" t="inlineStr">
        <is>
          <t>size</t>
        </is>
      </c>
      <c r="C2195" t="n">
        <v>1</v>
      </c>
      <c r="E2195" t="n">
        <v>32262.58857732217</v>
      </c>
      <c r="F2195" t="n">
        <v>65</v>
      </c>
    </row>
    <row r="2196">
      <c r="A2196" t="inlineStr">
        <is>
          <t>G|FICO x CHANNEL / SYS_FLAG|where N|cols</t>
        </is>
      </c>
      <c r="B2196" t="inlineStr">
        <is>
          <t>Branch · N</t>
        </is>
      </c>
      <c r="C2196" t="inlineStr">
        <is>
          <t>Branch · Y</t>
        </is>
      </c>
      <c r="D2196" t="inlineStr">
        <is>
          <t>Broker · N</t>
        </is>
      </c>
      <c r="E2196" t="inlineStr">
        <is>
          <t>Broker · Y</t>
        </is>
      </c>
      <c r="F2196" t="inlineStr">
        <is>
          <t>Online · N</t>
        </is>
      </c>
      <c r="G2196" t="inlineStr">
        <is>
          <t>Online · Y</t>
        </is>
      </c>
      <c r="H2196" t="inlineStr">
        <is>
          <t>All</t>
        </is>
      </c>
    </row>
    <row r="2197">
      <c r="A2197" t="inlineStr">
        <is>
          <t>G|FICO x CHANNEL / SYS_FLAG|where N|heads</t>
        </is>
      </c>
      <c r="B2197" t="inlineStr">
        <is>
          <t>N</t>
        </is>
      </c>
      <c r="C2197" t="inlineStr">
        <is>
          <t>Y</t>
        </is>
      </c>
      <c r="D2197" t="inlineStr">
        <is>
          <t>N</t>
        </is>
      </c>
      <c r="E2197" t="inlineStr">
        <is>
          <t>Y</t>
        </is>
      </c>
      <c r="F2197" t="inlineStr">
        <is>
          <t>N</t>
        </is>
      </c>
      <c r="G2197" t="inlineStr">
        <is>
          <t>Y</t>
        </is>
      </c>
      <c r="H2197" t="inlineStr">
        <is>
          <t>All</t>
        </is>
      </c>
    </row>
    <row r="2198">
      <c r="A2198" t="inlineStr">
        <is>
          <t>G|FICO x CHANNEL / SYS_FLAG|where N|segs</t>
        </is>
      </c>
      <c r="B2198" t="inlineStr">
        <is>
          <t>Branch</t>
        </is>
      </c>
      <c r="C2198" t="inlineStr">
        <is>
          <t>Broker</t>
        </is>
      </c>
      <c r="D2198" t="inlineStr">
        <is>
          <t>Online</t>
        </is>
      </c>
    </row>
    <row r="2199">
      <c r="A2199" t="inlineStr">
        <is>
          <t>G|FICO x CHANNEL / SYS_FLAG|where N|rows</t>
        </is>
      </c>
      <c r="B2199" t="inlineStr">
        <is>
          <t>496 - 653</t>
        </is>
      </c>
      <c r="C2199" t="inlineStr">
        <is>
          <t>654 - 685</t>
        </is>
      </c>
      <c r="D2199" t="inlineStr">
        <is>
          <t>686 - 711</t>
        </is>
      </c>
      <c r="E2199" t="inlineStr">
        <is>
          <t>712 - 745</t>
        </is>
      </c>
      <c r="F2199" t="inlineStr">
        <is>
          <t>746 - 921</t>
        </is>
      </c>
      <c r="G2199" t="inlineStr">
        <is>
          <t>(blank)</t>
        </is>
      </c>
      <c r="H2199" t="inlineStr">
        <is>
          <t>(marked missing)</t>
        </is>
      </c>
      <c r="I2199" t="inlineStr">
        <is>
          <t>All</t>
        </is>
      </c>
    </row>
    <row r="2200">
      <c r="A2200" t="inlineStr">
        <is>
          <t>G|FICO x CHANNEL / SYS_FLAG|where N|names</t>
        </is>
      </c>
      <c r="B2200" t="inlineStr">
        <is>
          <t>FICO</t>
        </is>
      </c>
      <c r="C2200" t="inlineStr">
        <is>
          <t>CHANNEL / SYS_FLAG</t>
        </is>
      </c>
    </row>
    <row r="2201">
      <c r="A2201" t="inlineStr">
        <is>
          <t>G|FICO x CHANNEL / SYS_FLAG|where N|total</t>
        </is>
      </c>
      <c r="B2201" t="n">
        <v>4329</v>
      </c>
    </row>
    <row r="2202">
      <c r="A2202" t="inlineStr">
        <is>
          <t>G|FICO x CHANNEL / SYS_FLAG|where N|loans|1</t>
        </is>
      </c>
      <c r="B2202" t="n">
        <v>271</v>
      </c>
      <c r="D2202" t="n">
        <v>258</v>
      </c>
      <c r="F2202" t="n">
        <v>305</v>
      </c>
      <c r="H2202" t="n">
        <v>834</v>
      </c>
    </row>
    <row r="2203">
      <c r="A2203" t="inlineStr">
        <is>
          <t>G|FICO x CHANNEL / SYS_FLAG|where N|loans|2</t>
        </is>
      </c>
      <c r="B2203" t="n">
        <v>249</v>
      </c>
      <c r="D2203" t="n">
        <v>287</v>
      </c>
      <c r="F2203" t="n">
        <v>269</v>
      </c>
      <c r="H2203" t="n">
        <v>805</v>
      </c>
    </row>
    <row r="2204">
      <c r="A2204" t="inlineStr">
        <is>
          <t>G|FICO x CHANNEL / SYS_FLAG|where N|loans|3</t>
        </is>
      </c>
      <c r="B2204" t="n">
        <v>280</v>
      </c>
      <c r="D2204" t="n">
        <v>271</v>
      </c>
      <c r="F2204" t="n">
        <v>297</v>
      </c>
      <c r="H2204" t="n">
        <v>848</v>
      </c>
    </row>
    <row r="2205">
      <c r="A2205" t="inlineStr">
        <is>
          <t>G|FICO x CHANNEL / SYS_FLAG|where N|loans|4</t>
        </is>
      </c>
      <c r="B2205" t="n">
        <v>307</v>
      </c>
      <c r="D2205" t="n">
        <v>291</v>
      </c>
      <c r="F2205" t="n">
        <v>286</v>
      </c>
      <c r="H2205" t="n">
        <v>884</v>
      </c>
    </row>
    <row r="2206">
      <c r="A2206" t="inlineStr">
        <is>
          <t>G|FICO x CHANNEL / SYS_FLAG|where N|loans|5</t>
        </is>
      </c>
      <c r="B2206" t="n">
        <v>279</v>
      </c>
      <c r="D2206" t="n">
        <v>299</v>
      </c>
      <c r="F2206" t="n">
        <v>292</v>
      </c>
      <c r="H2206" t="n">
        <v>870</v>
      </c>
    </row>
    <row r="2207">
      <c r="A2207" t="inlineStr">
        <is>
          <t>G|FICO x CHANNEL / SYS_FLAG|where N|loans|6</t>
        </is>
      </c>
    </row>
    <row r="2208">
      <c r="A2208" t="inlineStr">
        <is>
          <t>G|FICO x CHANNEL / SYS_FLAG|where N|loans|7</t>
        </is>
      </c>
      <c r="B2208" t="n">
        <v>29</v>
      </c>
      <c r="D2208" t="n">
        <v>29</v>
      </c>
      <c r="F2208" t="n">
        <v>30</v>
      </c>
      <c r="H2208" t="n">
        <v>88</v>
      </c>
    </row>
    <row r="2209">
      <c r="A2209" t="inlineStr">
        <is>
          <t>G|FICO x CHANNEL / SYS_FLAG|where N|loans|8</t>
        </is>
      </c>
      <c r="B2209" t="n">
        <v>1415</v>
      </c>
      <c r="D2209" t="n">
        <v>1435</v>
      </c>
      <c r="F2209" t="n">
        <v>1479</v>
      </c>
      <c r="H2209" t="n">
        <v>4329</v>
      </c>
    </row>
    <row r="2210">
      <c r="A2210" t="inlineStr">
        <is>
          <t>G|FICO x CHANNEL / SYS_FLAG|where N|outcome_loans|rate|1</t>
        </is>
      </c>
      <c r="B2210" t="n">
        <v>0.08518518518518518</v>
      </c>
      <c r="D2210" t="n">
        <v>0.1937984496124031</v>
      </c>
      <c r="F2210" t="n">
        <v>0.07540983606557378</v>
      </c>
      <c r="H2210" t="n">
        <v>0.1152460984393757</v>
      </c>
    </row>
    <row r="2211">
      <c r="A2211" t="inlineStr">
        <is>
          <t>G|FICO x CHANNEL / SYS_FLAG|where N|outcome_loans|book|1</t>
        </is>
      </c>
      <c r="B2211" t="n">
        <v>1.100801771076408</v>
      </c>
      <c r="D2211" t="n">
        <v>2.504351855330553</v>
      </c>
      <c r="F2211" t="n">
        <v>0.9744802563627215</v>
      </c>
      <c r="H2211" t="n">
        <v>1.489262587102692</v>
      </c>
    </row>
    <row r="2212">
      <c r="A2212" t="inlineStr">
        <is>
          <t>G|FICO x CHANNEL / SYS_FLAG|where N|outcome_loans|band|1</t>
        </is>
      </c>
      <c r="B2212" t="n">
        <v>0.6569761542364282</v>
      </c>
      <c r="D2212" t="n">
        <v>2.422480620155039</v>
      </c>
      <c r="F2212" t="n">
        <v>0.5454300471592186</v>
      </c>
    </row>
    <row r="2213">
      <c r="A2213" t="inlineStr">
        <is>
          <t>G|FICO x CHANNEL / SYS_FLAG|where N|outcome_loans|rate|2</t>
        </is>
      </c>
      <c r="B2213" t="n">
        <v>0.06425702811244979</v>
      </c>
      <c r="D2213" t="n">
        <v>0.0627177700348432</v>
      </c>
      <c r="F2213" t="n">
        <v>0.0483271375464684</v>
      </c>
      <c r="H2213" t="n">
        <v>0.05838509316770187</v>
      </c>
    </row>
    <row r="2214">
      <c r="A2214" t="inlineStr">
        <is>
          <t>G|FICO x CHANNEL / SYS_FLAG|where N|outcome_loans|book|2</t>
        </is>
      </c>
      <c r="B2214" t="n">
        <v>0.8303585910686363</v>
      </c>
      <c r="D2214" t="n">
        <v>0.8104675969446055</v>
      </c>
      <c r="F2214" t="n">
        <v>0.624505287938935</v>
      </c>
      <c r="H2214" t="n">
        <v>0.7544787726146158</v>
      </c>
    </row>
    <row r="2215">
      <c r="A2215" t="inlineStr">
        <is>
          <t>G|FICO x CHANNEL / SYS_FLAG|where N|outcome_loans|band|2</t>
        </is>
      </c>
      <c r="B2215" t="n">
        <v>1.152480891307164</v>
      </c>
      <c r="D2215" t="n">
        <v>1.12026913372582</v>
      </c>
      <c r="F2215" t="n">
        <v>0.7618631095560902</v>
      </c>
    </row>
    <row r="2216">
      <c r="A2216" t="inlineStr">
        <is>
          <t>G|FICO x CHANNEL / SYS_FLAG|where N|outcome_loans|rate|3</t>
        </is>
      </c>
      <c r="B2216" t="n">
        <v>0.06071428571428571</v>
      </c>
      <c r="D2216" t="n">
        <v>0.04059040590405904</v>
      </c>
      <c r="F2216" t="n">
        <v>0.05387205387205387</v>
      </c>
      <c r="H2216" t="n">
        <v>0.05188679245283019</v>
      </c>
    </row>
    <row r="2217">
      <c r="A2217" t="inlineStr">
        <is>
          <t>G|FICO x CHANNEL / SYS_FLAG|where N|outcome_loans|book|3</t>
        </is>
      </c>
      <c r="B2217" t="n">
        <v>0.7845776598199862</v>
      </c>
      <c r="D2217" t="n">
        <v>0.5245277170057645</v>
      </c>
      <c r="F2217" t="n">
        <v>0.6961592228151193</v>
      </c>
      <c r="H2217" t="n">
        <v>0.6705047703234066</v>
      </c>
    </row>
    <row r="2218">
      <c r="A2218" t="inlineStr">
        <is>
          <t>G|FICO x CHANNEL / SYS_FLAG|where N|outcome_loans|band|3</t>
        </is>
      </c>
      <c r="B2218" t="n">
        <v>1.277248677248677</v>
      </c>
      <c r="D2218" t="n">
        <v>0.7097170971709716</v>
      </c>
      <c r="F2218" t="n">
        <v>1.06012506012506</v>
      </c>
    </row>
    <row r="2219">
      <c r="A2219" t="inlineStr">
        <is>
          <t>G|FICO x CHANNEL / SYS_FLAG|where N|outcome_loans|rate|4</t>
        </is>
      </c>
      <c r="B2219" t="n">
        <v>0.03257328990228013</v>
      </c>
      <c r="D2219" t="n">
        <v>0.03092783505154639</v>
      </c>
      <c r="F2219" t="n">
        <v>0.05594405594405594</v>
      </c>
      <c r="H2219" t="n">
        <v>0.03959276018099547</v>
      </c>
    </row>
    <row r="2220">
      <c r="A2220" t="inlineStr">
        <is>
          <t>G|FICO x CHANNEL / SYS_FLAG|where N|outcome_loans|book|4</t>
        </is>
      </c>
      <c r="B2220" t="n">
        <v>0.4209268916451353</v>
      </c>
      <c r="F2220" t="n">
        <v>0.7229345775387779</v>
      </c>
      <c r="H2220" t="n">
        <v>0.5116356844713776</v>
      </c>
    </row>
    <row r="2221">
      <c r="A2221" t="inlineStr">
        <is>
          <t>G|FICO x CHANNEL / SYS_FLAG|where N|outcome_loans|band|4</t>
        </is>
      </c>
      <c r="B2221" t="n">
        <v>0.7517915309446254</v>
      </c>
      <c r="F2221" t="n">
        <v>1.760765550239235</v>
      </c>
    </row>
    <row r="2222">
      <c r="A2222" t="inlineStr">
        <is>
          <t>G|FICO x CHANNEL / SYS_FLAG|where N|outcome_loans|rate|5</t>
        </is>
      </c>
      <c r="B2222" t="n">
        <v>0.03225806451612903</v>
      </c>
      <c r="D2222" t="n">
        <v>0.02675585284280936</v>
      </c>
      <c r="F2222" t="n">
        <v>0.0273972602739726</v>
      </c>
      <c r="H2222" t="n">
        <v>0.02873563218390805</v>
      </c>
    </row>
    <row r="2223">
      <c r="A2223" t="inlineStr">
        <is>
          <t>G|FICO x CHANNEL / SYS_FLAG|where N|outcome_loans|book|5</t>
        </is>
      </c>
      <c r="H2223" t="n">
        <v>0.371334930273151</v>
      </c>
    </row>
    <row r="2224">
      <c r="A2224" t="inlineStr">
        <is>
          <t>G|FICO x CHANNEL / SYS_FLAG|where N|outcome_loans|band|5</t>
        </is>
      </c>
    </row>
    <row r="2225">
      <c r="A2225" t="inlineStr">
        <is>
          <t>G|FICO x CHANNEL / SYS_FLAG|where N|outcome_loans|rate|6</t>
        </is>
      </c>
    </row>
    <row r="2226">
      <c r="A2226" t="inlineStr">
        <is>
          <t>G|FICO x CHANNEL / SYS_FLAG|where N|outcome_loans|book|6</t>
        </is>
      </c>
    </row>
    <row r="2227">
      <c r="A2227" t="inlineStr">
        <is>
          <t>G|FICO x CHANNEL / SYS_FLAG|where N|outcome_loans|band|6</t>
        </is>
      </c>
    </row>
    <row r="2228">
      <c r="A2228" t="inlineStr">
        <is>
          <t>G|FICO x CHANNEL / SYS_FLAG|where N|outcome_loans|rate|7</t>
        </is>
      </c>
      <c r="B2228" t="n">
        <v>0</v>
      </c>
      <c r="D2228" t="n">
        <v>0.06896551724137931</v>
      </c>
      <c r="F2228" t="n">
        <v>0</v>
      </c>
      <c r="H2228" t="n">
        <v>0.02272727272727273</v>
      </c>
    </row>
    <row r="2229">
      <c r="A2229" t="inlineStr">
        <is>
          <t>G|FICO x CHANNEL / SYS_FLAG|where N|outcome_loans|book|7</t>
        </is>
      </c>
    </row>
    <row r="2230">
      <c r="A2230" t="inlineStr">
        <is>
          <t>G|FICO x CHANNEL / SYS_FLAG|where N|outcome_loans|band|7</t>
        </is>
      </c>
    </row>
    <row r="2231">
      <c r="A2231" t="inlineStr">
        <is>
          <t>G|FICO x CHANNEL / SYS_FLAG|where N|outcome_loans|rate|8</t>
        </is>
      </c>
      <c r="B2231" t="n">
        <v>0.05304101838755304</v>
      </c>
      <c r="D2231" t="n">
        <v>0.06829268292682927</v>
      </c>
      <c r="F2231" t="n">
        <v>0.05138607167004733</v>
      </c>
      <c r="H2231" t="n">
        <v>0.05753234750462107</v>
      </c>
    </row>
    <row r="2232">
      <c r="A2232" t="inlineStr">
        <is>
          <t>G|FICO x CHANNEL / SYS_FLAG|where N|outcome_loans|book|8</t>
        </is>
      </c>
      <c r="B2232" t="n">
        <v>0.6854202036866507</v>
      </c>
      <c r="D2232" t="n">
        <v>0.8825091611174594</v>
      </c>
      <c r="F2232" t="n">
        <v>0.664034228253164</v>
      </c>
      <c r="H2232" t="n">
        <v>0.7434592046679547</v>
      </c>
    </row>
    <row r="2233">
      <c r="A2233" t="inlineStr">
        <is>
          <t>G|FICO x CHANNEL / SYS_FLAG|where N|outcome_loans|band|8</t>
        </is>
      </c>
    </row>
    <row r="2234">
      <c r="A2234" t="inlineStr">
        <is>
          <t>G|FICO x CHANNEL / SYS_FLAG|where N|outcome_loans|meta</t>
        </is>
      </c>
      <c r="B2234" t="inlineStr">
        <is>
          <t>x</t>
        </is>
      </c>
      <c r="C2234" t="n">
        <v>2.504351855330553</v>
      </c>
      <c r="D2234" t="n">
        <v>10</v>
      </c>
      <c r="E2234" t="n">
        <v>0.07738467308413552</v>
      </c>
      <c r="F2234" t="n">
        <v>65</v>
      </c>
    </row>
    <row r="2235">
      <c r="A2235" t="inlineStr">
        <is>
          <t>G|FICO x CHANNEL / SYS_FLAG|where N|outcome_booked|rate|1</t>
        </is>
      </c>
      <c r="B2235" t="n">
        <v>0.0794138438647022</v>
      </c>
      <c r="D2235" t="n">
        <v>0.1885605093407791</v>
      </c>
      <c r="F2235" t="n">
        <v>0.06258124234792066</v>
      </c>
      <c r="H2235" t="n">
        <v>0.1076058652304739</v>
      </c>
    </row>
    <row r="2236">
      <c r="A2236" t="inlineStr">
        <is>
          <t>G|FICO x CHANNEL / SYS_FLAG|where N|outcome_booked|book|1</t>
        </is>
      </c>
      <c r="B2236" t="n">
        <v>1.061272813268959</v>
      </c>
      <c r="D2236" t="n">
        <v>2.51988988922954</v>
      </c>
      <c r="F2236" t="n">
        <v>0.8363248508357962</v>
      </c>
      <c r="H2236" t="n">
        <v>1.438026089153262</v>
      </c>
    </row>
    <row r="2237">
      <c r="A2237" t="inlineStr">
        <is>
          <t>G|FICO x CHANNEL / SYS_FLAG|where N|outcome_booked|band|1</t>
        </is>
      </c>
      <c r="B2237" t="n">
        <v>0.657790534493558</v>
      </c>
      <c r="D2237" t="n">
        <v>2.678959861510621</v>
      </c>
      <c r="F2237" t="n">
        <v>0.4678710164136167</v>
      </c>
    </row>
    <row r="2238">
      <c r="A2238" t="inlineStr">
        <is>
          <t>G|FICO x CHANNEL / SYS_FLAG|where N|outcome_booked|rate|2</t>
        </is>
      </c>
      <c r="B2238" t="n">
        <v>0.05554172519848109</v>
      </c>
      <c r="D2238" t="n">
        <v>0.06705098669680558</v>
      </c>
      <c r="F2238" t="n">
        <v>0.03296595839017977</v>
      </c>
      <c r="H2238" t="n">
        <v>0.05222245695205571</v>
      </c>
    </row>
    <row r="2239">
      <c r="A2239" t="inlineStr">
        <is>
          <t>G|FICO x CHANNEL / SYS_FLAG|where N|outcome_booked|book|2</t>
        </is>
      </c>
      <c r="B2239" t="n">
        <v>0.7422499665880453</v>
      </c>
      <c r="D2239" t="n">
        <v>0.896057737809708</v>
      </c>
      <c r="F2239" t="n">
        <v>0.440551340928153</v>
      </c>
      <c r="H2239" t="n">
        <v>0.6978918423813927</v>
      </c>
    </row>
    <row r="2240">
      <c r="A2240" t="inlineStr">
        <is>
          <t>G|FICO x CHANNEL / SYS_FLAG|where N|outcome_booked|band|2</t>
        </is>
      </c>
      <c r="B2240" t="n">
        <v>1.094413305410449</v>
      </c>
      <c r="D2240" t="n">
        <v>1.529833694269024</v>
      </c>
      <c r="F2240" t="n">
        <v>0.5337521236109746</v>
      </c>
    </row>
    <row r="2241">
      <c r="A2241" t="inlineStr">
        <is>
          <t>G|FICO x CHANNEL / SYS_FLAG|where N|outcome_booked|rate|3</t>
        </is>
      </c>
      <c r="B2241" t="n">
        <v>0.0465855873059688</v>
      </c>
      <c r="D2241" t="n">
        <v>0.03474561944677844</v>
      </c>
      <c r="F2241" t="n">
        <v>0.04588747108465464</v>
      </c>
      <c r="H2241" t="n">
        <v>0.04253798364971029</v>
      </c>
    </row>
    <row r="2242">
      <c r="A2242" t="inlineStr">
        <is>
          <t>G|FICO x CHANNEL / SYS_FLAG|where N|outcome_booked|book|3</t>
        </is>
      </c>
      <c r="B2242" t="n">
        <v>0.6225616956940587</v>
      </c>
      <c r="D2242" t="n">
        <v>0.4643344221176176</v>
      </c>
      <c r="F2242" t="n">
        <v>0.6132321917923834</v>
      </c>
      <c r="H2242" t="n">
        <v>0.5684702236001797</v>
      </c>
    </row>
    <row r="2243">
      <c r="A2243" t="inlineStr">
        <is>
          <t>G|FICO x CHANNEL / SYS_FLAG|where N|outcome_booked|band|3</t>
        </is>
      </c>
      <c r="B2243" t="n">
        <v>1.151980836501827</v>
      </c>
      <c r="D2243" t="n">
        <v>0.7514347432289585</v>
      </c>
      <c r="F2243" t="n">
        <v>1.123623469409468</v>
      </c>
    </row>
    <row r="2244">
      <c r="A2244" t="inlineStr">
        <is>
          <t>G|FICO x CHANNEL / SYS_FLAG|where N|outcome_booked|rate|4</t>
        </is>
      </c>
      <c r="B2244" t="n">
        <v>0.02849745236496489</v>
      </c>
      <c r="D2244" t="n">
        <v>0.03368630898356112</v>
      </c>
      <c r="F2244" t="n">
        <v>0.05542665693547472</v>
      </c>
      <c r="H2244" t="n">
        <v>0.03906092651164253</v>
      </c>
    </row>
    <row r="2245">
      <c r="A2245" t="inlineStr">
        <is>
          <t>G|FICO x CHANNEL / SYS_FLAG|where N|outcome_booked|book|4</t>
        </is>
      </c>
      <c r="B2245" t="n">
        <v>0.3808350026966404</v>
      </c>
      <c r="F2245" t="n">
        <v>0.7407122143114172</v>
      </c>
      <c r="H2245" t="n">
        <v>0.5220034360574317</v>
      </c>
    </row>
    <row r="2246">
      <c r="A2246" t="inlineStr">
        <is>
          <t>G|FICO x CHANNEL / SYS_FLAG|where N|outcome_booked|band|4</t>
        </is>
      </c>
      <c r="B2246" t="n">
        <v>0.640724681193516</v>
      </c>
      <c r="F2246" t="n">
        <v>1.783998257482173</v>
      </c>
    </row>
    <row r="2247">
      <c r="A2247" t="inlineStr">
        <is>
          <t>G|FICO x CHANNEL / SYS_FLAG|where N|outcome_booked|rate|5</t>
        </is>
      </c>
      <c r="B2247" t="n">
        <v>0.03251089888143482</v>
      </c>
      <c r="D2247" t="n">
        <v>0.02158220810953489</v>
      </c>
      <c r="F2247" t="n">
        <v>0.02591971942483821</v>
      </c>
      <c r="H2247" t="n">
        <v>0.02658532782159514</v>
      </c>
    </row>
    <row r="2248">
      <c r="A2248" t="inlineStr">
        <is>
          <t>G|FICO x CHANNEL / SYS_FLAG|where N|outcome_booked|book|5</t>
        </is>
      </c>
      <c r="H2248" t="n">
        <v>0.3552817024821344</v>
      </c>
    </row>
    <row r="2249">
      <c r="A2249" t="inlineStr">
        <is>
          <t>G|FICO x CHANNEL / SYS_FLAG|where N|outcome_booked|band|5</t>
        </is>
      </c>
    </row>
    <row r="2250">
      <c r="A2250" t="inlineStr">
        <is>
          <t>G|FICO x CHANNEL / SYS_FLAG|where N|outcome_booked|rate|6</t>
        </is>
      </c>
    </row>
    <row r="2251">
      <c r="A2251" t="inlineStr">
        <is>
          <t>G|FICO x CHANNEL / SYS_FLAG|where N|outcome_booked|book|6</t>
        </is>
      </c>
    </row>
    <row r="2252">
      <c r="A2252" t="inlineStr">
        <is>
          <t>G|FICO x CHANNEL / SYS_FLAG|where N|outcome_booked|band|6</t>
        </is>
      </c>
    </row>
    <row r="2253">
      <c r="A2253" t="inlineStr">
        <is>
          <t>G|FICO x CHANNEL / SYS_FLAG|where N|outcome_booked|rate|7</t>
        </is>
      </c>
      <c r="B2253" t="n">
        <v>0</v>
      </c>
      <c r="D2253" t="n">
        <v>0.05448545483256266</v>
      </c>
      <c r="F2253" t="n">
        <v>0</v>
      </c>
      <c r="H2253" t="n">
        <v>0.01627439978445307</v>
      </c>
    </row>
    <row r="2254">
      <c r="A2254" t="inlineStr">
        <is>
          <t>G|FICO x CHANNEL / SYS_FLAG|where N|outcome_booked|book|7</t>
        </is>
      </c>
    </row>
    <row r="2255">
      <c r="A2255" t="inlineStr">
        <is>
          <t>G|FICO x CHANNEL / SYS_FLAG|where N|outcome_booked|band|7</t>
        </is>
      </c>
    </row>
    <row r="2256">
      <c r="A2256" t="inlineStr">
        <is>
          <t>G|FICO x CHANNEL / SYS_FLAG|where N|outcome_booked|rate|8</t>
        </is>
      </c>
      <c r="B2256" t="n">
        <v>0.04681040497767674</v>
      </c>
      <c r="D2256" t="n">
        <v>0.0672028877166804</v>
      </c>
      <c r="F2256" t="n">
        <v>0.04388565607070746</v>
      </c>
      <c r="H2256" t="n">
        <v>0.05260097895035092</v>
      </c>
    </row>
    <row r="2257">
      <c r="A2257" t="inlineStr">
        <is>
          <t>G|FICO x CHANNEL / SYS_FLAG|where N|outcome_booked|book|8</t>
        </is>
      </c>
      <c r="B2257" t="n">
        <v>0.6255661200024016</v>
      </c>
      <c r="D2257" t="n">
        <v>0.8980877166503699</v>
      </c>
      <c r="F2257" t="n">
        <v>0.5864802837105225</v>
      </c>
      <c r="H2257" t="n">
        <v>0.702950344608024</v>
      </c>
    </row>
    <row r="2258">
      <c r="A2258" t="inlineStr">
        <is>
          <t>G|FICO x CHANNEL / SYS_FLAG|where N|outcome_booked|band|8</t>
        </is>
      </c>
    </row>
    <row r="2259">
      <c r="A2259" t="inlineStr">
        <is>
          <t>G|FICO x CHANNEL / SYS_FLAG|where N|outcome_booked|meta</t>
        </is>
      </c>
      <c r="B2259" t="inlineStr">
        <is>
          <t>x</t>
        </is>
      </c>
      <c r="C2259" t="n">
        <v>2.678959861510621</v>
      </c>
      <c r="D2259" t="n">
        <v>10</v>
      </c>
      <c r="E2259" t="n">
        <v>0.07482886857347235</v>
      </c>
      <c r="F2259" t="n">
        <v>65</v>
      </c>
    </row>
    <row r="2260">
      <c r="A2260" t="inlineStr">
        <is>
          <t>G|FICO x CHANNEL / SYS_FLAG|where N|gco_rate|rate|1</t>
        </is>
      </c>
      <c r="B2260" t="n">
        <v>0.04319626527506609</v>
      </c>
      <c r="D2260" t="n">
        <v>0.1169959507496203</v>
      </c>
      <c r="F2260" t="n">
        <v>0.03659446658543245</v>
      </c>
      <c r="H2260" t="n">
        <v>0.06398599687243824</v>
      </c>
    </row>
    <row r="2261">
      <c r="A2261" t="inlineStr">
        <is>
          <t>G|FICO x CHANNEL / SYS_FLAG|where N|gco_rate|book|1</t>
        </is>
      </c>
      <c r="B2261" t="n">
        <v>1.038240350806168</v>
      </c>
      <c r="D2261" t="n">
        <v>2.812046740052369</v>
      </c>
      <c r="F2261" t="n">
        <v>0.8795633507500225</v>
      </c>
      <c r="H2261" t="n">
        <v>1.537930268195414</v>
      </c>
    </row>
    <row r="2262">
      <c r="A2262" t="inlineStr">
        <is>
          <t>G|FICO x CHANNEL / SYS_FLAG|where N|gco_rate|band|1</t>
        </is>
      </c>
      <c r="B2262" t="n">
        <v>0.5860733945360893</v>
      </c>
      <c r="D2262" t="n">
        <v>2.949789911128721</v>
      </c>
      <c r="F2262" t="n">
        <v>0.4582245563988476</v>
      </c>
    </row>
    <row r="2263">
      <c r="A2263" t="inlineStr">
        <is>
          <t>G|FICO x CHANNEL / SYS_FLAG|where N|gco_rate|rate|2</t>
        </is>
      </c>
      <c r="B2263" t="n">
        <v>0.02970099079695886</v>
      </c>
      <c r="D2263" t="n">
        <v>0.03737148876027075</v>
      </c>
      <c r="F2263" t="n">
        <v>0.01961302687332925</v>
      </c>
      <c r="H2263" t="n">
        <v>0.02913136709315743</v>
      </c>
    </row>
    <row r="2264">
      <c r="A2264" t="inlineStr">
        <is>
          <t>G|FICO x CHANNEL / SYS_FLAG|where N|gco_rate|book|2</t>
        </is>
      </c>
      <c r="B2264" t="n">
        <v>0.7138757693046449</v>
      </c>
      <c r="D2264" t="n">
        <v>0.8982394045766933</v>
      </c>
      <c r="F2264" t="n">
        <v>0.4714073258803275</v>
      </c>
      <c r="H2264" t="n">
        <v>0.7001846247046121</v>
      </c>
    </row>
    <row r="2265">
      <c r="A2265" t="inlineStr">
        <is>
          <t>G|FICO x CHANNEL / SYS_FLAG|where N|gco_rate|band|2</t>
        </is>
      </c>
      <c r="B2265" t="n">
        <v>1.028473379968778</v>
      </c>
      <c r="D2265" t="n">
        <v>1.527415428618876</v>
      </c>
      <c r="F2265" t="n">
        <v>0.5794609046786873</v>
      </c>
    </row>
    <row r="2266">
      <c r="A2266" t="inlineStr">
        <is>
          <t>G|FICO x CHANNEL / SYS_FLAG|where N|gco_rate|rate|3</t>
        </is>
      </c>
      <c r="B2266" t="n">
        <v>0.02691725048729523</v>
      </c>
      <c r="D2266" t="n">
        <v>0.02262848139283763</v>
      </c>
      <c r="F2266" t="n">
        <v>0.0236069982955354</v>
      </c>
      <c r="H2266" t="n">
        <v>0.02442211605269864</v>
      </c>
    </row>
    <row r="2267">
      <c r="A2267" t="inlineStr">
        <is>
          <t>G|FICO x CHANNEL / SYS_FLAG|where N|gco_rate|book|3</t>
        </is>
      </c>
      <c r="B2267" t="n">
        <v>0.6469674035638983</v>
      </c>
      <c r="D2267" t="n">
        <v>0.5438850398270835</v>
      </c>
      <c r="F2267" t="n">
        <v>0.5674041039373116</v>
      </c>
      <c r="H2267" t="n">
        <v>0.586995801061044</v>
      </c>
    </row>
    <row r="2268">
      <c r="A2268" t="inlineStr">
        <is>
          <t>G|FICO x CHANNEL / SYS_FLAG|where N|gco_rate|band|3</t>
        </is>
      </c>
      <c r="B2268" t="n">
        <v>1.163810921627219</v>
      </c>
      <c r="D2268" t="n">
        <v>0.8953258005730408</v>
      </c>
      <c r="F2268" t="n">
        <v>0.9505300649409053</v>
      </c>
    </row>
    <row r="2269">
      <c r="A2269" t="inlineStr">
        <is>
          <t>G|FICO x CHANNEL / SYS_FLAG|where N|gco_rate|rate|4</t>
        </is>
      </c>
      <c r="B2269" t="n">
        <v>0.01506038913704331</v>
      </c>
      <c r="D2269" t="n">
        <v>0.02198945898126834</v>
      </c>
      <c r="F2269" t="n">
        <v>0.02908921838201917</v>
      </c>
      <c r="H2269" t="n">
        <v>0.02198043227016772</v>
      </c>
    </row>
    <row r="2270">
      <c r="A2270" t="inlineStr">
        <is>
          <t>G|FICO x CHANNEL / SYS_FLAG|where N|gco_rate|book|4</t>
        </is>
      </c>
      <c r="B2270" t="n">
        <v>0.3619827686803953</v>
      </c>
      <c r="F2270" t="n">
        <v>0.6991715627567897</v>
      </c>
      <c r="H2270" t="n">
        <v>0.5283089073958195</v>
      </c>
    </row>
    <row r="2271">
      <c r="A2271" t="inlineStr">
        <is>
          <t>G|FICO x CHANNEL / SYS_FLAG|where N|gco_rate|band|4</t>
        </is>
      </c>
      <c r="B2271" t="n">
        <v>0.5902944205173536</v>
      </c>
      <c r="F2271" t="n">
        <v>1.572267627531265</v>
      </c>
    </row>
    <row r="2272">
      <c r="A2272" t="inlineStr">
        <is>
          <t>G|FICO x CHANNEL / SYS_FLAG|where N|gco_rate|rate|5</t>
        </is>
      </c>
      <c r="B2272" t="n">
        <v>0.02067336794603068</v>
      </c>
      <c r="D2272" t="n">
        <v>0.01081308268443443</v>
      </c>
      <c r="F2272" t="n">
        <v>0.01271956349460758</v>
      </c>
      <c r="H2272" t="n">
        <v>0.01464447203535513</v>
      </c>
    </row>
    <row r="2273">
      <c r="A2273" t="inlineStr">
        <is>
          <t>G|FICO x CHANNEL / SYS_FLAG|where N|gco_rate|book|5</t>
        </is>
      </c>
      <c r="H2273" t="n">
        <v>0.3519860267210325</v>
      </c>
    </row>
    <row r="2274">
      <c r="A2274" t="inlineStr">
        <is>
          <t>G|FICO x CHANNEL / SYS_FLAG|where N|gco_rate|band|5</t>
        </is>
      </c>
    </row>
    <row r="2275">
      <c r="A2275" t="inlineStr">
        <is>
          <t>G|FICO x CHANNEL / SYS_FLAG|where N|gco_rate|rate|6</t>
        </is>
      </c>
    </row>
    <row r="2276">
      <c r="A2276" t="inlineStr">
        <is>
          <t>G|FICO x CHANNEL / SYS_FLAG|where N|gco_rate|book|6</t>
        </is>
      </c>
    </row>
    <row r="2277">
      <c r="A2277" t="inlineStr">
        <is>
          <t>G|FICO x CHANNEL / SYS_FLAG|where N|gco_rate|band|6</t>
        </is>
      </c>
    </row>
    <row r="2278">
      <c r="A2278" t="inlineStr">
        <is>
          <t>G|FICO x CHANNEL / SYS_FLAG|where N|gco_rate|rate|7</t>
        </is>
      </c>
      <c r="B2278" t="n">
        <v>0</v>
      </c>
      <c r="D2278" t="n">
        <v>0.02790195897030846</v>
      </c>
      <c r="F2278" t="n">
        <v>0</v>
      </c>
      <c r="H2278" t="n">
        <v>0.008334107450284619</v>
      </c>
    </row>
    <row r="2279">
      <c r="A2279" t="inlineStr">
        <is>
          <t>G|FICO x CHANNEL / SYS_FLAG|where N|gco_rate|book|7</t>
        </is>
      </c>
    </row>
    <row r="2280">
      <c r="A2280" t="inlineStr">
        <is>
          <t>G|FICO x CHANNEL / SYS_FLAG|where N|gco_rate|band|7</t>
        </is>
      </c>
    </row>
    <row r="2281">
      <c r="A2281" t="inlineStr">
        <is>
          <t>G|FICO x CHANNEL / SYS_FLAG|where N|gco_rate|rate|8</t>
        </is>
      </c>
      <c r="B2281" t="n">
        <v>0.02622043264014382</v>
      </c>
      <c r="D2281" t="n">
        <v>0.04061260621028653</v>
      </c>
      <c r="F2281" t="n">
        <v>0.0239758495628505</v>
      </c>
      <c r="H2281" t="n">
        <v>0.03024578450313006</v>
      </c>
    </row>
    <row r="2282">
      <c r="A2282" t="inlineStr">
        <is>
          <t>G|FICO x CHANNEL / SYS_FLAG|where N|gco_rate|book|8</t>
        </is>
      </c>
      <c r="B2282" t="n">
        <v>0.6302190943879177</v>
      </c>
      <c r="D2282" t="n">
        <v>0.9761410216929018</v>
      </c>
      <c r="F2282" t="n">
        <v>0.5762695988298429</v>
      </c>
      <c r="H2282" t="n">
        <v>0.7269701144988503</v>
      </c>
    </row>
    <row r="2283">
      <c r="A2283" t="inlineStr">
        <is>
          <t>G|FICO x CHANNEL / SYS_FLAG|where N|gco_rate|band|8</t>
        </is>
      </c>
    </row>
    <row r="2284">
      <c r="A2284" t="inlineStr">
        <is>
          <t>G|FICO x CHANNEL / SYS_FLAG|where N|gco_rate|meta</t>
        </is>
      </c>
      <c r="B2284" t="inlineStr">
        <is>
          <t>x</t>
        </is>
      </c>
      <c r="C2284" t="n">
        <v>2.949789911128721</v>
      </c>
      <c r="D2284" t="n">
        <v>10</v>
      </c>
      <c r="E2284" t="n">
        <v>0.04160526533333565</v>
      </c>
      <c r="F2284" t="n">
        <v>65</v>
      </c>
    </row>
    <row r="2285">
      <c r="A2285" t="inlineStr">
        <is>
          <t>G|FICO x CHANNEL / SYS_FLAG|where N|ranr_rate|rate|1</t>
        </is>
      </c>
      <c r="B2285" t="n">
        <v>0.2339664016596976</v>
      </c>
      <c r="D2285" t="n">
        <v>0.1614995387459972</v>
      </c>
      <c r="F2285" t="n">
        <v>0.2328439819088634</v>
      </c>
      <c r="H2285" t="n">
        <v>0.2107617244538728</v>
      </c>
    </row>
    <row r="2286">
      <c r="A2286" t="inlineStr">
        <is>
          <t>G|FICO x CHANNEL / SYS_FLAG|where N|ranr_rate|book|1</t>
        </is>
      </c>
      <c r="B2286" t="n">
        <v>10.597635201</v>
      </c>
      <c r="D2286" t="n">
        <v>3.35094891</v>
      </c>
      <c r="F2286" t="n">
        <v>10.485393226</v>
      </c>
      <c r="H2286" t="n">
        <v>8.277167480999999</v>
      </c>
    </row>
    <row r="2287">
      <c r="A2287" t="inlineStr">
        <is>
          <t>G|FICO x CHANNEL / SYS_FLAG|where N|ranr_rate|band|1</t>
        </is>
      </c>
      <c r="B2287" t="n">
        <v>3.405212225</v>
      </c>
      <c r="D2287" t="n">
        <v>-7.186605653</v>
      </c>
      <c r="F2287" t="n">
        <v>3.488056823</v>
      </c>
    </row>
    <row r="2288">
      <c r="A2288" t="inlineStr">
        <is>
          <t>G|FICO x CHANNEL / SYS_FLAG|where N|ranr_rate|rate|2</t>
        </is>
      </c>
      <c r="B2288" t="n">
        <v>0.169913038378118</v>
      </c>
      <c r="D2288" t="n">
        <v>0.1664321553512761</v>
      </c>
      <c r="F2288" t="n">
        <v>0.2075501460230495</v>
      </c>
      <c r="H2288" t="n">
        <v>0.1811238843240996</v>
      </c>
    </row>
    <row r="2289">
      <c r="A2289" t="inlineStr">
        <is>
          <t>G|FICO x CHANNEL / SYS_FLAG|where N|ranr_rate|book|2</t>
        </is>
      </c>
      <c r="B2289" t="n">
        <v>4.192298873</v>
      </c>
      <c r="D2289" t="n">
        <v>3.84421057</v>
      </c>
      <c r="F2289" t="n">
        <v>7.956009637</v>
      </c>
      <c r="H2289" t="n">
        <v>5.313383468</v>
      </c>
    </row>
    <row r="2290">
      <c r="A2290" t="inlineStr">
        <is>
          <t>G|FICO x CHANNEL / SYS_FLAG|where N|ranr_rate|band|2</t>
        </is>
      </c>
      <c r="B2290" t="n">
        <v>-1.618330566</v>
      </c>
      <c r="D2290" t="n">
        <v>-2.300781306</v>
      </c>
      <c r="F2290" t="n">
        <v>3.951858327</v>
      </c>
    </row>
    <row r="2291">
      <c r="A2291" t="inlineStr">
        <is>
          <t>G|FICO x CHANNEL / SYS_FLAG|where N|ranr_rate|rate|3</t>
        </is>
      </c>
      <c r="B2291" t="n">
        <v>0.1281026202552597</v>
      </c>
      <c r="D2291" t="n">
        <v>0.1396611030012643</v>
      </c>
      <c r="F2291" t="n">
        <v>0.1948979666056128</v>
      </c>
      <c r="H2291" t="n">
        <v>0.1543050177520467</v>
      </c>
    </row>
    <row r="2292">
      <c r="A2292" t="inlineStr">
        <is>
          <t>G|FICO x CHANNEL / SYS_FLAG|where N|ranr_rate|book|3</t>
        </is>
      </c>
      <c r="B2292" t="n">
        <v>0.011257061</v>
      </c>
      <c r="D2292" t="n">
        <v>1.167105335</v>
      </c>
      <c r="F2292" t="n">
        <v>6.690791696</v>
      </c>
      <c r="H2292" t="n">
        <v>2.63149681</v>
      </c>
    </row>
    <row r="2293">
      <c r="A2293" t="inlineStr">
        <is>
          <t>G|FICO x CHANNEL / SYS_FLAG|where N|ranr_rate|band|3</t>
        </is>
      </c>
      <c r="B2293" t="n">
        <v>-3.978672592</v>
      </c>
      <c r="D2293" t="n">
        <v>-2.159917494</v>
      </c>
      <c r="F2293" t="n">
        <v>6.11852161</v>
      </c>
    </row>
    <row r="2294">
      <c r="A2294" t="inlineStr">
        <is>
          <t>G|FICO x CHANNEL / SYS_FLAG|where N|ranr_rate|rate|4</t>
        </is>
      </c>
      <c r="B2294" t="n">
        <v>0.0943049164055508</v>
      </c>
      <c r="D2294" t="n">
        <v>0.08741398711430745</v>
      </c>
      <c r="F2294" t="n">
        <v>0.1256660315638293</v>
      </c>
      <c r="H2294" t="n">
        <v>0.1023005624670756</v>
      </c>
    </row>
    <row r="2295">
      <c r="A2295" t="inlineStr">
        <is>
          <t>G|FICO x CHANNEL / SYS_FLAG|where N|ranr_rate|book|4</t>
        </is>
      </c>
      <c r="B2295" t="n">
        <v>-3.368513324</v>
      </c>
      <c r="D2295" t="n">
        <v>-4.057606253</v>
      </c>
      <c r="F2295" t="n">
        <v>-0.232401808</v>
      </c>
      <c r="H2295" t="n">
        <v>-2.568948718</v>
      </c>
    </row>
    <row r="2296">
      <c r="A2296" t="inlineStr">
        <is>
          <t>G|FICO x CHANNEL / SYS_FLAG|where N|ranr_rate|band|4</t>
        </is>
      </c>
      <c r="B2296" t="n">
        <v>-1.209508023</v>
      </c>
      <c r="D2296" t="n">
        <v>-2.231711999</v>
      </c>
      <c r="F2296" t="n">
        <v>3.477590716</v>
      </c>
    </row>
    <row r="2297">
      <c r="A2297" t="inlineStr">
        <is>
          <t>G|FICO x CHANNEL / SYS_FLAG|where N|ranr_rate|rate|5</t>
        </is>
      </c>
      <c r="B2297" t="n">
        <v>0.04741689160388554</v>
      </c>
      <c r="D2297" t="n">
        <v>0.05699302560560132</v>
      </c>
      <c r="F2297" t="n">
        <v>0.05243045064662431</v>
      </c>
      <c r="H2297" t="n">
        <v>0.05234997022076705</v>
      </c>
    </row>
    <row r="2298">
      <c r="A2298" t="inlineStr">
        <is>
          <t>G|FICO x CHANNEL / SYS_FLAG|where N|ranr_rate|book|5</t>
        </is>
      </c>
      <c r="B2298" t="n">
        <v>-8.057315804</v>
      </c>
      <c r="D2298" t="n">
        <v>-7.099702404</v>
      </c>
      <c r="F2298" t="n">
        <v>-7.5559599</v>
      </c>
      <c r="H2298" t="n">
        <v>-7.564007943</v>
      </c>
    </row>
    <row r="2299">
      <c r="A2299" t="inlineStr">
        <is>
          <t>G|FICO x CHANNEL / SYS_FLAG|where N|ranr_rate|band|5</t>
        </is>
      </c>
      <c r="B2299" t="n">
        <v>-0.728458393</v>
      </c>
      <c r="D2299" t="n">
        <v>0.700388113</v>
      </c>
      <c r="F2299" t="n">
        <v>0.012196228</v>
      </c>
    </row>
    <row r="2300">
      <c r="A2300" t="inlineStr">
        <is>
          <t>G|FICO x CHANNEL / SYS_FLAG|where N|ranr_rate|rate|6</t>
        </is>
      </c>
    </row>
    <row r="2301">
      <c r="A2301" t="inlineStr">
        <is>
          <t>G|FICO x CHANNEL / SYS_FLAG|where N|ranr_rate|book|6</t>
        </is>
      </c>
    </row>
    <row r="2302">
      <c r="A2302" t="inlineStr">
        <is>
          <t>G|FICO x CHANNEL / SYS_FLAG|where N|ranr_rate|band|6</t>
        </is>
      </c>
    </row>
    <row r="2303">
      <c r="A2303" t="inlineStr">
        <is>
          <t>G|FICO x CHANNEL / SYS_FLAG|where N|ranr_rate|rate|7</t>
        </is>
      </c>
      <c r="B2303" t="n">
        <v>0.1550315661198207</v>
      </c>
      <c r="D2303" t="n">
        <v>0.1539214881301053</v>
      </c>
      <c r="F2303" t="n">
        <v>0.229985150313889</v>
      </c>
      <c r="H2303" t="n">
        <v>0.1804053356286097</v>
      </c>
    </row>
    <row r="2304">
      <c r="A2304" t="inlineStr">
        <is>
          <t>G|FICO x CHANNEL / SYS_FLAG|where N|ranr_rate|book|7</t>
        </is>
      </c>
      <c r="B2304" t="n">
        <v>2.704151647</v>
      </c>
      <c r="D2304" t="n">
        <v>2.593143848</v>
      </c>
      <c r="F2304" t="n">
        <v>10.199510067</v>
      </c>
      <c r="H2304" t="n">
        <v>5.241528598</v>
      </c>
    </row>
    <row r="2305">
      <c r="A2305" t="inlineStr">
        <is>
          <t>G|FICO x CHANNEL / SYS_FLAG|where N|ranr_rate|band|7</t>
        </is>
      </c>
      <c r="B2305" t="n">
        <v>-3.954501469</v>
      </c>
      <c r="D2305" t="n">
        <v>-3.7763534</v>
      </c>
      <c r="F2305" t="n">
        <v>7.545822174</v>
      </c>
    </row>
    <row r="2306">
      <c r="A2306" t="inlineStr">
        <is>
          <t>G|FICO x CHANNEL / SYS_FLAG|where N|ranr_rate|rate|8</t>
        </is>
      </c>
      <c r="B2306" t="n">
        <v>0.1332692091964859</v>
      </c>
      <c r="D2306" t="n">
        <v>0.1222096812820414</v>
      </c>
      <c r="F2306" t="n">
        <v>0.1640539804937369</v>
      </c>
      <c r="H2306" t="n">
        <v>0.1400760724959788</v>
      </c>
    </row>
    <row r="2307">
      <c r="A2307" t="inlineStr">
        <is>
          <t>G|FICO x CHANNEL / SYS_FLAG|where N|ranr_rate|book|8</t>
        </is>
      </c>
      <c r="B2307" t="n">
        <v>0.527915955</v>
      </c>
      <c r="D2307" t="n">
        <v>-0.578036837</v>
      </c>
      <c r="F2307" t="n">
        <v>3.606393085</v>
      </c>
      <c r="H2307" t="n">
        <v>1.208602285</v>
      </c>
    </row>
    <row r="2308">
      <c r="A2308" t="inlineStr">
        <is>
          <t>G|FICO x CHANNEL / SYS_FLAG|where N|ranr_rate|band|8</t>
        </is>
      </c>
    </row>
    <row r="2309">
      <c r="A2309" t="inlineStr">
        <is>
          <t>G|FICO x CHANNEL / SYS_FLAG|where N|ranr_rate|meta</t>
        </is>
      </c>
      <c r="B2309" t="inlineStr">
        <is>
          <t>pts</t>
        </is>
      </c>
      <c r="C2309" t="n">
        <v>10.597635201</v>
      </c>
      <c r="D2309" t="n">
        <v>10</v>
      </c>
      <c r="E2309" t="n">
        <v>0.1279900496481481</v>
      </c>
      <c r="F2309" t="n">
        <v>65</v>
      </c>
    </row>
    <row r="2310">
      <c r="A2310" t="inlineStr">
        <is>
          <t>G|FICO x CHANNEL / SYS_FLAG|where N|contribution_rate|rate|1</t>
        </is>
      </c>
      <c r="B2310" t="n">
        <v>0.2771626669347637</v>
      </c>
      <c r="D2310" t="n">
        <v>0.2784954894956177</v>
      </c>
      <c r="F2310" t="n">
        <v>0.2694384484942957</v>
      </c>
      <c r="H2310" t="n">
        <v>0.274747721326311</v>
      </c>
    </row>
    <row r="2311">
      <c r="A2311" t="inlineStr">
        <is>
          <t>G|FICO x CHANNEL / SYS_FLAG|where N|contribution_rate|book|1</t>
        </is>
      </c>
      <c r="B2311" t="n">
        <v>10.75702112</v>
      </c>
      <c r="D2311" t="n">
        <v>10.890303376</v>
      </c>
      <c r="F2311" t="n">
        <v>9.984599276000001</v>
      </c>
      <c r="H2311" t="n">
        <v>10.515526559</v>
      </c>
    </row>
    <row r="2312">
      <c r="A2312" t="inlineStr">
        <is>
          <t>G|FICO x CHANNEL / SYS_FLAG|where N|contribution_rate|band|1</t>
        </is>
      </c>
      <c r="B2312" t="n">
        <v>0.354385551</v>
      </c>
      <c r="D2312" t="n">
        <v>0.546742527</v>
      </c>
      <c r="F2312" t="n">
        <v>-0.838639137</v>
      </c>
    </row>
    <row r="2313">
      <c r="A2313" t="inlineStr">
        <is>
          <t>G|FICO x CHANNEL / SYS_FLAG|where N|contribution_rate|rate|2</t>
        </is>
      </c>
      <c r="B2313" t="n">
        <v>0.1996140291750769</v>
      </c>
      <c r="D2313" t="n">
        <v>0.2038036441115468</v>
      </c>
      <c r="F2313" t="n">
        <v>0.2271631728963787</v>
      </c>
      <c r="H2313" t="n">
        <v>0.210255251417257</v>
      </c>
    </row>
    <row r="2314">
      <c r="A2314" t="inlineStr">
        <is>
          <t>G|FICO x CHANNEL / SYS_FLAG|where N|contribution_rate|book|2</t>
        </is>
      </c>
      <c r="B2314" t="n">
        <v>3.002157344</v>
      </c>
      <c r="D2314" t="n">
        <v>3.421118838</v>
      </c>
      <c r="F2314" t="n">
        <v>5.757071716</v>
      </c>
      <c r="H2314" t="n">
        <v>4.066279568</v>
      </c>
    </row>
    <row r="2315">
      <c r="A2315" t="inlineStr">
        <is>
          <t>G|FICO x CHANNEL / SYS_FLAG|where N|contribution_rate|band|2</t>
        </is>
      </c>
      <c r="B2315" t="n">
        <v>-1.536103101</v>
      </c>
      <c r="D2315" t="n">
        <v>-1.010346536</v>
      </c>
      <c r="F2315" t="n">
        <v>2.528458662</v>
      </c>
    </row>
    <row r="2316">
      <c r="A2316" t="inlineStr">
        <is>
          <t>G|FICO x CHANNEL / SYS_FLAG|where N|contribution_rate|rate|3</t>
        </is>
      </c>
      <c r="B2316" t="n">
        <v>0.155019870742555</v>
      </c>
      <c r="D2316" t="n">
        <v>0.1622895843941019</v>
      </c>
      <c r="F2316" t="n">
        <v>0.2185049649011482</v>
      </c>
      <c r="H2316" t="n">
        <v>0.1787271338047453</v>
      </c>
    </row>
    <row r="2317">
      <c r="A2317" t="inlineStr">
        <is>
          <t>G|FICO x CHANNEL / SYS_FLAG|where N|contribution_rate|book|3</t>
        </is>
      </c>
      <c r="B2317" t="n">
        <v>-1.457258499</v>
      </c>
      <c r="D2317" t="n">
        <v>-0.730287134</v>
      </c>
      <c r="F2317" t="n">
        <v>4.891250917</v>
      </c>
      <c r="H2317" t="n">
        <v>0.913467807</v>
      </c>
    </row>
    <row r="2318">
      <c r="A2318" t="inlineStr">
        <is>
          <t>G|FICO x CHANNEL / SYS_FLAG|where N|contribution_rate|band|3</t>
        </is>
      </c>
      <c r="B2318" t="n">
        <v>-3.599801804</v>
      </c>
      <c r="D2318" t="n">
        <v>-2.424471265</v>
      </c>
      <c r="F2318" t="n">
        <v>5.995659986</v>
      </c>
    </row>
    <row r="2319">
      <c r="A2319" t="inlineStr">
        <is>
          <t>G|FICO x CHANNEL / SYS_FLAG|where N|contribution_rate|rate|4</t>
        </is>
      </c>
      <c r="B2319" t="n">
        <v>0.1091426988572596</v>
      </c>
      <c r="D2319" t="n">
        <v>0.1094034460955758</v>
      </c>
      <c r="F2319" t="n">
        <v>0.1547552499458483</v>
      </c>
      <c r="H2319" t="n">
        <v>0.1242172651261385</v>
      </c>
    </row>
    <row r="2320">
      <c r="A2320" t="inlineStr">
        <is>
          <t>G|FICO x CHANNEL / SYS_FLAG|where N|contribution_rate|book|4</t>
        </is>
      </c>
      <c r="B2320" t="n">
        <v>-6.044975688</v>
      </c>
      <c r="D2320" t="n">
        <v>-6.018900964</v>
      </c>
      <c r="F2320" t="n">
        <v>-1.483720579</v>
      </c>
      <c r="H2320" t="n">
        <v>-4.537519061</v>
      </c>
    </row>
    <row r="2321">
      <c r="A2321" t="inlineStr">
        <is>
          <t>G|FICO x CHANNEL / SYS_FLAG|where N|contribution_rate|band|4</t>
        </is>
      </c>
      <c r="B2321" t="n">
        <v>-2.277064945</v>
      </c>
      <c r="D2321" t="n">
        <v>-2.222401314</v>
      </c>
      <c r="F2321" t="n">
        <v>4.548306112</v>
      </c>
    </row>
    <row r="2322">
      <c r="A2322" t="inlineStr">
        <is>
          <t>G|FICO x CHANNEL / SYS_FLAG|where N|contribution_rate|rate|5</t>
        </is>
      </c>
      <c r="B2322" t="n">
        <v>0.06809025954991622</v>
      </c>
      <c r="D2322" t="n">
        <v>0.06780610829003578</v>
      </c>
      <c r="F2322" t="n">
        <v>0.06515001414123189</v>
      </c>
      <c r="H2322" t="n">
        <v>0.06699444225612218</v>
      </c>
    </row>
    <row r="2323">
      <c r="A2323" t="inlineStr">
        <is>
          <t>G|FICO x CHANNEL / SYS_FLAG|where N|contribution_rate|book|5</t>
        </is>
      </c>
      <c r="B2323" t="n">
        <v>-10.150219619</v>
      </c>
      <c r="D2323" t="n">
        <v>-10.178634744</v>
      </c>
      <c r="F2323" t="n">
        <v>-10.444244159</v>
      </c>
      <c r="H2323" t="n">
        <v>-10.259801348</v>
      </c>
    </row>
    <row r="2324">
      <c r="A2324" t="inlineStr">
        <is>
          <t>G|FICO x CHANNEL / SYS_FLAG|where N|contribution_rate|band|5</t>
        </is>
      </c>
      <c r="B2324" t="n">
        <v>0.161817268</v>
      </c>
      <c r="D2324" t="n">
        <v>0.122436886</v>
      </c>
      <c r="F2324" t="n">
        <v>-0.279509775</v>
      </c>
    </row>
    <row r="2325">
      <c r="A2325" t="inlineStr">
        <is>
          <t>G|FICO x CHANNEL / SYS_FLAG|where N|contribution_rate|rate|6</t>
        </is>
      </c>
    </row>
    <row r="2326">
      <c r="A2326" t="inlineStr">
        <is>
          <t>G|FICO x CHANNEL / SYS_FLAG|where N|contribution_rate|book|6</t>
        </is>
      </c>
    </row>
    <row r="2327">
      <c r="A2327" t="inlineStr">
        <is>
          <t>G|FICO x CHANNEL / SYS_FLAG|where N|contribution_rate|band|6</t>
        </is>
      </c>
    </row>
    <row r="2328">
      <c r="A2328" t="inlineStr">
        <is>
          <t>G|FICO x CHANNEL / SYS_FLAG|where N|contribution_rate|rate|7</t>
        </is>
      </c>
      <c r="B2328" t="n">
        <v>0.1550315661198207</v>
      </c>
      <c r="D2328" t="n">
        <v>0.1818234471004137</v>
      </c>
      <c r="F2328" t="n">
        <v>0.229985150313889</v>
      </c>
      <c r="H2328" t="n">
        <v>0.1887394430788944</v>
      </c>
    </row>
    <row r="2329">
      <c r="A2329" t="inlineStr">
        <is>
          <t>G|FICO x CHANNEL / SYS_FLAG|where N|contribution_rate|book|7</t>
        </is>
      </c>
      <c r="B2329" t="n">
        <v>-1.456088962</v>
      </c>
      <c r="D2329" t="n">
        <v>1.223099137</v>
      </c>
      <c r="F2329" t="n">
        <v>6.039269458</v>
      </c>
      <c r="H2329" t="n">
        <v>1.914698734</v>
      </c>
    </row>
    <row r="2330">
      <c r="A2330" t="inlineStr">
        <is>
          <t>G|FICO x CHANNEL / SYS_FLAG|where N|contribution_rate|band|7</t>
        </is>
      </c>
      <c r="B2330" t="n">
        <v>-5.253371948</v>
      </c>
      <c r="D2330" t="n">
        <v>-0.986157503</v>
      </c>
      <c r="F2330" t="n">
        <v>6.277408946</v>
      </c>
    </row>
    <row r="2331">
      <c r="A2331" t="inlineStr">
        <is>
          <t>G|FICO x CHANNEL / SYS_FLAG|where N|contribution_rate|rate|8</t>
        </is>
      </c>
      <c r="B2331" t="n">
        <v>0.159477974501621</v>
      </c>
      <c r="D2331" t="n">
        <v>0.1628222874923279</v>
      </c>
      <c r="F2331" t="n">
        <v>0.1880298300565874</v>
      </c>
      <c r="H2331" t="n">
        <v>0.1703199959681274</v>
      </c>
    </row>
    <row r="2332">
      <c r="A2332" t="inlineStr">
        <is>
          <t>G|FICO x CHANNEL / SYS_FLAG|where N|contribution_rate|book|8</t>
        </is>
      </c>
      <c r="B2332" t="n">
        <v>-1.011448123</v>
      </c>
      <c r="D2332" t="n">
        <v>-0.677016824</v>
      </c>
      <c r="F2332" t="n">
        <v>1.843737432</v>
      </c>
      <c r="H2332" t="n">
        <v>0.072754023</v>
      </c>
    </row>
    <row r="2333">
      <c r="A2333" t="inlineStr">
        <is>
          <t>G|FICO x CHANNEL / SYS_FLAG|where N|contribution_rate|band|8</t>
        </is>
      </c>
    </row>
    <row r="2334">
      <c r="A2334" t="inlineStr">
        <is>
          <t>G|FICO x CHANNEL / SYS_FLAG|where N|contribution_rate|meta</t>
        </is>
      </c>
      <c r="B2334" t="inlineStr">
        <is>
          <t>pts</t>
        </is>
      </c>
      <c r="C2334" t="n">
        <v>10.890303376</v>
      </c>
      <c r="D2334" t="n">
        <v>10</v>
      </c>
      <c r="E2334" t="n">
        <v>0.1695924557349815</v>
      </c>
      <c r="F2334" t="n">
        <v>65</v>
      </c>
    </row>
    <row r="2335">
      <c r="A2335" t="inlineStr">
        <is>
          <t>G|FICO x CHANNEL / SYS_FLAG|where N|loan_size|rate|1</t>
        </is>
      </c>
      <c r="B2335" t="n">
        <v>31796.94051660517</v>
      </c>
      <c r="D2335" t="n">
        <v>32976.96220930233</v>
      </c>
      <c r="F2335" t="n">
        <v>32541.72806557377</v>
      </c>
      <c r="H2335" t="n">
        <v>32434.35754196643</v>
      </c>
    </row>
    <row r="2336">
      <c r="A2336" t="inlineStr">
        <is>
          <t>G|FICO x CHANNEL / SYS_FLAG|where N|loan_size|median|1</t>
        </is>
      </c>
      <c r="B2336" t="n">
        <v>30132.9</v>
      </c>
      <c r="D2336" t="n">
        <v>32234.175</v>
      </c>
      <c r="F2336" t="n">
        <v>33158.86</v>
      </c>
      <c r="H2336" t="n">
        <v>31951.38</v>
      </c>
    </row>
    <row r="2337">
      <c r="A2337" t="inlineStr">
        <is>
          <t>G|FICO x CHANNEL / SYS_FLAG|where N|loan_size|book|1</t>
        </is>
      </c>
      <c r="B2337" t="n">
        <v>0.985566934296019</v>
      </c>
      <c r="D2337" t="n">
        <v>1.022142477199809</v>
      </c>
      <c r="F2337" t="n">
        <v>1.008652110712772</v>
      </c>
      <c r="H2337" t="n">
        <v>1.005324091222023</v>
      </c>
    </row>
    <row r="2338">
      <c r="A2338" t="inlineStr">
        <is>
          <t>G|FICO x CHANNEL / SYS_FLAG|where N|loan_size|band|1</t>
        </is>
      </c>
      <c r="B2338" t="n">
        <v>0.9711605474612927</v>
      </c>
      <c r="D2338" t="n">
        <v>1.024405536712663</v>
      </c>
      <c r="F2338" t="n">
        <v>1.005229014588342</v>
      </c>
    </row>
    <row r="2339">
      <c r="A2339" t="inlineStr">
        <is>
          <t>G|FICO x CHANNEL / SYS_FLAG|where N|loan_size|rate|2</t>
        </is>
      </c>
      <c r="B2339" t="n">
        <v>32383.70325301205</v>
      </c>
      <c r="D2339" t="n">
        <v>33050.91268292683</v>
      </c>
      <c r="F2339" t="n">
        <v>32321.0036802974</v>
      </c>
      <c r="H2339" t="n">
        <v>32600.62613664596</v>
      </c>
    </row>
    <row r="2340">
      <c r="A2340" t="inlineStr">
        <is>
          <t>G|FICO x CHANNEL / SYS_FLAG|where N|loan_size|median|2</t>
        </is>
      </c>
      <c r="B2340" t="n">
        <v>33060.93</v>
      </c>
      <c r="D2340" t="n">
        <v>34004.87</v>
      </c>
      <c r="F2340" t="n">
        <v>31585.87</v>
      </c>
      <c r="H2340" t="n">
        <v>33094.18</v>
      </c>
    </row>
    <row r="2341">
      <c r="A2341" t="inlineStr">
        <is>
          <t>G|FICO x CHANNEL / SYS_FLAG|where N|loan_size|book|2</t>
        </is>
      </c>
      <c r="B2341" t="n">
        <v>1.003754028459298</v>
      </c>
      <c r="D2341" t="n">
        <v>1.024434620418486</v>
      </c>
      <c r="F2341" t="n">
        <v>1.001810614261011</v>
      </c>
      <c r="H2341" t="n">
        <v>1.01047769488532</v>
      </c>
    </row>
    <row r="2342">
      <c r="A2342" t="inlineStr">
        <is>
          <t>G|FICO x CHANNEL / SYS_FLAG|where N|loan_size|band|2</t>
        </is>
      </c>
      <c r="B2342" t="n">
        <v>0.9903947586910431</v>
      </c>
      <c r="D2342" t="n">
        <v>1.021630445380186</v>
      </c>
      <c r="F2342" t="n">
        <v>0.9871733944143825</v>
      </c>
    </row>
    <row r="2343">
      <c r="A2343" t="inlineStr">
        <is>
          <t>G|FICO x CHANNEL / SYS_FLAG|where N|loan_size|rate|3</t>
        </is>
      </c>
      <c r="B2343" t="n">
        <v>33035.83674999999</v>
      </c>
      <c r="D2343" t="n">
        <v>32192.17354243542</v>
      </c>
      <c r="F2343" t="n">
        <v>30700.43932659933</v>
      </c>
      <c r="H2343" t="n">
        <v>31948.28278301887</v>
      </c>
    </row>
    <row r="2344">
      <c r="A2344" t="inlineStr">
        <is>
          <t>G|FICO x CHANNEL / SYS_FLAG|where N|loan_size|median|3</t>
        </is>
      </c>
      <c r="B2344" t="n">
        <v>33818.765</v>
      </c>
      <c r="D2344" t="n">
        <v>31941.63</v>
      </c>
      <c r="F2344" t="n">
        <v>28911.33</v>
      </c>
      <c r="H2344" t="n">
        <v>31000.41</v>
      </c>
    </row>
    <row r="2345">
      <c r="A2345" t="inlineStr">
        <is>
          <t>G|FICO x CHANNEL / SYS_FLAG|where N|loan_size|book|3</t>
        </is>
      </c>
      <c r="B2345" t="n">
        <v>1.023967332033033</v>
      </c>
      <c r="D2345" t="n">
        <v>0.997817440013594</v>
      </c>
      <c r="F2345" t="n">
        <v>0.9515801639109362</v>
      </c>
      <c r="H2345" t="n">
        <v>0.9902578866680205</v>
      </c>
    </row>
    <row r="2346">
      <c r="A2346" t="inlineStr">
        <is>
          <t>G|FICO x CHANNEL / SYS_FLAG|where N|loan_size|band|3</t>
        </is>
      </c>
      <c r="B2346" t="n">
        <v>1.051689278304401</v>
      </c>
      <c r="D2346" t="n">
        <v>1.01125972532082</v>
      </c>
      <c r="F2346" t="n">
        <v>0.941128041633835</v>
      </c>
    </row>
    <row r="2347">
      <c r="A2347" t="inlineStr">
        <is>
          <t>G|FICO x CHANNEL / SYS_FLAG|where N|loan_size|rate|4</t>
        </is>
      </c>
      <c r="B2347" t="n">
        <v>30485.35954397394</v>
      </c>
      <c r="D2347" t="n">
        <v>31593.95852233677</v>
      </c>
      <c r="F2347" t="n">
        <v>31679.06468531469</v>
      </c>
      <c r="H2347" t="n">
        <v>31236.49299773755</v>
      </c>
    </row>
    <row r="2348">
      <c r="A2348" t="inlineStr">
        <is>
          <t>G|FICO x CHANNEL / SYS_FLAG|where N|loan_size|median|4</t>
        </is>
      </c>
      <c r="B2348" t="n">
        <v>29347.76</v>
      </c>
      <c r="D2348" t="n">
        <v>30925.17</v>
      </c>
      <c r="F2348" t="n">
        <v>30466.17</v>
      </c>
      <c r="H2348" t="n">
        <v>30298.59</v>
      </c>
    </row>
    <row r="2349">
      <c r="A2349" t="inlineStr">
        <is>
          <t>G|FICO x CHANNEL / SYS_FLAG|where N|loan_size|book|4</t>
        </is>
      </c>
      <c r="B2349" t="n">
        <v>0.944913625604194</v>
      </c>
      <c r="D2349" t="n">
        <v>0.9792753748390981</v>
      </c>
      <c r="F2349" t="n">
        <v>0.9819132959338034</v>
      </c>
      <c r="H2349" t="n">
        <v>0.9681954974838606</v>
      </c>
    </row>
    <row r="2350">
      <c r="A2350" t="inlineStr">
        <is>
          <t>G|FICO x CHANNEL / SYS_FLAG|where N|loan_size|band|4</t>
        </is>
      </c>
      <c r="B2350" t="n">
        <v>0.9636244114602963</v>
      </c>
      <c r="D2350" t="n">
        <v>1.017155968608679</v>
      </c>
      <c r="F2350" t="n">
        <v>1.021087511004702</v>
      </c>
    </row>
    <row r="2351">
      <c r="A2351" t="inlineStr">
        <is>
          <t>G|FICO x CHANNEL / SYS_FLAG|where N|loan_size|rate|5</t>
        </is>
      </c>
      <c r="B2351" t="n">
        <v>32271.98100358423</v>
      </c>
      <c r="D2351" t="n">
        <v>31444.34795986622</v>
      </c>
      <c r="F2351" t="n">
        <v>32489.15284246576</v>
      </c>
      <c r="H2351" t="n">
        <v>32060.43145977012</v>
      </c>
    </row>
    <row r="2352">
      <c r="A2352" t="inlineStr">
        <is>
          <t>G|FICO x CHANNEL / SYS_FLAG|where N|loan_size|median|5</t>
        </is>
      </c>
      <c r="B2352" t="n">
        <v>31469.9</v>
      </c>
      <c r="D2352" t="n">
        <v>30854.9</v>
      </c>
      <c r="F2352" t="n">
        <v>32291.67</v>
      </c>
      <c r="H2352" t="n">
        <v>31425.52</v>
      </c>
    </row>
    <row r="2353">
      <c r="A2353" t="inlineStr">
        <is>
          <t>G|FICO x CHANNEL / SYS_FLAG|where N|loan_size|book|5</t>
        </is>
      </c>
      <c r="B2353" t="n">
        <v>1.000291124385123</v>
      </c>
      <c r="D2353" t="n">
        <v>0.9746380977615943</v>
      </c>
      <c r="F2353" t="n">
        <v>1.00702250734161</v>
      </c>
      <c r="H2353" t="n">
        <v>0.9937340081355359</v>
      </c>
    </row>
    <row r="2354">
      <c r="A2354" t="inlineStr">
        <is>
          <t>G|FICO x CHANNEL / SYS_FLAG|where N|loan_size|band|5</t>
        </is>
      </c>
      <c r="B2354" t="n">
        <v>1.009743824325682</v>
      </c>
      <c r="D2354" t="n">
        <v>0.971012876714035</v>
      </c>
      <c r="F2354" t="n">
        <v>1.020264740641768</v>
      </c>
    </row>
    <row r="2355">
      <c r="A2355" t="inlineStr">
        <is>
          <t>G|FICO x CHANNEL / SYS_FLAG|where N|loan_size|rate|6</t>
        </is>
      </c>
    </row>
    <row r="2356">
      <c r="A2356" t="inlineStr">
        <is>
          <t>G|FICO x CHANNEL / SYS_FLAG|where N|loan_size|median|6</t>
        </is>
      </c>
    </row>
    <row r="2357">
      <c r="A2357" t="inlineStr">
        <is>
          <t>G|FICO x CHANNEL / SYS_FLAG|where N|loan_size|book|6</t>
        </is>
      </c>
    </row>
    <row r="2358">
      <c r="A2358" t="inlineStr">
        <is>
          <t>G|FICO x CHANNEL / SYS_FLAG|where N|loan_size|band|6</t>
        </is>
      </c>
    </row>
    <row r="2359">
      <c r="A2359" t="inlineStr">
        <is>
          <t>G|FICO x CHANNEL / SYS_FLAG|where N|loan_size|rate|7</t>
        </is>
      </c>
      <c r="B2359" t="n">
        <v>35300.61517241379</v>
      </c>
      <c r="D2359" t="n">
        <v>29423.23379310345</v>
      </c>
      <c r="F2359" t="n">
        <v>32656.807</v>
      </c>
      <c r="H2359" t="n">
        <v>32462.45261363636</v>
      </c>
    </row>
    <row r="2360">
      <c r="A2360" t="inlineStr">
        <is>
          <t>G|FICO x CHANNEL / SYS_FLAG|where N|loan_size|median|7</t>
        </is>
      </c>
      <c r="B2360" t="n">
        <v>33165.97</v>
      </c>
      <c r="D2360" t="n">
        <v>27433.47</v>
      </c>
      <c r="F2360" t="n">
        <v>33919.78</v>
      </c>
      <c r="H2360" t="n">
        <v>31235.955</v>
      </c>
    </row>
    <row r="2361">
      <c r="A2361" t="inlineStr">
        <is>
          <t>G|FICO x CHANNEL / SYS_FLAG|where N|loan_size|book|7</t>
        </is>
      </c>
      <c r="B2361" t="n">
        <v>1.094165618106264</v>
      </c>
      <c r="D2361" t="n">
        <v>0.9119923444018209</v>
      </c>
      <c r="F2361" t="n">
        <v>1.012219057430343</v>
      </c>
      <c r="H2361" t="n">
        <v>1.006194916314145</v>
      </c>
    </row>
    <row r="2362">
      <c r="A2362" t="inlineStr">
        <is>
          <t>G|FICO x CHANNEL / SYS_FLAG|where N|loan_size|band|7</t>
        </is>
      </c>
      <c r="B2362" t="n">
        <v>1.136258212883622</v>
      </c>
      <c r="D2362" t="n">
        <v>0.866502788962068</v>
      </c>
      <c r="F2362" t="n">
        <v>1.009112020436191</v>
      </c>
    </row>
    <row r="2363">
      <c r="A2363" t="inlineStr">
        <is>
          <t>G|FICO x CHANNEL / SYS_FLAG|where N|loan_size|rate|8</t>
        </is>
      </c>
      <c r="B2363" t="n">
        <v>32026.25667844523</v>
      </c>
      <c r="D2363" t="n">
        <v>32171.93238327526</v>
      </c>
      <c r="F2363" t="n">
        <v>31956.96881000676</v>
      </c>
      <c r="H2363" t="n">
        <v>32050.87388311388</v>
      </c>
    </row>
    <row r="2364">
      <c r="A2364" t="inlineStr">
        <is>
          <t>G|FICO x CHANNEL / SYS_FLAG|where N|loan_size|median|8</t>
        </is>
      </c>
      <c r="B2364" t="n">
        <v>31141.73</v>
      </c>
      <c r="D2364" t="n">
        <v>31928.12</v>
      </c>
      <c r="F2364" t="n">
        <v>31263.76</v>
      </c>
      <c r="H2364" t="n">
        <v>31561.19</v>
      </c>
    </row>
    <row r="2365">
      <c r="A2365" t="inlineStr">
        <is>
          <t>G|FICO x CHANNEL / SYS_FLAG|where N|loan_size|book|8</t>
        </is>
      </c>
      <c r="B2365" t="n">
        <v>0.9926747384726886</v>
      </c>
      <c r="D2365" t="n">
        <v>0.9971900520682141</v>
      </c>
      <c r="F2365" t="n">
        <v>0.9905271157463715</v>
      </c>
      <c r="H2365" t="n">
        <v>0.9934377648061041</v>
      </c>
    </row>
    <row r="2366">
      <c r="A2366" t="inlineStr">
        <is>
          <t>G|FICO x CHANNEL / SYS_FLAG|where N|loan_size|band|8</t>
        </is>
      </c>
    </row>
    <row r="2367">
      <c r="A2367" t="inlineStr">
        <is>
          <t>G|FICO x CHANNEL / SYS_FLAG|where N|loan_size|meta</t>
        </is>
      </c>
      <c r="B2367" t="inlineStr">
        <is>
          <t>size</t>
        </is>
      </c>
      <c r="C2367" t="n">
        <v>1</v>
      </c>
      <c r="E2367" t="n">
        <v>32262.58857732217</v>
      </c>
      <c r="F2367" t="n">
        <v>65</v>
      </c>
    </row>
    <row r="2368">
      <c r="A2368" t="inlineStr">
        <is>
          <t>G|FICO x CHANNEL / SYS_FLAG|where Y|cols</t>
        </is>
      </c>
      <c r="B2368" t="inlineStr">
        <is>
          <t>Branch · N</t>
        </is>
      </c>
      <c r="C2368" t="inlineStr">
        <is>
          <t>Branch · Y</t>
        </is>
      </c>
      <c r="D2368" t="inlineStr">
        <is>
          <t>Broker · N</t>
        </is>
      </c>
      <c r="E2368" t="inlineStr">
        <is>
          <t>Broker · Y</t>
        </is>
      </c>
      <c r="F2368" t="inlineStr">
        <is>
          <t>Online · N</t>
        </is>
      </c>
      <c r="G2368" t="inlineStr">
        <is>
          <t>Online · Y</t>
        </is>
      </c>
      <c r="H2368" t="inlineStr">
        <is>
          <t>All</t>
        </is>
      </c>
    </row>
    <row r="2369">
      <c r="A2369" t="inlineStr">
        <is>
          <t>G|FICO x CHANNEL / SYS_FLAG|where Y|heads</t>
        </is>
      </c>
      <c r="B2369" t="inlineStr">
        <is>
          <t>N</t>
        </is>
      </c>
      <c r="C2369" t="inlineStr">
        <is>
          <t>Y</t>
        </is>
      </c>
      <c r="D2369" t="inlineStr">
        <is>
          <t>N</t>
        </is>
      </c>
      <c r="E2369" t="inlineStr">
        <is>
          <t>Y</t>
        </is>
      </c>
      <c r="F2369" t="inlineStr">
        <is>
          <t>N</t>
        </is>
      </c>
      <c r="G2369" t="inlineStr">
        <is>
          <t>Y</t>
        </is>
      </c>
      <c r="H2369" t="inlineStr">
        <is>
          <t>All</t>
        </is>
      </c>
    </row>
    <row r="2370">
      <c r="A2370" t="inlineStr">
        <is>
          <t>G|FICO x CHANNEL / SYS_FLAG|where Y|segs</t>
        </is>
      </c>
      <c r="B2370" t="inlineStr">
        <is>
          <t>Branch</t>
        </is>
      </c>
      <c r="C2370" t="inlineStr">
        <is>
          <t>Broker</t>
        </is>
      </c>
      <c r="D2370" t="inlineStr">
        <is>
          <t>Online</t>
        </is>
      </c>
    </row>
    <row r="2371">
      <c r="A2371" t="inlineStr">
        <is>
          <t>G|FICO x CHANNEL / SYS_FLAG|where Y|rows</t>
        </is>
      </c>
      <c r="B2371" t="inlineStr">
        <is>
          <t>496 - 653</t>
        </is>
      </c>
      <c r="C2371" t="inlineStr">
        <is>
          <t>654 - 685</t>
        </is>
      </c>
      <c r="D2371" t="inlineStr">
        <is>
          <t>686 - 711</t>
        </is>
      </c>
      <c r="E2371" t="inlineStr">
        <is>
          <t>712 - 745</t>
        </is>
      </c>
      <c r="F2371" t="inlineStr">
        <is>
          <t>746 - 921</t>
        </is>
      </c>
      <c r="G2371" t="inlineStr">
        <is>
          <t>(blank)</t>
        </is>
      </c>
      <c r="H2371" t="inlineStr">
        <is>
          <t>(marked missing)</t>
        </is>
      </c>
      <c r="I2371" t="inlineStr">
        <is>
          <t>All</t>
        </is>
      </c>
    </row>
    <row r="2372">
      <c r="A2372" t="inlineStr">
        <is>
          <t>G|FICO x CHANNEL / SYS_FLAG|where Y|names</t>
        </is>
      </c>
      <c r="B2372" t="inlineStr">
        <is>
          <t>FICO</t>
        </is>
      </c>
      <c r="C2372" t="inlineStr">
        <is>
          <t>CHANNEL / SYS_FLAG</t>
        </is>
      </c>
    </row>
    <row r="2373">
      <c r="A2373" t="inlineStr">
        <is>
          <t>G|FICO x CHANNEL / SYS_FLAG|where Y|total</t>
        </is>
      </c>
      <c r="B2373" t="n">
        <v>3671</v>
      </c>
    </row>
    <row r="2374">
      <c r="A2374" t="inlineStr">
        <is>
          <t>G|FICO x CHANNEL / SYS_FLAG|where Y|loans|1</t>
        </is>
      </c>
      <c r="C2374" t="n">
        <v>231</v>
      </c>
      <c r="E2374" t="n">
        <v>265</v>
      </c>
      <c r="G2374" t="n">
        <v>226</v>
      </c>
      <c r="H2374" t="n">
        <v>722</v>
      </c>
    </row>
    <row r="2375">
      <c r="A2375" t="inlineStr">
        <is>
          <t>G|FICO x CHANNEL / SYS_FLAG|where Y|loans|2</t>
        </is>
      </c>
      <c r="C2375" t="n">
        <v>254</v>
      </c>
      <c r="E2375" t="n">
        <v>244</v>
      </c>
      <c r="G2375" t="n">
        <v>236</v>
      </c>
      <c r="H2375" t="n">
        <v>734</v>
      </c>
    </row>
    <row r="2376">
      <c r="A2376" t="inlineStr">
        <is>
          <t>G|FICO x CHANNEL / SYS_FLAG|where Y|loans|3</t>
        </is>
      </c>
      <c r="C2376" t="n">
        <v>235</v>
      </c>
      <c r="E2376" t="n">
        <v>230</v>
      </c>
      <c r="G2376" t="n">
        <v>249</v>
      </c>
      <c r="H2376" t="n">
        <v>714</v>
      </c>
    </row>
    <row r="2377">
      <c r="A2377" t="inlineStr">
        <is>
          <t>G|FICO x CHANNEL / SYS_FLAG|where Y|loans|4</t>
        </is>
      </c>
      <c r="C2377" t="n">
        <v>231</v>
      </c>
      <c r="E2377" t="n">
        <v>218</v>
      </c>
      <c r="G2377" t="n">
        <v>278</v>
      </c>
      <c r="H2377" t="n">
        <v>727</v>
      </c>
    </row>
    <row r="2378">
      <c r="A2378" t="inlineStr">
        <is>
          <t>G|FICO x CHANNEL / SYS_FLAG|where Y|loans|5</t>
        </is>
      </c>
      <c r="C2378" t="n">
        <v>239</v>
      </c>
      <c r="E2378" t="n">
        <v>237</v>
      </c>
      <c r="G2378" t="n">
        <v>225</v>
      </c>
      <c r="H2378" t="n">
        <v>701</v>
      </c>
    </row>
    <row r="2379">
      <c r="A2379" t="inlineStr">
        <is>
          <t>G|FICO x CHANNEL / SYS_FLAG|where Y|loans|6</t>
        </is>
      </c>
      <c r="E2379" t="n">
        <v>1</v>
      </c>
      <c r="H2379" t="n">
        <v>1</v>
      </c>
    </row>
    <row r="2380">
      <c r="A2380" t="inlineStr">
        <is>
          <t>G|FICO x CHANNEL / SYS_FLAG|where Y|loans|7</t>
        </is>
      </c>
      <c r="C2380" t="n">
        <v>22</v>
      </c>
      <c r="E2380" t="n">
        <v>25</v>
      </c>
      <c r="G2380" t="n">
        <v>25</v>
      </c>
      <c r="H2380" t="n">
        <v>72</v>
      </c>
    </row>
    <row r="2381">
      <c r="A2381" t="inlineStr">
        <is>
          <t>G|FICO x CHANNEL / SYS_FLAG|where Y|loans|8</t>
        </is>
      </c>
      <c r="C2381" t="n">
        <v>1212</v>
      </c>
      <c r="E2381" t="n">
        <v>1220</v>
      </c>
      <c r="G2381" t="n">
        <v>1239</v>
      </c>
      <c r="H2381" t="n">
        <v>3671</v>
      </c>
    </row>
    <row r="2382">
      <c r="A2382" t="inlineStr">
        <is>
          <t>G|FICO x CHANNEL / SYS_FLAG|where Y|outcome_loans|rate|1</t>
        </is>
      </c>
      <c r="C2382" t="n">
        <v>0.1212121212121212</v>
      </c>
      <c r="E2382" t="n">
        <v>0.2943396226415094</v>
      </c>
      <c r="G2382" t="n">
        <v>0.1415929203539823</v>
      </c>
      <c r="H2382" t="n">
        <v>0.1911357340720222</v>
      </c>
    </row>
    <row r="2383">
      <c r="A2383" t="inlineStr">
        <is>
          <t>G|FICO x CHANNEL / SYS_FLAG|where Y|outcome_loans|book|1</t>
        </is>
      </c>
      <c r="C2383" t="n">
        <v>1.566358251334019</v>
      </c>
      <c r="E2383" t="n">
        <v>3.803590697107325</v>
      </c>
      <c r="G2383" t="n">
        <v>1.829728222797261</v>
      </c>
      <c r="H2383" t="n">
        <v>2.469943032055097</v>
      </c>
    </row>
    <row r="2384">
      <c r="A2384" t="inlineStr">
        <is>
          <t>G|FICO x CHANNEL / SYS_FLAG|where Y|outcome_loans|band|1</t>
        </is>
      </c>
      <c r="C2384" t="n">
        <v>0.5410468319559228</v>
      </c>
      <c r="E2384" t="n">
        <v>2.241886792452831</v>
      </c>
      <c r="G2384" t="n">
        <v>0.6625480046752379</v>
      </c>
    </row>
    <row r="2385">
      <c r="A2385" t="inlineStr">
        <is>
          <t>G|FICO x CHANNEL / SYS_FLAG|where Y|outcome_loans|rate|2</t>
        </is>
      </c>
      <c r="C2385" t="n">
        <v>0.1141732283464567</v>
      </c>
      <c r="E2385" t="n">
        <v>0.1024590163934426</v>
      </c>
      <c r="G2385" t="n">
        <v>0.1228813559322034</v>
      </c>
      <c r="H2385" t="n">
        <v>0.1130790190735695</v>
      </c>
    </row>
    <row r="2386">
      <c r="A2386" t="inlineStr">
        <is>
          <t>G|FICO x CHANNEL / SYS_FLAG|where Y|outcome_loans|book|2</t>
        </is>
      </c>
      <c r="C2386" t="n">
        <v>1.475398470990803</v>
      </c>
      <c r="E2386" t="n">
        <v>1.32402208744935</v>
      </c>
      <c r="G2386" t="n">
        <v>1.587928862846034</v>
      </c>
      <c r="H2386" t="n">
        <v>1.4612586002738</v>
      </c>
    </row>
    <row r="2387">
      <c r="A2387" t="inlineStr">
        <is>
          <t>G|FICO x CHANNEL / SYS_FLAG|where Y|outcome_loans|band|2</t>
        </is>
      </c>
      <c r="C2387" t="n">
        <v>1.014873140857393</v>
      </c>
      <c r="E2387" t="n">
        <v>0.8656020350480498</v>
      </c>
      <c r="G2387" t="n">
        <v>1.133239171374765</v>
      </c>
    </row>
    <row r="2388">
      <c r="A2388" t="inlineStr">
        <is>
          <t>G|FICO x CHANNEL / SYS_FLAG|where Y|outcome_loans|rate|3</t>
        </is>
      </c>
      <c r="C2388" t="n">
        <v>0.04680851063829787</v>
      </c>
      <c r="E2388" t="n">
        <v>0.06521739130434782</v>
      </c>
      <c r="G2388" t="n">
        <v>0.1044176706827309</v>
      </c>
      <c r="H2388" t="n">
        <v>0.07282913165266107</v>
      </c>
    </row>
    <row r="2389">
      <c r="A2389" t="inlineStr">
        <is>
          <t>G|FICO x CHANNEL / SYS_FLAG|where Y|outcome_loans|book|3</t>
        </is>
      </c>
      <c r="C2389" t="n">
        <v>0.604880899185371</v>
      </c>
      <c r="E2389" t="n">
        <v>0.8427688417503687</v>
      </c>
      <c r="G2389" t="n">
        <v>1.349332710486534</v>
      </c>
      <c r="H2389" t="n">
        <v>0.9411312182385071</v>
      </c>
    </row>
    <row r="2390">
      <c r="A2390" t="inlineStr">
        <is>
          <t>G|FICO x CHANNEL / SYS_FLAG|where Y|outcome_loans|band|3</t>
        </is>
      </c>
      <c r="C2390" t="n">
        <v>0.5468604047742606</v>
      </c>
      <c r="E2390" t="n">
        <v>0.8531139835487662</v>
      </c>
      <c r="G2390" t="n">
        <v>1.867469879518072</v>
      </c>
    </row>
    <row r="2391">
      <c r="A2391" t="inlineStr">
        <is>
          <t>G|FICO x CHANNEL / SYS_FLAG|where Y|outcome_loans|rate|4</t>
        </is>
      </c>
      <c r="C2391" t="n">
        <v>0.05194805194805195</v>
      </c>
      <c r="E2391" t="n">
        <v>0.03211009174311927</v>
      </c>
      <c r="G2391" t="n">
        <v>0.118705035971223</v>
      </c>
      <c r="H2391" t="n">
        <v>0.07152682255845942</v>
      </c>
    </row>
    <row r="2392">
      <c r="A2392" t="inlineStr">
        <is>
          <t>G|FICO x CHANNEL / SYS_FLAG|where Y|outcome_loans|book|4</t>
        </is>
      </c>
      <c r="C2392" t="n">
        <v>0.6712963934288652</v>
      </c>
      <c r="G2392" t="n">
        <v>1.53396055368952</v>
      </c>
      <c r="H2392" t="n">
        <v>0.9243021868257139</v>
      </c>
    </row>
    <row r="2393">
      <c r="A2393" t="inlineStr">
        <is>
          <t>G|FICO x CHANNEL / SYS_FLAG|where Y|outcome_loans|band|4</t>
        </is>
      </c>
      <c r="C2393" t="n">
        <v>0.6441558441558443</v>
      </c>
      <c r="G2393" t="n">
        <v>2.805187429004165</v>
      </c>
    </row>
    <row r="2394">
      <c r="A2394" t="inlineStr">
        <is>
          <t>G|FICO x CHANNEL / SYS_FLAG|where Y|outcome_loans|rate|5</t>
        </is>
      </c>
      <c r="C2394" t="n">
        <v>0.05857740585774059</v>
      </c>
      <c r="E2394" t="n">
        <v>0.05063291139240506</v>
      </c>
      <c r="G2394" t="n">
        <v>0.04888888888888889</v>
      </c>
      <c r="H2394" t="n">
        <v>0.05278174037089872</v>
      </c>
    </row>
    <row r="2395">
      <c r="A2395" t="inlineStr">
        <is>
          <t>G|FICO x CHANNEL / SYS_FLAG|where Y|outcome_loans|book|5</t>
        </is>
      </c>
      <c r="C2395" t="n">
        <v>0.7569639248078626</v>
      </c>
      <c r="E2395" t="n">
        <v>0.6543015480256027</v>
      </c>
      <c r="G2395" t="n">
        <v>0.6317644947047208</v>
      </c>
      <c r="H2395" t="n">
        <v>0.6820696950352485</v>
      </c>
    </row>
    <row r="2396">
      <c r="A2396" t="inlineStr">
        <is>
          <t>G|FICO x CHANNEL / SYS_FLAG|where Y|outcome_loans|band|5</t>
        </is>
      </c>
      <c r="C2396" t="n">
        <v>1.176641804620702</v>
      </c>
      <c r="E2396" t="n">
        <v>0.9397468354430381</v>
      </c>
      <c r="G2396" t="n">
        <v>0.8950427350427351</v>
      </c>
    </row>
    <row r="2397">
      <c r="A2397" t="inlineStr">
        <is>
          <t>G|FICO x CHANNEL / SYS_FLAG|where Y|outcome_loans|rate|6</t>
        </is>
      </c>
      <c r="E2397" t="n">
        <v>0</v>
      </c>
      <c r="H2397" t="n">
        <v>0</v>
      </c>
    </row>
    <row r="2398">
      <c r="A2398" t="inlineStr">
        <is>
          <t>G|FICO x CHANNEL / SYS_FLAG|where Y|outcome_loans|book|6</t>
        </is>
      </c>
    </row>
    <row r="2399">
      <c r="A2399" t="inlineStr">
        <is>
          <t>G|FICO x CHANNEL / SYS_FLAG|where Y|outcome_loans|band|6</t>
        </is>
      </c>
    </row>
    <row r="2400">
      <c r="A2400" t="inlineStr">
        <is>
          <t>G|FICO x CHANNEL / SYS_FLAG|where Y|outcome_loans|rate|7</t>
        </is>
      </c>
      <c r="C2400" t="n">
        <v>0.04545454545454546</v>
      </c>
      <c r="E2400" t="n">
        <v>0.2</v>
      </c>
      <c r="G2400" t="n">
        <v>0.08</v>
      </c>
      <c r="H2400" t="n">
        <v>0.1111111111111111</v>
      </c>
    </row>
    <row r="2401">
      <c r="A2401" t="inlineStr">
        <is>
          <t>G|FICO x CHANNEL / SYS_FLAG|where Y|outcome_loans|book|7</t>
        </is>
      </c>
    </row>
    <row r="2402">
      <c r="A2402" t="inlineStr">
        <is>
          <t>G|FICO x CHANNEL / SYS_FLAG|where Y|outcome_loans|band|7</t>
        </is>
      </c>
    </row>
    <row r="2403">
      <c r="A2403" t="inlineStr">
        <is>
          <t>G|FICO x CHANNEL / SYS_FLAG|where Y|outcome_loans|rate|8</t>
        </is>
      </c>
      <c r="C2403" t="n">
        <v>0.07838283828382839</v>
      </c>
      <c r="E2403" t="n">
        <v>0.1163934426229508</v>
      </c>
      <c r="G2403" t="n">
        <v>0.1073446327683616</v>
      </c>
      <c r="H2403" t="n">
        <v>0.1007899754835195</v>
      </c>
    </row>
    <row r="2404">
      <c r="A2404" t="inlineStr">
        <is>
          <t>G|FICO x CHANNEL / SYS_FLAG|where Y|outcome_loans|book|8</t>
        </is>
      </c>
      <c r="C2404" t="n">
        <v>1.01289874544805</v>
      </c>
      <c r="E2404" t="n">
        <v>1.504089091342461</v>
      </c>
      <c r="G2404" t="n">
        <v>1.387156248003432</v>
      </c>
      <c r="H2404" t="n">
        <v>1.302453980440504</v>
      </c>
    </row>
    <row r="2405">
      <c r="A2405" t="inlineStr">
        <is>
          <t>G|FICO x CHANNEL / SYS_FLAG|where Y|outcome_loans|band|8</t>
        </is>
      </c>
    </row>
    <row r="2406">
      <c r="A2406" t="inlineStr">
        <is>
          <t>G|FICO x CHANNEL / SYS_FLAG|where Y|outcome_loans|meta</t>
        </is>
      </c>
      <c r="B2406" t="inlineStr">
        <is>
          <t>x</t>
        </is>
      </c>
      <c r="C2406" t="n">
        <v>3.803590697107325</v>
      </c>
      <c r="D2406" t="n">
        <v>10</v>
      </c>
      <c r="E2406" t="n">
        <v>0.07738467308413552</v>
      </c>
      <c r="F2406" t="n">
        <v>65</v>
      </c>
    </row>
    <row r="2407">
      <c r="A2407" t="inlineStr">
        <is>
          <t>G|FICO x CHANNEL / SYS_FLAG|where Y|outcome_booked|rate|1</t>
        </is>
      </c>
      <c r="C2407" t="n">
        <v>0.1297037813636696</v>
      </c>
      <c r="E2407" t="n">
        <v>0.3016834293054531</v>
      </c>
      <c r="G2407" t="n">
        <v>0.1453393309736574</v>
      </c>
      <c r="H2407" t="n">
        <v>0.1965399453932198</v>
      </c>
    </row>
    <row r="2408">
      <c r="A2408" t="inlineStr">
        <is>
          <t>G|FICO x CHANNEL / SYS_FLAG|where Y|outcome_booked|book|1</t>
        </is>
      </c>
      <c r="C2408" t="n">
        <v>1.733338801405464</v>
      </c>
      <c r="E2408" t="n">
        <v>4.031644939402481</v>
      </c>
      <c r="G2408" t="n">
        <v>1.94228957011361</v>
      </c>
      <c r="H2408" t="n">
        <v>2.626525686409955</v>
      </c>
    </row>
    <row r="2409">
      <c r="A2409" t="inlineStr">
        <is>
          <t>G|FICO x CHANNEL / SYS_FLAG|where Y|outcome_booked|band|1</t>
        </is>
      </c>
      <c r="C2409" t="n">
        <v>0.5667623490551597</v>
      </c>
      <c r="E2409" t="n">
        <v>2.196028871708946</v>
      </c>
      <c r="G2409" t="n">
        <v>0.6606939628098145</v>
      </c>
    </row>
    <row r="2410">
      <c r="A2410" t="inlineStr">
        <is>
          <t>G|FICO x CHANNEL / SYS_FLAG|where Y|outcome_booked|rate|2</t>
        </is>
      </c>
      <c r="C2410" t="n">
        <v>0.1168027201907751</v>
      </c>
      <c r="E2410" t="n">
        <v>0.08796899397226021</v>
      </c>
      <c r="G2410" t="n">
        <v>0.1304315222490313</v>
      </c>
      <c r="H2410" t="n">
        <v>0.1112455416540537</v>
      </c>
    </row>
    <row r="2411">
      <c r="A2411" t="inlineStr">
        <is>
          <t>G|FICO x CHANNEL / SYS_FLAG|where Y|outcome_booked|book|2</t>
        </is>
      </c>
      <c r="C2411" t="n">
        <v>1.560931261122702</v>
      </c>
      <c r="E2411" t="n">
        <v>1.175602353066263</v>
      </c>
      <c r="G2411" t="n">
        <v>1.743064204170938</v>
      </c>
      <c r="H2411" t="n">
        <v>1.486666092576621</v>
      </c>
    </row>
    <row r="2412">
      <c r="A2412" t="inlineStr">
        <is>
          <t>G|FICO x CHANNEL / SYS_FLAG|where Y|outcome_booked|band|2</t>
        </is>
      </c>
      <c r="C2412" t="n">
        <v>1.079121391492311</v>
      </c>
      <c r="E2412" t="n">
        <v>0.7140873403971778</v>
      </c>
      <c r="G2412" t="n">
        <v>1.270821711137292</v>
      </c>
    </row>
    <row r="2413">
      <c r="A2413" t="inlineStr">
        <is>
          <t>G|FICO x CHANNEL / SYS_FLAG|where Y|outcome_booked|rate|3</t>
        </is>
      </c>
      <c r="C2413" t="n">
        <v>0.04311993893646963</v>
      </c>
      <c r="E2413" t="n">
        <v>0.05913224439241509</v>
      </c>
      <c r="G2413" t="n">
        <v>0.1124322659900719</v>
      </c>
      <c r="H2413" t="n">
        <v>0.07308318935570284</v>
      </c>
    </row>
    <row r="2414">
      <c r="A2414" t="inlineStr">
        <is>
          <t>G|FICO x CHANNEL / SYS_FLAG|where Y|outcome_booked|book|3</t>
        </is>
      </c>
      <c r="C2414" t="n">
        <v>0.5762473729524774</v>
      </c>
      <c r="E2414" t="n">
        <v>0.7902330413342388</v>
      </c>
      <c r="G2414" t="n">
        <v>1.502525270439949</v>
      </c>
      <c r="H2414" t="n">
        <v>0.9766710462011666</v>
      </c>
    </row>
    <row r="2415">
      <c r="A2415" t="inlineStr">
        <is>
          <t>G|FICO x CHANNEL / SYS_FLAG|where Y|outcome_booked|band|3</t>
        </is>
      </c>
      <c r="C2415" t="n">
        <v>0.4956002868302926</v>
      </c>
      <c r="E2415" t="n">
        <v>0.7408005346875587</v>
      </c>
      <c r="G2415" t="n">
        <v>2.194590111579341</v>
      </c>
    </row>
    <row r="2416">
      <c r="A2416" t="inlineStr">
        <is>
          <t>G|FICO x CHANNEL / SYS_FLAG|where Y|outcome_booked|rate|4</t>
        </is>
      </c>
      <c r="C2416" t="n">
        <v>0.05784973680639313</v>
      </c>
      <c r="E2416" t="n">
        <v>0.03775659872129783</v>
      </c>
      <c r="G2416" t="n">
        <v>0.1104764265748834</v>
      </c>
      <c r="H2416" t="n">
        <v>0.0726797695979793</v>
      </c>
    </row>
    <row r="2417">
      <c r="A2417" t="inlineStr">
        <is>
          <t>G|FICO x CHANNEL / SYS_FLAG|where Y|outcome_booked|book|4</t>
        </is>
      </c>
      <c r="C2417" t="n">
        <v>0.7730938327577693</v>
      </c>
      <c r="G2417" t="n">
        <v>1.476387772272805</v>
      </c>
      <c r="H2417" t="n">
        <v>0.9712798146428887</v>
      </c>
    </row>
    <row r="2418">
      <c r="A2418" t="inlineStr">
        <is>
          <t>G|FICO x CHANNEL / SYS_FLAG|where Y|outcome_booked|band|4</t>
        </is>
      </c>
      <c r="C2418" t="n">
        <v>0.7306972533539001</v>
      </c>
      <c r="G2418" t="n">
        <v>2.307058175971916</v>
      </c>
    </row>
    <row r="2419">
      <c r="A2419" t="inlineStr">
        <is>
          <t>G|FICO x CHANNEL / SYS_FLAG|where Y|outcome_booked|rate|5</t>
        </is>
      </c>
      <c r="C2419" t="n">
        <v>0.05115145563384937</v>
      </c>
      <c r="E2419" t="n">
        <v>0.04844346992587698</v>
      </c>
      <c r="G2419" t="n">
        <v>0.04880991963256601</v>
      </c>
      <c r="H2419" t="n">
        <v>0.0494550821834673</v>
      </c>
    </row>
    <row r="2420">
      <c r="A2420" t="inlineStr">
        <is>
          <t>G|FICO x CHANNEL / SYS_FLAG|where Y|outcome_booked|book|5</t>
        </is>
      </c>
      <c r="C2420" t="n">
        <v>0.6835791668241677</v>
      </c>
      <c r="E2420" t="n">
        <v>0.6473901162665812</v>
      </c>
      <c r="G2420" t="n">
        <v>0.6522872864854415</v>
      </c>
      <c r="H2420" t="n">
        <v>0.660909126735075</v>
      </c>
    </row>
    <row r="2421">
      <c r="A2421" t="inlineStr">
        <is>
          <t>G|FICO x CHANNEL / SYS_FLAG|where Y|outcome_booked|band|5</t>
        </is>
      </c>
      <c r="C2421" t="n">
        <v>1.051994608345256</v>
      </c>
      <c r="E2421" t="n">
        <v>0.9692536231847209</v>
      </c>
      <c r="G2421" t="n">
        <v>0.9806735597270573</v>
      </c>
    </row>
    <row r="2422">
      <c r="A2422" t="inlineStr">
        <is>
          <t>G|FICO x CHANNEL / SYS_FLAG|where Y|outcome_booked|rate|6</t>
        </is>
      </c>
      <c r="E2422" t="n">
        <v>0</v>
      </c>
      <c r="H2422" t="n">
        <v>0</v>
      </c>
    </row>
    <row r="2423">
      <c r="A2423" t="inlineStr">
        <is>
          <t>G|FICO x CHANNEL / SYS_FLAG|where Y|outcome_booked|book|6</t>
        </is>
      </c>
    </row>
    <row r="2424">
      <c r="A2424" t="inlineStr">
        <is>
          <t>G|FICO x CHANNEL / SYS_FLAG|where Y|outcome_booked|band|6</t>
        </is>
      </c>
    </row>
    <row r="2425">
      <c r="A2425" t="inlineStr">
        <is>
          <t>G|FICO x CHANNEL / SYS_FLAG|where Y|outcome_booked|rate|7</t>
        </is>
      </c>
      <c r="C2425" t="n">
        <v>0.03792886709862105</v>
      </c>
      <c r="E2425" t="n">
        <v>0.1541676576370998</v>
      </c>
      <c r="G2425" t="n">
        <v>0.06226875881814359</v>
      </c>
      <c r="H2425" t="n">
        <v>0.08559977389867067</v>
      </c>
    </row>
    <row r="2426">
      <c r="A2426" t="inlineStr">
        <is>
          <t>G|FICO x CHANNEL / SYS_FLAG|where Y|outcome_booked|book|7</t>
        </is>
      </c>
    </row>
    <row r="2427">
      <c r="A2427" t="inlineStr">
        <is>
          <t>G|FICO x CHANNEL / SYS_FLAG|where Y|outcome_booked|band|7</t>
        </is>
      </c>
    </row>
    <row r="2428">
      <c r="A2428" t="inlineStr">
        <is>
          <t>G|FICO x CHANNEL / SYS_FLAG|where Y|outcome_booked|rate|8</t>
        </is>
      </c>
      <c r="C2428" t="n">
        <v>0.0799427328054727</v>
      </c>
      <c r="E2428" t="n">
        <v>0.1128943071960848</v>
      </c>
      <c r="G2428" t="n">
        <v>0.1084527276536025</v>
      </c>
      <c r="H2428" t="n">
        <v>0.1006690692129982</v>
      </c>
    </row>
    <row r="2429">
      <c r="A2429" t="inlineStr">
        <is>
          <t>G|FICO x CHANNEL / SYS_FLAG|where Y|outcome_booked|book|8</t>
        </is>
      </c>
      <c r="C2429" t="n">
        <v>1.068340793192392</v>
      </c>
      <c r="E2429" t="n">
        <v>1.508699908849178</v>
      </c>
      <c r="G2429" t="n">
        <v>1.44934341145511</v>
      </c>
      <c r="H2429" t="n">
        <v>1.345323952267888</v>
      </c>
    </row>
    <row r="2430">
      <c r="A2430" t="inlineStr">
        <is>
          <t>G|FICO x CHANNEL / SYS_FLAG|where Y|outcome_booked|band|8</t>
        </is>
      </c>
    </row>
    <row r="2431">
      <c r="A2431" t="inlineStr">
        <is>
          <t>G|FICO x CHANNEL / SYS_FLAG|where Y|outcome_booked|meta</t>
        </is>
      </c>
      <c r="B2431" t="inlineStr">
        <is>
          <t>x</t>
        </is>
      </c>
      <c r="C2431" t="n">
        <v>4.031644939402481</v>
      </c>
      <c r="D2431" t="n">
        <v>10</v>
      </c>
      <c r="E2431" t="n">
        <v>0.07482886857347235</v>
      </c>
      <c r="F2431" t="n">
        <v>65</v>
      </c>
    </row>
    <row r="2432">
      <c r="A2432" t="inlineStr">
        <is>
          <t>G|FICO x CHANNEL / SYS_FLAG|where Y|gco_rate|rate|1</t>
        </is>
      </c>
      <c r="C2432" t="n">
        <v>0.06567919269946912</v>
      </c>
      <c r="E2432" t="n">
        <v>0.1663088842121316</v>
      </c>
      <c r="G2432" t="n">
        <v>0.0776503894870335</v>
      </c>
      <c r="H2432" t="n">
        <v>0.1056730912674188</v>
      </c>
    </row>
    <row r="2433">
      <c r="A2433" t="inlineStr">
        <is>
          <t>G|FICO x CHANNEL / SYS_FLAG|where Y|gco_rate|book|1</t>
        </is>
      </c>
      <c r="C2433" t="n">
        <v>1.578626939961961</v>
      </c>
      <c r="E2433" t="n">
        <v>3.997303775848748</v>
      </c>
      <c r="G2433" t="n">
        <v>1.866359675029333</v>
      </c>
      <c r="H2433" t="n">
        <v>2.539897064008138</v>
      </c>
    </row>
    <row r="2434">
      <c r="A2434" t="inlineStr">
        <is>
          <t>G|FICO x CHANNEL / SYS_FLAG|where Y|gco_rate|band|1</t>
        </is>
      </c>
      <c r="C2434" t="n">
        <v>0.5254031053085576</v>
      </c>
      <c r="E2434" t="n">
        <v>2.324244191012672</v>
      </c>
      <c r="G2434" t="n">
        <v>0.6552664603997256</v>
      </c>
    </row>
    <row r="2435">
      <c r="A2435" t="inlineStr">
        <is>
          <t>G|FICO x CHANNEL / SYS_FLAG|where Y|gco_rate|rate|2</t>
        </is>
      </c>
      <c r="C2435" t="n">
        <v>0.07028743920074985</v>
      </c>
      <c r="E2435" t="n">
        <v>0.04817500333397545</v>
      </c>
      <c r="G2435" t="n">
        <v>0.07252593076389867</v>
      </c>
      <c r="H2435" t="n">
        <v>0.06348152741940741</v>
      </c>
    </row>
    <row r="2436">
      <c r="A2436" t="inlineStr">
        <is>
          <t>G|FICO x CHANNEL / SYS_FLAG|where Y|gco_rate|book|2</t>
        </is>
      </c>
      <c r="C2436" t="n">
        <v>1.689388077148808</v>
      </c>
      <c r="E2436" t="n">
        <v>1.157906407951108</v>
      </c>
      <c r="G2436" t="n">
        <v>1.743191160609863</v>
      </c>
      <c r="H2436" t="n">
        <v>1.525805133335941</v>
      </c>
    </row>
    <row r="2437">
      <c r="A2437" t="inlineStr">
        <is>
          <t>G|FICO x CHANNEL / SYS_FLAG|where Y|gco_rate|band|2</t>
        </is>
      </c>
      <c r="C2437" t="n">
        <v>1.175393788114783</v>
      </c>
      <c r="E2437" t="n">
        <v>0.6753189852238712</v>
      </c>
      <c r="G2437" t="n">
        <v>1.22050818900365</v>
      </c>
    </row>
    <row r="2438">
      <c r="A2438" t="inlineStr">
        <is>
          <t>G|FICO x CHANNEL / SYS_FLAG|where Y|gco_rate|rate|3</t>
        </is>
      </c>
      <c r="C2438" t="n">
        <v>0.02081961874904788</v>
      </c>
      <c r="E2438" t="n">
        <v>0.03063262831577925</v>
      </c>
      <c r="G2438" t="n">
        <v>0.06431861285587674</v>
      </c>
      <c r="H2438" t="n">
        <v>0.03954707714671374</v>
      </c>
    </row>
    <row r="2439">
      <c r="A2439" t="inlineStr">
        <is>
          <t>G|FICO x CHANNEL / SYS_FLAG|where Y|gco_rate|book|3</t>
        </is>
      </c>
      <c r="C2439" t="n">
        <v>0.5004082676133409</v>
      </c>
      <c r="E2439" t="n">
        <v>0.7362680677638962</v>
      </c>
      <c r="G2439" t="n">
        <v>1.54592483284423</v>
      </c>
      <c r="H2439" t="n">
        <v>0.9505305838063527</v>
      </c>
    </row>
    <row r="2440">
      <c r="A2440" t="inlineStr">
        <is>
          <t>G|FICO x CHANNEL / SYS_FLAG|where Y|gco_rate|band|3</t>
        </is>
      </c>
      <c r="C2440" t="n">
        <v>0.431506272744317</v>
      </c>
      <c r="E2440" t="n">
        <v>0.6985276973874471</v>
      </c>
      <c r="G2440" t="n">
        <v>2.493862987131802</v>
      </c>
    </row>
    <row r="2441">
      <c r="A2441" t="inlineStr">
        <is>
          <t>G|FICO x CHANNEL / SYS_FLAG|where Y|gco_rate|rate|4</t>
        </is>
      </c>
      <c r="C2441" t="n">
        <v>0.03333266914159281</v>
      </c>
      <c r="E2441" t="n">
        <v>0.01915208876567817</v>
      </c>
      <c r="G2441" t="n">
        <v>0.06084205337936844</v>
      </c>
      <c r="H2441" t="n">
        <v>0.03998357770819431</v>
      </c>
    </row>
    <row r="2442">
      <c r="A2442" t="inlineStr">
        <is>
          <t>G|FICO x CHANNEL / SYS_FLAG|where Y|gco_rate|book|4</t>
        </is>
      </c>
      <c r="C2442" t="n">
        <v>0.8011646813098309</v>
      </c>
      <c r="G2442" t="n">
        <v>1.462364267885574</v>
      </c>
      <c r="H2442" t="n">
        <v>0.9610220578537693</v>
      </c>
    </row>
    <row r="2443">
      <c r="A2443" t="inlineStr">
        <is>
          <t>G|FICO x CHANNEL / SYS_FLAG|where Y|gco_rate|band|4</t>
        </is>
      </c>
      <c r="C2443" t="n">
        <v>0.7770839220305211</v>
      </c>
      <c r="G2443" t="n">
        <v>2.313295236485841</v>
      </c>
    </row>
    <row r="2444">
      <c r="A2444" t="inlineStr">
        <is>
          <t>G|FICO x CHANNEL / SYS_FLAG|where Y|gco_rate|rate|5</t>
        </is>
      </c>
      <c r="C2444" t="n">
        <v>0.02491889981363501</v>
      </c>
      <c r="E2444" t="n">
        <v>0.02678732871900859</v>
      </c>
      <c r="G2444" t="n">
        <v>0.02407431807254459</v>
      </c>
      <c r="H2444" t="n">
        <v>0.02527923250680246</v>
      </c>
    </row>
    <row r="2445">
      <c r="A2445" t="inlineStr">
        <is>
          <t>G|FICO x CHANNEL / SYS_FLAG|where Y|gco_rate|book|5</t>
        </is>
      </c>
      <c r="C2445" t="n">
        <v>0.5989362070879304</v>
      </c>
      <c r="E2445" t="n">
        <v>0.6438446793787327</v>
      </c>
      <c r="G2445" t="n">
        <v>0.5786363307544002</v>
      </c>
      <c r="H2445" t="n">
        <v>0.6075969544784473</v>
      </c>
    </row>
    <row r="2446">
      <c r="A2446" t="inlineStr">
        <is>
          <t>G|FICO x CHANNEL / SYS_FLAG|where Y|gco_rate|band|5</t>
        </is>
      </c>
      <c r="C2446" t="n">
        <v>0.9789041846144773</v>
      </c>
      <c r="E2446" t="n">
        <v>1.093519893339788</v>
      </c>
      <c r="G2446" t="n">
        <v>0.9305595200064457</v>
      </c>
    </row>
    <row r="2447">
      <c r="A2447" t="inlineStr">
        <is>
          <t>G|FICO x CHANNEL / SYS_FLAG|where Y|gco_rate|rate|6</t>
        </is>
      </c>
      <c r="E2447" t="n">
        <v>0</v>
      </c>
      <c r="H2447" t="n">
        <v>0</v>
      </c>
    </row>
    <row r="2448">
      <c r="A2448" t="inlineStr">
        <is>
          <t>G|FICO x CHANNEL / SYS_FLAG|where Y|gco_rate|book|6</t>
        </is>
      </c>
    </row>
    <row r="2449">
      <c r="A2449" t="inlineStr">
        <is>
          <t>G|FICO x CHANNEL / SYS_FLAG|where Y|gco_rate|band|6</t>
        </is>
      </c>
    </row>
    <row r="2450">
      <c r="A2450" t="inlineStr">
        <is>
          <t>G|FICO x CHANNEL / SYS_FLAG|where Y|gco_rate|rate|7</t>
        </is>
      </c>
      <c r="C2450" t="n">
        <v>0.01843284302108283</v>
      </c>
      <c r="E2450" t="n">
        <v>0.07742929923514315</v>
      </c>
      <c r="G2450" t="n">
        <v>0.03937026992191468</v>
      </c>
      <c r="H2450" t="n">
        <v>0.04569581498027083</v>
      </c>
    </row>
    <row r="2451">
      <c r="A2451" t="inlineStr">
        <is>
          <t>G|FICO x CHANNEL / SYS_FLAG|where Y|gco_rate|book|7</t>
        </is>
      </c>
    </row>
    <row r="2452">
      <c r="A2452" t="inlineStr">
        <is>
          <t>G|FICO x CHANNEL / SYS_FLAG|where Y|gco_rate|band|7</t>
        </is>
      </c>
    </row>
    <row r="2453">
      <c r="A2453" t="inlineStr">
        <is>
          <t>G|FICO x CHANNEL / SYS_FLAG|where Y|gco_rate|rate|8</t>
        </is>
      </c>
      <c r="C2453" t="n">
        <v>0.0431550830066136</v>
      </c>
      <c r="E2453" t="n">
        <v>0.06135421166542902</v>
      </c>
      <c r="G2453" t="n">
        <v>0.0595108000659552</v>
      </c>
      <c r="H2453" t="n">
        <v>0.05481054765254319</v>
      </c>
    </row>
    <row r="2454">
      <c r="A2454" t="inlineStr">
        <is>
          <t>G|FICO x CHANNEL / SYS_FLAG|where Y|gco_rate|book|8</t>
        </is>
      </c>
      <c r="C2454" t="n">
        <v>1.037250517713588</v>
      </c>
      <c r="E2454" t="n">
        <v>1.474674207071329</v>
      </c>
      <c r="G2454" t="n">
        <v>1.430367036219163</v>
      </c>
      <c r="H2454" t="n">
        <v>1.317394498350356</v>
      </c>
    </row>
    <row r="2455">
      <c r="A2455" t="inlineStr">
        <is>
          <t>G|FICO x CHANNEL / SYS_FLAG|where Y|gco_rate|band|8</t>
        </is>
      </c>
    </row>
    <row r="2456">
      <c r="A2456" t="inlineStr">
        <is>
          <t>G|FICO x CHANNEL / SYS_FLAG|where Y|gco_rate|meta</t>
        </is>
      </c>
      <c r="B2456" t="inlineStr">
        <is>
          <t>x</t>
        </is>
      </c>
      <c r="C2456" t="n">
        <v>3.997303775848748</v>
      </c>
      <c r="D2456" t="n">
        <v>10</v>
      </c>
      <c r="E2456" t="n">
        <v>0.04160526533333565</v>
      </c>
      <c r="F2456" t="n">
        <v>65</v>
      </c>
    </row>
    <row r="2457">
      <c r="A2457" t="inlineStr">
        <is>
          <t>G|FICO x CHANNEL / SYS_FLAG|where Y|ranr_rate|rate|1</t>
        </is>
      </c>
      <c r="C2457" t="n">
        <v>0.1982244774183919</v>
      </c>
      <c r="E2457" t="n">
        <v>0.1144670123030767</v>
      </c>
      <c r="G2457" t="n">
        <v>0.1937777780728021</v>
      </c>
      <c r="H2457" t="n">
        <v>0.1666688599176505</v>
      </c>
    </row>
    <row r="2458">
      <c r="A2458" t="inlineStr">
        <is>
          <t>G|FICO x CHANNEL / SYS_FLAG|where Y|ranr_rate|book|1</t>
        </is>
      </c>
      <c r="C2458" t="n">
        <v>7.023442777</v>
      </c>
      <c r="E2458" t="n">
        <v>-1.352303735</v>
      </c>
      <c r="G2458" t="n">
        <v>6.578772842</v>
      </c>
      <c r="H2458" t="n">
        <v>3.867881027</v>
      </c>
    </row>
    <row r="2459">
      <c r="A2459" t="inlineStr">
        <is>
          <t>G|FICO x CHANNEL / SYS_FLAG|where Y|ranr_rate|band|1</t>
        </is>
      </c>
      <c r="C2459" t="n">
        <v>4.681047039</v>
      </c>
      <c r="E2459" t="n">
        <v>-8.15752823</v>
      </c>
      <c r="G2459" t="n">
        <v>3.951949798</v>
      </c>
    </row>
    <row r="2460">
      <c r="A2460" t="inlineStr">
        <is>
          <t>G|FICO x CHANNEL / SYS_FLAG|where Y|ranr_rate|rate|2</t>
        </is>
      </c>
      <c r="C2460" t="n">
        <v>0.1308714432177859</v>
      </c>
      <c r="E2460" t="n">
        <v>0.1476246487993896</v>
      </c>
      <c r="G2460" t="n">
        <v>0.150316214007657</v>
      </c>
      <c r="H2460" t="n">
        <v>0.1425763271144025</v>
      </c>
    </row>
    <row r="2461">
      <c r="A2461" t="inlineStr">
        <is>
          <t>G|FICO x CHANNEL / SYS_FLAG|where Y|ranr_rate|book|2</t>
        </is>
      </c>
      <c r="C2461" t="n">
        <v>0.288139357</v>
      </c>
      <c r="E2461" t="n">
        <v>1.963459915</v>
      </c>
      <c r="G2461" t="n">
        <v>2.232616436</v>
      </c>
      <c r="H2461" t="n">
        <v>1.458627747</v>
      </c>
    </row>
    <row r="2462">
      <c r="A2462" t="inlineStr">
        <is>
          <t>G|FICO x CHANNEL / SYS_FLAG|where Y|ranr_rate|band|2</t>
        </is>
      </c>
      <c r="C2462" t="n">
        <v>-1.803803945</v>
      </c>
      <c r="E2462" t="n">
        <v>0.763906368</v>
      </c>
      <c r="G2462" t="n">
        <v>1.121326351</v>
      </c>
    </row>
    <row r="2463">
      <c r="A2463" t="inlineStr">
        <is>
          <t>G|FICO x CHANNEL / SYS_FLAG|where Y|ranr_rate|rate|3</t>
        </is>
      </c>
      <c r="C2463" t="n">
        <v>0.1318761608748316</v>
      </c>
      <c r="E2463" t="n">
        <v>0.112557769963748</v>
      </c>
      <c r="G2463" t="n">
        <v>0.1383388797068483</v>
      </c>
      <c r="H2463" t="n">
        <v>0.1278914649482825</v>
      </c>
    </row>
    <row r="2464">
      <c r="A2464" t="inlineStr">
        <is>
          <t>G|FICO x CHANNEL / SYS_FLAG|where Y|ranr_rate|book|3</t>
        </is>
      </c>
      <c r="C2464" t="n">
        <v>0.388611123</v>
      </c>
      <c r="E2464" t="n">
        <v>-1.543227968</v>
      </c>
      <c r="G2464" t="n">
        <v>1.034883006</v>
      </c>
      <c r="H2464" t="n">
        <v>-0.009858469999999999</v>
      </c>
    </row>
    <row r="2465">
      <c r="A2465" t="inlineStr">
        <is>
          <t>G|FICO x CHANNEL / SYS_FLAG|where Y|ranr_rate|band|3</t>
        </is>
      </c>
      <c r="C2465" t="n">
        <v>0.58361666</v>
      </c>
      <c r="E2465" t="n">
        <v>-2.274051899</v>
      </c>
      <c r="G2465" t="n">
        <v>1.624915389</v>
      </c>
    </row>
    <row r="2466">
      <c r="A2466" t="inlineStr">
        <is>
          <t>G|FICO x CHANNEL / SYS_FLAG|where Y|ranr_rate|rate|4</t>
        </is>
      </c>
      <c r="C2466" t="n">
        <v>0.07449793831365925</v>
      </c>
      <c r="E2466" t="n">
        <v>0.09604406388127933</v>
      </c>
      <c r="G2466" t="n">
        <v>0.09363308498528264</v>
      </c>
      <c r="H2466" t="n">
        <v>0.0885296107794703</v>
      </c>
    </row>
    <row r="2467">
      <c r="A2467" t="inlineStr">
        <is>
          <t>G|FICO x CHANNEL / SYS_FLAG|where Y|ranr_rate|book|4</t>
        </is>
      </c>
      <c r="C2467" t="n">
        <v>-5.349211133</v>
      </c>
      <c r="E2467" t="n">
        <v>-3.194598577</v>
      </c>
      <c r="G2467" t="n">
        <v>-3.435696466</v>
      </c>
      <c r="H2467" t="n">
        <v>-3.946043887</v>
      </c>
    </row>
    <row r="2468">
      <c r="A2468" t="inlineStr">
        <is>
          <t>G|FICO x CHANNEL / SYS_FLAG|where Y|ranr_rate|band|4</t>
        </is>
      </c>
      <c r="C2468" t="n">
        <v>-2.017307126</v>
      </c>
      <c r="E2468" t="n">
        <v>1.072635187</v>
      </c>
      <c r="G2468" t="n">
        <v>0.845120283</v>
      </c>
    </row>
    <row r="2469">
      <c r="A2469" t="inlineStr">
        <is>
          <t>G|FICO x CHANNEL / SYS_FLAG|where Y|ranr_rate|rate|5</t>
        </is>
      </c>
      <c r="C2469" t="n">
        <v>0.04114199357781516</v>
      </c>
      <c r="E2469" t="n">
        <v>0.03924328468823907</v>
      </c>
      <c r="G2469" t="n">
        <v>0.03914023005630266</v>
      </c>
      <c r="H2469" t="n">
        <v>0.03983403616126589</v>
      </c>
    </row>
    <row r="2470">
      <c r="A2470" t="inlineStr">
        <is>
          <t>G|FICO x CHANNEL / SYS_FLAG|where Y|ranr_rate|book|5</t>
        </is>
      </c>
      <c r="C2470" t="n">
        <v>-8.684805606999999</v>
      </c>
      <c r="E2470" t="n">
        <v>-8.874676495999999</v>
      </c>
      <c r="G2470" t="n">
        <v>-8.884981958999999</v>
      </c>
      <c r="H2470" t="n">
        <v>-8.815601349</v>
      </c>
    </row>
    <row r="2471">
      <c r="A2471" t="inlineStr">
        <is>
          <t>G|FICO x CHANNEL / SYS_FLAG|where Y|ranr_rate|band|5</t>
        </is>
      </c>
      <c r="C2471" t="n">
        <v>0.194928317</v>
      </c>
      <c r="E2471" t="n">
        <v>-0.08973926</v>
      </c>
      <c r="G2471" t="n">
        <v>-0.103443799</v>
      </c>
    </row>
    <row r="2472">
      <c r="A2472" t="inlineStr">
        <is>
          <t>G|FICO x CHANNEL / SYS_FLAG|where Y|ranr_rate|rate|6</t>
        </is>
      </c>
      <c r="E2472" t="n">
        <v>0.140296941334961</v>
      </c>
      <c r="H2472" t="n">
        <v>0.140296941334961</v>
      </c>
    </row>
    <row r="2473">
      <c r="A2473" t="inlineStr">
        <is>
          <t>G|FICO x CHANNEL / SYS_FLAG|where Y|ranr_rate|book|6</t>
        </is>
      </c>
      <c r="E2473" t="n">
        <v>1.230689169</v>
      </c>
      <c r="H2473" t="n">
        <v>1.230689169</v>
      </c>
    </row>
    <row r="2474">
      <c r="A2474" t="inlineStr">
        <is>
          <t>G|FICO x CHANNEL / SYS_FLAG|where Y|ranr_rate|band|6</t>
        </is>
      </c>
    </row>
    <row r="2475">
      <c r="A2475" t="inlineStr">
        <is>
          <t>G|FICO x CHANNEL / SYS_FLAG|where Y|ranr_rate|rate|7</t>
        </is>
      </c>
      <c r="C2475" t="n">
        <v>0.1358681559141303</v>
      </c>
      <c r="E2475" t="n">
        <v>0.09613836715770098</v>
      </c>
      <c r="G2475" t="n">
        <v>0.1442105413235336</v>
      </c>
      <c r="H2475" t="n">
        <v>0.1255292967897276</v>
      </c>
    </row>
    <row r="2476">
      <c r="A2476" t="inlineStr">
        <is>
          <t>G|FICO x CHANNEL / SYS_FLAG|where Y|ranr_rate|book|7</t>
        </is>
      </c>
      <c r="C2476" t="n">
        <v>0.787810627</v>
      </c>
      <c r="E2476" t="n">
        <v>-3.185168249</v>
      </c>
      <c r="G2476" t="n">
        <v>1.622049168</v>
      </c>
      <c r="H2476" t="n">
        <v>-0.246075286</v>
      </c>
    </row>
    <row r="2477">
      <c r="A2477" t="inlineStr">
        <is>
          <t>G|FICO x CHANNEL / SYS_FLAG|where Y|ranr_rate|band|7</t>
        </is>
      </c>
      <c r="C2477" t="n">
        <v>1.492608188</v>
      </c>
      <c r="E2477" t="n">
        <v>-4.421515261</v>
      </c>
      <c r="G2477" t="n">
        <v>2.907115893</v>
      </c>
    </row>
    <row r="2478">
      <c r="A2478" t="inlineStr">
        <is>
          <t>G|FICO x CHANNEL / SYS_FLAG|where Y|ranr_rate|rate|8</t>
        </is>
      </c>
      <c r="C2478" t="n">
        <v>0.1169453091003141</v>
      </c>
      <c r="E2478" t="n">
        <v>0.1023825193760782</v>
      </c>
      <c r="G2478" t="n">
        <v>0.1223457649562408</v>
      </c>
      <c r="H2478" t="n">
        <v>0.1139361498721039</v>
      </c>
    </row>
    <row r="2479">
      <c r="A2479" t="inlineStr">
        <is>
          <t>G|FICO x CHANNEL / SYS_FLAG|where Y|ranr_rate|book|8</t>
        </is>
      </c>
      <c r="C2479" t="n">
        <v>-1.104474055</v>
      </c>
      <c r="E2479" t="n">
        <v>-2.560753027</v>
      </c>
      <c r="G2479" t="n">
        <v>-0.564428469</v>
      </c>
      <c r="H2479" t="n">
        <v>-1.405389978</v>
      </c>
    </row>
    <row r="2480">
      <c r="A2480" t="inlineStr">
        <is>
          <t>G|FICO x CHANNEL / SYS_FLAG|where Y|ranr_rate|band|8</t>
        </is>
      </c>
    </row>
    <row r="2481">
      <c r="A2481" t="inlineStr">
        <is>
          <t>G|FICO x CHANNEL / SYS_FLAG|where Y|ranr_rate|meta</t>
        </is>
      </c>
      <c r="B2481" t="inlineStr">
        <is>
          <t>pts</t>
        </is>
      </c>
      <c r="C2481" t="n">
        <v>8.884981958999999</v>
      </c>
      <c r="D2481" t="n">
        <v>10</v>
      </c>
      <c r="E2481" t="n">
        <v>0.1279900496481481</v>
      </c>
      <c r="F2481" t="n">
        <v>65</v>
      </c>
    </row>
    <row r="2482">
      <c r="A2482" t="inlineStr">
        <is>
          <t>G|FICO x CHANNEL / SYS_FLAG|where Y|contribution_rate|rate|1</t>
        </is>
      </c>
      <c r="C2482" t="n">
        <v>0.263903670117861</v>
      </c>
      <c r="E2482" t="n">
        <v>0.2807758965152085</v>
      </c>
      <c r="G2482" t="n">
        <v>0.2714281675598356</v>
      </c>
      <c r="H2482" t="n">
        <v>0.2723419511850693</v>
      </c>
    </row>
    <row r="2483">
      <c r="A2483" t="inlineStr">
        <is>
          <t>G|FICO x CHANNEL / SYS_FLAG|where Y|contribution_rate|book|1</t>
        </is>
      </c>
      <c r="C2483" t="n">
        <v>9.431121438</v>
      </c>
      <c r="E2483" t="n">
        <v>11.118344078</v>
      </c>
      <c r="G2483" t="n">
        <v>10.183571182</v>
      </c>
      <c r="H2483" t="n">
        <v>10.274949545</v>
      </c>
    </row>
    <row r="2484">
      <c r="A2484" t="inlineStr">
        <is>
          <t>G|FICO x CHANNEL / SYS_FLAG|where Y|contribution_rate|band|1</t>
        </is>
      </c>
      <c r="C2484" t="n">
        <v>-1.251757808</v>
      </c>
      <c r="E2484" t="n">
        <v>1.317963832</v>
      </c>
      <c r="G2484" t="n">
        <v>-0.133211772</v>
      </c>
    </row>
    <row r="2485">
      <c r="A2485" t="inlineStr">
        <is>
          <t>G|FICO x CHANNEL / SYS_FLAG|where Y|contribution_rate|rate|2</t>
        </is>
      </c>
      <c r="C2485" t="n">
        <v>0.2011588824185357</v>
      </c>
      <c r="E2485" t="n">
        <v>0.195799652133365</v>
      </c>
      <c r="G2485" t="n">
        <v>0.2228421447715557</v>
      </c>
      <c r="H2485" t="n">
        <v>0.2060578545338099</v>
      </c>
    </row>
    <row r="2486">
      <c r="A2486" t="inlineStr">
        <is>
          <t>G|FICO x CHANNEL / SYS_FLAG|where Y|contribution_rate|book|2</t>
        </is>
      </c>
      <c r="C2486" t="n">
        <v>3.156642668</v>
      </c>
      <c r="E2486" t="n">
        <v>2.62071964</v>
      </c>
      <c r="G2486" t="n">
        <v>5.324968904</v>
      </c>
      <c r="H2486" t="n">
        <v>3.64653988</v>
      </c>
    </row>
    <row r="2487">
      <c r="A2487" t="inlineStr">
        <is>
          <t>G|FICO x CHANNEL / SYS_FLAG|where Y|contribution_rate|band|2</t>
        </is>
      </c>
      <c r="C2487" t="n">
        <v>-0.754965646</v>
      </c>
      <c r="E2487" t="n">
        <v>-1.552259668</v>
      </c>
      <c r="G2487" t="n">
        <v>2.431646248</v>
      </c>
    </row>
    <row r="2488">
      <c r="A2488" t="inlineStr">
        <is>
          <t>G|FICO x CHANNEL / SYS_FLAG|where Y|contribution_rate|rate|3</t>
        </is>
      </c>
      <c r="C2488" t="n">
        <v>0.1526957796238796</v>
      </c>
      <c r="E2488" t="n">
        <v>0.1431903982795272</v>
      </c>
      <c r="G2488" t="n">
        <v>0.2026574925627251</v>
      </c>
      <c r="H2488" t="n">
        <v>0.1674385420949963</v>
      </c>
    </row>
    <row r="2489">
      <c r="A2489" t="inlineStr">
        <is>
          <t>G|FICO x CHANNEL / SYS_FLAG|where Y|contribution_rate|book|3</t>
        </is>
      </c>
      <c r="C2489" t="n">
        <v>-1.689667611</v>
      </c>
      <c r="E2489" t="n">
        <v>-2.640205746</v>
      </c>
      <c r="G2489" t="n">
        <v>3.306503683</v>
      </c>
      <c r="H2489" t="n">
        <v>-0.215391364</v>
      </c>
    </row>
    <row r="2490">
      <c r="A2490" t="inlineStr">
        <is>
          <t>G|FICO x CHANNEL / SYS_FLAG|where Y|contribution_rate|band|3</t>
        </is>
      </c>
      <c r="C2490" t="n">
        <v>-2.159291939</v>
      </c>
      <c r="E2490" t="n">
        <v>-3.59610241</v>
      </c>
      <c r="G2490" t="n">
        <v>5.477701032</v>
      </c>
    </row>
    <row r="2491">
      <c r="A2491" t="inlineStr">
        <is>
          <t>G|FICO x CHANNEL / SYS_FLAG|where Y|contribution_rate|rate|4</t>
        </is>
      </c>
      <c r="C2491" t="n">
        <v>0.107830607455252</v>
      </c>
      <c r="E2491" t="n">
        <v>0.1151961526469575</v>
      </c>
      <c r="G2491" t="n">
        <v>0.154475138364651</v>
      </c>
      <c r="H2491" t="n">
        <v>0.1285131884876646</v>
      </c>
    </row>
    <row r="2492">
      <c r="A2492" t="inlineStr">
        <is>
          <t>G|FICO x CHANNEL / SYS_FLAG|where Y|contribution_rate|book|4</t>
        </is>
      </c>
      <c r="C2492" t="n">
        <v>-6.176184828</v>
      </c>
      <c r="E2492" t="n">
        <v>-5.439630309</v>
      </c>
      <c r="G2492" t="n">
        <v>-1.511731737</v>
      </c>
      <c r="H2492" t="n">
        <v>-4.107926725</v>
      </c>
    </row>
    <row r="2493">
      <c r="A2493" t="inlineStr">
        <is>
          <t>G|FICO x CHANNEL / SYS_FLAG|where Y|contribution_rate|band|4</t>
        </is>
      </c>
      <c r="C2493" t="n">
        <v>-2.973495726</v>
      </c>
      <c r="E2493" t="n">
        <v>-1.900912951</v>
      </c>
      <c r="G2493" t="n">
        <v>4.299222363</v>
      </c>
    </row>
    <row r="2494">
      <c r="A2494" t="inlineStr">
        <is>
          <t>G|FICO x CHANNEL / SYS_FLAG|where Y|contribution_rate|rate|5</t>
        </is>
      </c>
      <c r="C2494" t="n">
        <v>0.06606089339145017</v>
      </c>
      <c r="E2494" t="n">
        <v>0.06603061340724767</v>
      </c>
      <c r="G2494" t="n">
        <v>0.06321454812884725</v>
      </c>
      <c r="H2494" t="n">
        <v>0.06511326866806835</v>
      </c>
    </row>
    <row r="2495">
      <c r="A2495" t="inlineStr">
        <is>
          <t>G|FICO x CHANNEL / SYS_FLAG|where Y|contribution_rate|book|5</t>
        </is>
      </c>
      <c r="C2495" t="n">
        <v>-10.353156234</v>
      </c>
      <c r="E2495" t="n">
        <v>-10.356184233</v>
      </c>
      <c r="G2495" t="n">
        <v>-10.637790761</v>
      </c>
      <c r="H2495" t="n">
        <v>-10.447918707</v>
      </c>
    </row>
    <row r="2496">
      <c r="A2496" t="inlineStr">
        <is>
          <t>G|FICO x CHANNEL / SYS_FLAG|where Y|contribution_rate|band|5</t>
        </is>
      </c>
      <c r="C2496" t="n">
        <v>0.141226992</v>
      </c>
      <c r="E2496" t="n">
        <v>0.139351051</v>
      </c>
      <c r="G2496" t="n">
        <v>-0.283091867</v>
      </c>
    </row>
    <row r="2497">
      <c r="A2497" t="inlineStr">
        <is>
          <t>G|FICO x CHANNEL / SYS_FLAG|where Y|contribution_rate|rate|6</t>
        </is>
      </c>
      <c r="E2497" t="n">
        <v>0.140296941334961</v>
      </c>
      <c r="H2497" t="n">
        <v>0.140296941334961</v>
      </c>
    </row>
    <row r="2498">
      <c r="A2498" t="inlineStr">
        <is>
          <t>G|FICO x CHANNEL / SYS_FLAG|where Y|contribution_rate|book|6</t>
        </is>
      </c>
      <c r="E2498" t="n">
        <v>-2.92955144</v>
      </c>
      <c r="H2498" t="n">
        <v>-2.92955144</v>
      </c>
    </row>
    <row r="2499">
      <c r="A2499" t="inlineStr">
        <is>
          <t>G|FICO x CHANNEL / SYS_FLAG|where Y|contribution_rate|band|6</t>
        </is>
      </c>
    </row>
    <row r="2500">
      <c r="A2500" t="inlineStr">
        <is>
          <t>G|FICO x CHANNEL / SYS_FLAG|where Y|contribution_rate|rate|7</t>
        </is>
      </c>
      <c r="C2500" t="n">
        <v>0.1543009989352131</v>
      </c>
      <c r="E2500" t="n">
        <v>0.1735676663928442</v>
      </c>
      <c r="G2500" t="n">
        <v>0.1835808112454482</v>
      </c>
      <c r="H2500" t="n">
        <v>0.1712251117699985</v>
      </c>
    </row>
    <row r="2501">
      <c r="A2501" t="inlineStr">
        <is>
          <t>G|FICO x CHANNEL / SYS_FLAG|where Y|contribution_rate|book|7</t>
        </is>
      </c>
      <c r="C2501" t="n">
        <v>-1.52914568</v>
      </c>
      <c r="E2501" t="n">
        <v>0.397521066</v>
      </c>
      <c r="G2501" t="n">
        <v>1.398835551</v>
      </c>
      <c r="H2501" t="n">
        <v>0.163265604</v>
      </c>
    </row>
    <row r="2502">
      <c r="A2502" t="inlineStr">
        <is>
          <t>G|FICO x CHANNEL / SYS_FLAG|where Y|contribution_rate|band|7</t>
        </is>
      </c>
      <c r="C2502" t="n">
        <v>-2.443313047</v>
      </c>
      <c r="E2502" t="n">
        <v>0.352409439</v>
      </c>
      <c r="G2502" t="n">
        <v>1.922754678</v>
      </c>
    </row>
    <row r="2503">
      <c r="A2503" t="inlineStr">
        <is>
          <t>G|FICO x CHANNEL / SYS_FLAG|where Y|contribution_rate|rate|8</t>
        </is>
      </c>
      <c r="C2503" t="n">
        <v>0.1601003921069277</v>
      </c>
      <c r="E2503" t="n">
        <v>0.1637367310415072</v>
      </c>
      <c r="G2503" t="n">
        <v>0.181856565022196</v>
      </c>
      <c r="H2503" t="n">
        <v>0.168746697524647</v>
      </c>
    </row>
    <row r="2504">
      <c r="A2504" t="inlineStr">
        <is>
          <t>G|FICO x CHANNEL / SYS_FLAG|where Y|contribution_rate|book|8</t>
        </is>
      </c>
      <c r="C2504" t="n">
        <v>-0.9492063630000001</v>
      </c>
      <c r="E2504" t="n">
        <v>-0.585572469</v>
      </c>
      <c r="G2504" t="n">
        <v>1.226410929</v>
      </c>
      <c r="H2504" t="n">
        <v>-0.084575821</v>
      </c>
    </row>
    <row r="2505">
      <c r="A2505" t="inlineStr">
        <is>
          <t>G|FICO x CHANNEL / SYS_FLAG|where Y|contribution_rate|band|8</t>
        </is>
      </c>
    </row>
    <row r="2506">
      <c r="A2506" t="inlineStr">
        <is>
          <t>G|FICO x CHANNEL / SYS_FLAG|where Y|contribution_rate|meta</t>
        </is>
      </c>
      <c r="B2506" t="inlineStr">
        <is>
          <t>pts</t>
        </is>
      </c>
      <c r="C2506" t="n">
        <v>11.118344078</v>
      </c>
      <c r="D2506" t="n">
        <v>10</v>
      </c>
      <c r="E2506" t="n">
        <v>0.1695924557349815</v>
      </c>
      <c r="F2506" t="n">
        <v>65</v>
      </c>
    </row>
    <row r="2507">
      <c r="A2507" t="inlineStr">
        <is>
          <t>G|FICO x CHANNEL / SYS_FLAG|where Y|loan_size|rate|1</t>
        </is>
      </c>
      <c r="C2507" t="n">
        <v>33431.75718614719</v>
      </c>
      <c r="E2507" t="n">
        <v>32200.042</v>
      </c>
      <c r="G2507" t="n">
        <v>32928.98765486725</v>
      </c>
      <c r="H2507" t="n">
        <v>32822.29674515236</v>
      </c>
    </row>
    <row r="2508">
      <c r="A2508" t="inlineStr">
        <is>
          <t>G|FICO x CHANNEL / SYS_FLAG|where Y|loan_size|median|1</t>
        </is>
      </c>
      <c r="C2508" t="n">
        <v>33552.73</v>
      </c>
      <c r="E2508" t="n">
        <v>33065.97</v>
      </c>
      <c r="G2508" t="n">
        <v>33072.31</v>
      </c>
      <c r="H2508" t="n">
        <v>33096.61500000001</v>
      </c>
    </row>
    <row r="2509">
      <c r="A2509" t="inlineStr">
        <is>
          <t>G|FICO x CHANNEL / SYS_FLAG|where Y|loan_size|book|1</t>
        </is>
      </c>
      <c r="C2509" t="n">
        <v>1.036239144482252</v>
      </c>
      <c r="E2509" t="n">
        <v>0.9980613279938073</v>
      </c>
      <c r="G2509" t="n">
        <v>1.02065547455834</v>
      </c>
      <c r="H2509" t="n">
        <v>1.017348520143967</v>
      </c>
    </row>
    <row r="2510">
      <c r="A2510" t="inlineStr">
        <is>
          <t>G|FICO x CHANNEL / SYS_FLAG|where Y|loan_size|band|1</t>
        </is>
      </c>
      <c r="C2510" t="n">
        <v>1.027545006306304</v>
      </c>
      <c r="E2510" t="n">
        <v>0.9703740721819786</v>
      </c>
      <c r="G2510" t="n">
        <v>1.004738683286878</v>
      </c>
    </row>
    <row r="2511">
      <c r="A2511" t="inlineStr">
        <is>
          <t>G|FICO x CHANNEL / SYS_FLAG|where Y|loan_size|rate|2</t>
        </is>
      </c>
      <c r="C2511" t="n">
        <v>31939.16791338583</v>
      </c>
      <c r="E2511" t="n">
        <v>32115.94459016394</v>
      </c>
      <c r="G2511" t="n">
        <v>30327.3411440678</v>
      </c>
      <c r="H2511" t="n">
        <v>31479.68888283379</v>
      </c>
    </row>
    <row r="2512">
      <c r="A2512" t="inlineStr">
        <is>
          <t>G|FICO x CHANNEL / SYS_FLAG|where Y|loan_size|median|2</t>
        </is>
      </c>
      <c r="C2512" t="n">
        <v>31860.04</v>
      </c>
      <c r="E2512" t="n">
        <v>33779.885</v>
      </c>
      <c r="G2512" t="n">
        <v>29780.72</v>
      </c>
      <c r="H2512" t="n">
        <v>31595.505</v>
      </c>
    </row>
    <row r="2513">
      <c r="A2513" t="inlineStr">
        <is>
          <t>G|FICO x CHANNEL / SYS_FLAG|where Y|loan_size|book|2</t>
        </is>
      </c>
      <c r="C2513" t="n">
        <v>0.9899753653318545</v>
      </c>
      <c r="E2513" t="n">
        <v>0.9954546738614363</v>
      </c>
      <c r="G2513" t="n">
        <v>0.9400157421151667</v>
      </c>
      <c r="H2513" t="n">
        <v>0.9757335127461318</v>
      </c>
    </row>
    <row r="2514">
      <c r="A2514" t="inlineStr">
        <is>
          <t>G|FICO x CHANNEL / SYS_FLAG|where Y|loan_size|band|2</t>
        </is>
      </c>
      <c r="C2514" t="n">
        <v>1.022493523288667</v>
      </c>
      <c r="E2514" t="n">
        <v>1.03058400592692</v>
      </c>
      <c r="G2514" t="n">
        <v>0.9469664698878784</v>
      </c>
    </row>
    <row r="2515">
      <c r="A2515" t="inlineStr">
        <is>
          <t>G|FICO x CHANNEL / SYS_FLAG|where Y|loan_size|rate|3</t>
        </is>
      </c>
      <c r="C2515" t="n">
        <v>32296.85523404255</v>
      </c>
      <c r="E2515" t="n">
        <v>33879.94991304348</v>
      </c>
      <c r="G2515" t="n">
        <v>34305.75967871486</v>
      </c>
      <c r="H2515" t="n">
        <v>33507.40002801121</v>
      </c>
    </row>
    <row r="2516">
      <c r="A2516" t="inlineStr">
        <is>
          <t>G|FICO x CHANNEL / SYS_FLAG|where Y|loan_size|median|3</t>
        </is>
      </c>
      <c r="C2516" t="n">
        <v>33248.03</v>
      </c>
      <c r="E2516" t="n">
        <v>35858.745</v>
      </c>
      <c r="G2516" t="n">
        <v>35193.47</v>
      </c>
      <c r="H2516" t="n">
        <v>34821.65</v>
      </c>
    </row>
    <row r="2517">
      <c r="A2517" t="inlineStr">
        <is>
          <t>G|FICO x CHANNEL / SYS_FLAG|where Y|loan_size|book|3</t>
        </is>
      </c>
      <c r="C2517" t="n">
        <v>1.001062117400724</v>
      </c>
      <c r="E2517" t="n">
        <v>1.050131170716357</v>
      </c>
      <c r="G2517" t="n">
        <v>1.063329422451516</v>
      </c>
      <c r="H2517" t="n">
        <v>1.038583743759607</v>
      </c>
    </row>
    <row r="2518">
      <c r="A2518" t="inlineStr">
        <is>
          <t>G|FICO x CHANNEL / SYS_FLAG|where Y|loan_size|band|3</t>
        </is>
      </c>
      <c r="C2518" t="n">
        <v>0.9470857519412874</v>
      </c>
      <c r="E2518" t="n">
        <v>1.01648911151508</v>
      </c>
      <c r="G2518" t="n">
        <v>1.037057811204131</v>
      </c>
    </row>
    <row r="2519">
      <c r="A2519" t="inlineStr">
        <is>
          <t>G|FICO x CHANNEL / SYS_FLAG|where Y|loan_size|rate|4</t>
        </is>
      </c>
      <c r="C2519" t="n">
        <v>31104.60282608696</v>
      </c>
      <c r="E2519" t="n">
        <v>32278.29114678899</v>
      </c>
      <c r="G2519" t="n">
        <v>33484.52514388489</v>
      </c>
      <c r="H2519" t="n">
        <v>32368.35276859504</v>
      </c>
    </row>
    <row r="2520">
      <c r="A2520" t="inlineStr">
        <is>
          <t>G|FICO x CHANNEL / SYS_FLAG|where Y|loan_size|median|4</t>
        </is>
      </c>
      <c r="C2520" t="n">
        <v>30633.685</v>
      </c>
      <c r="E2520" t="n">
        <v>33002.01</v>
      </c>
      <c r="G2520" t="n">
        <v>34405.455</v>
      </c>
      <c r="H2520" t="n">
        <v>32576.985</v>
      </c>
    </row>
    <row r="2521">
      <c r="A2521" t="inlineStr">
        <is>
          <t>G|FICO x CHANNEL / SYS_FLAG|where Y|loan_size|book|4</t>
        </is>
      </c>
      <c r="C2521" t="n">
        <v>0.9641074754910034</v>
      </c>
      <c r="E2521" t="n">
        <v>1.000486711394196</v>
      </c>
      <c r="G2521" t="n">
        <v>1.037874721789114</v>
      </c>
      <c r="H2521" t="n">
        <v>1.003278230171128</v>
      </c>
    </row>
    <row r="2522">
      <c r="A2522" t="inlineStr">
        <is>
          <t>G|FICO x CHANNEL / SYS_FLAG|where Y|loan_size|band|4</t>
        </is>
      </c>
      <c r="C2522" t="n">
        <v>0.943868954138339</v>
      </c>
      <c r="E2522" t="n">
        <v>0.996028323879105</v>
      </c>
      <c r="G2522" t="n">
        <v>1.057103571558496</v>
      </c>
    </row>
    <row r="2523">
      <c r="A2523" t="inlineStr">
        <is>
          <t>G|FICO x CHANNEL / SYS_FLAG|where Y|loan_size|rate|5</t>
        </is>
      </c>
      <c r="C2523" t="n">
        <v>31156.68255230126</v>
      </c>
      <c r="E2523" t="n">
        <v>32632.09383966245</v>
      </c>
      <c r="G2523" t="n">
        <v>33124.0692</v>
      </c>
      <c r="H2523" t="n">
        <v>32286.97423680457</v>
      </c>
    </row>
    <row r="2524">
      <c r="A2524" t="inlineStr">
        <is>
          <t>G|FICO x CHANNEL / SYS_FLAG|where Y|loan_size|median|5</t>
        </is>
      </c>
      <c r="C2524" t="n">
        <v>30349.14</v>
      </c>
      <c r="E2524" t="n">
        <v>31892.25</v>
      </c>
      <c r="G2524" t="n">
        <v>35322.29</v>
      </c>
      <c r="H2524" t="n">
        <v>32112.83</v>
      </c>
    </row>
    <row r="2525">
      <c r="A2525" t="inlineStr">
        <is>
          <t>G|FICO x CHANNEL / SYS_FLAG|where Y|loan_size|book|5</t>
        </is>
      </c>
      <c r="C2525" t="n">
        <v>0.9657217206123916</v>
      </c>
      <c r="E2525" t="n">
        <v>1.011453056888312</v>
      </c>
      <c r="G2525" t="n">
        <v>1.026702154435412</v>
      </c>
      <c r="H2525" t="n">
        <v>1.000755849439172</v>
      </c>
    </row>
    <row r="2526">
      <c r="A2526" t="inlineStr">
        <is>
          <t>G|FICO x CHANNEL / SYS_FLAG|where Y|loan_size|band|5</t>
        </is>
      </c>
      <c r="C2526" t="n">
        <v>0.9478271558042833</v>
      </c>
      <c r="E2526" t="n">
        <v>1.016237529515499</v>
      </c>
      <c r="G2526" t="n">
        <v>1.038655716403237</v>
      </c>
    </row>
    <row r="2527">
      <c r="A2527" t="inlineStr">
        <is>
          <t>G|FICO x CHANNEL / SYS_FLAG|where Y|loan_size|rate|6</t>
        </is>
      </c>
      <c r="E2527" t="n">
        <v>27999.47</v>
      </c>
      <c r="H2527" t="n">
        <v>27999.47</v>
      </c>
    </row>
    <row r="2528">
      <c r="A2528" t="inlineStr">
        <is>
          <t>G|FICO x CHANNEL / SYS_FLAG|where Y|loan_size|median|6</t>
        </is>
      </c>
      <c r="E2528" t="n">
        <v>27999.47</v>
      </c>
      <c r="H2528" t="n">
        <v>27999.47</v>
      </c>
    </row>
    <row r="2529">
      <c r="A2529" t="inlineStr">
        <is>
          <t>G|FICO x CHANNEL / SYS_FLAG|where Y|loan_size|book|6</t>
        </is>
      </c>
      <c r="E2529" t="n">
        <v>0.8678618559355534</v>
      </c>
      <c r="H2529" t="n">
        <v>0.8678618559355534</v>
      </c>
    </row>
    <row r="2530">
      <c r="A2530" t="inlineStr">
        <is>
          <t>G|FICO x CHANNEL / SYS_FLAG|where Y|loan_size|band|6</t>
        </is>
      </c>
    </row>
    <row r="2531">
      <c r="A2531" t="inlineStr">
        <is>
          <t>G|FICO x CHANNEL / SYS_FLAG|where Y|loan_size|rate|7</t>
        </is>
      </c>
      <c r="C2531" t="n">
        <v>33967.53181818181</v>
      </c>
      <c r="E2531" t="n">
        <v>32609.4492</v>
      </c>
      <c r="G2531" t="n">
        <v>34761.0012</v>
      </c>
      <c r="H2531" t="n">
        <v>33771.48555555556</v>
      </c>
    </row>
    <row r="2532">
      <c r="A2532" t="inlineStr">
        <is>
          <t>G|FICO x CHANNEL / SYS_FLAG|where Y|loan_size|median|7</t>
        </is>
      </c>
      <c r="C2532" t="n">
        <v>36575.155</v>
      </c>
      <c r="E2532" t="n">
        <v>30599.75</v>
      </c>
      <c r="G2532" t="n">
        <v>36736.09</v>
      </c>
      <c r="H2532" t="n">
        <v>35774.8</v>
      </c>
    </row>
    <row r="2533">
      <c r="A2533" t="inlineStr">
        <is>
          <t>G|FICO x CHANNEL / SYS_FLAG|where Y|loan_size|book|7</t>
        </is>
      </c>
      <c r="C2533" t="n">
        <v>1.052845829055951</v>
      </c>
      <c r="E2533" t="n">
        <v>1.010751171495323</v>
      </c>
      <c r="G2533" t="n">
        <v>1.077439930670473</v>
      </c>
      <c r="H2533" t="n">
        <v>1.04676924713022</v>
      </c>
    </row>
    <row r="2534">
      <c r="A2534" t="inlineStr">
        <is>
          <t>G|FICO x CHANNEL / SYS_FLAG|where Y|loan_size|band|7</t>
        </is>
      </c>
      <c r="C2534" t="n">
        <v>1.008380725273638</v>
      </c>
      <c r="E2534" t="n">
        <v>0.9482360563182056</v>
      </c>
      <c r="G2534" t="n">
        <v>1.045596240943639</v>
      </c>
    </row>
    <row r="2535">
      <c r="A2535" t="inlineStr">
        <is>
          <t>G|FICO x CHANNEL / SYS_FLAG|where Y|loan_size|rate|8</t>
        </is>
      </c>
      <c r="C2535" t="n">
        <v>32017.20645747317</v>
      </c>
      <c r="E2535" t="n">
        <v>32602.78647540984</v>
      </c>
      <c r="G2535" t="n">
        <v>32907.16422114609</v>
      </c>
      <c r="H2535" t="n">
        <v>32512.31961580381</v>
      </c>
    </row>
    <row r="2536">
      <c r="A2536" t="inlineStr">
        <is>
          <t>G|FICO x CHANNEL / SYS_FLAG|where Y|loan_size|median|8</t>
        </is>
      </c>
      <c r="C2536" t="n">
        <v>31923.05</v>
      </c>
      <c r="E2536" t="n">
        <v>33360.735</v>
      </c>
      <c r="G2536" t="n">
        <v>33331.65</v>
      </c>
      <c r="H2536" t="n">
        <v>32864.335</v>
      </c>
    </row>
    <row r="2537">
      <c r="A2537" t="inlineStr">
        <is>
          <t>G|FICO x CHANNEL / SYS_FLAG|where Y|loan_size|book|8</t>
        </is>
      </c>
      <c r="C2537" t="n">
        <v>0.9923942209639842</v>
      </c>
      <c r="E2537" t="n">
        <v>1.010544655995979</v>
      </c>
      <c r="G2537" t="n">
        <v>1.019979042979738</v>
      </c>
      <c r="H2537" t="n">
        <v>1.007740576608821</v>
      </c>
    </row>
    <row r="2538">
      <c r="A2538" t="inlineStr">
        <is>
          <t>G|FICO x CHANNEL / SYS_FLAG|where Y|loan_size|band|8</t>
        </is>
      </c>
    </row>
    <row r="2539">
      <c r="A2539" t="inlineStr">
        <is>
          <t>G|FICO x CHANNEL / SYS_FLAG|where Y|loan_size|meta</t>
        </is>
      </c>
      <c r="B2539" t="inlineStr">
        <is>
          <t>size</t>
        </is>
      </c>
      <c r="C2539" t="n">
        <v>1</v>
      </c>
      <c r="E2539" t="n">
        <v>32262.58857732217</v>
      </c>
      <c r="F2539" t="n">
        <v>65</v>
      </c>
    </row>
    <row r="2540">
      <c r="A2540" t="inlineStr">
        <is>
          <t>G|FICO x ASSET_CLASS / SYS_FLAG|cols</t>
        </is>
      </c>
      <c r="B2540" t="inlineStr">
        <is>
          <t>1 · N</t>
        </is>
      </c>
      <c r="C2540" t="inlineStr">
        <is>
          <t>1 · Y</t>
        </is>
      </c>
      <c r="D2540" t="inlineStr">
        <is>
          <t>2 · N</t>
        </is>
      </c>
      <c r="E2540" t="inlineStr">
        <is>
          <t>2 · Y</t>
        </is>
      </c>
      <c r="F2540" t="inlineStr">
        <is>
          <t>3 · N</t>
        </is>
      </c>
      <c r="G2540" t="inlineStr">
        <is>
          <t>3 · Y</t>
        </is>
      </c>
      <c r="H2540" t="inlineStr">
        <is>
          <t>4 · N</t>
        </is>
      </c>
      <c r="I2540" t="inlineStr">
        <is>
          <t>4 · Y</t>
        </is>
      </c>
      <c r="J2540" t="inlineStr">
        <is>
          <t>All</t>
        </is>
      </c>
    </row>
    <row r="2541">
      <c r="A2541" t="inlineStr">
        <is>
          <t>G|FICO x ASSET_CLASS / SYS_FLAG|heads</t>
        </is>
      </c>
      <c r="B2541" t="inlineStr">
        <is>
          <t>N</t>
        </is>
      </c>
      <c r="C2541" t="inlineStr">
        <is>
          <t>Y</t>
        </is>
      </c>
      <c r="D2541" t="inlineStr">
        <is>
          <t>N</t>
        </is>
      </c>
      <c r="E2541" t="inlineStr">
        <is>
          <t>Y</t>
        </is>
      </c>
      <c r="F2541" t="inlineStr">
        <is>
          <t>N</t>
        </is>
      </c>
      <c r="G2541" t="inlineStr">
        <is>
          <t>Y</t>
        </is>
      </c>
      <c r="H2541" t="inlineStr">
        <is>
          <t>N</t>
        </is>
      </c>
      <c r="I2541" t="inlineStr">
        <is>
          <t>Y</t>
        </is>
      </c>
      <c r="J2541" t="inlineStr">
        <is>
          <t>All</t>
        </is>
      </c>
    </row>
    <row r="2542">
      <c r="A2542" t="inlineStr">
        <is>
          <t>G|FICO x ASSET_CLASS / SYS_FLAG|segs</t>
        </is>
      </c>
      <c r="B2542" t="inlineStr">
        <is>
          <t>1</t>
        </is>
      </c>
      <c r="C2542" t="inlineStr">
        <is>
          <t>2</t>
        </is>
      </c>
      <c r="D2542" t="inlineStr">
        <is>
          <t>3</t>
        </is>
      </c>
      <c r="E2542" t="inlineStr">
        <is>
          <t>4</t>
        </is>
      </c>
    </row>
    <row r="2543">
      <c r="A2543" t="inlineStr">
        <is>
          <t>G|FICO x ASSET_CLASS / SYS_FLAG|rows</t>
        </is>
      </c>
      <c r="B2543" t="inlineStr">
        <is>
          <t>496 - 653</t>
        </is>
      </c>
      <c r="C2543" t="inlineStr">
        <is>
          <t>654 - 685</t>
        </is>
      </c>
      <c r="D2543" t="inlineStr">
        <is>
          <t>686 - 711</t>
        </is>
      </c>
      <c r="E2543" t="inlineStr">
        <is>
          <t>712 - 745</t>
        </is>
      </c>
      <c r="F2543" t="inlineStr">
        <is>
          <t>746 - 921</t>
        </is>
      </c>
      <c r="G2543" t="inlineStr">
        <is>
          <t>(blank)</t>
        </is>
      </c>
      <c r="H2543" t="inlineStr">
        <is>
          <t>(marked missing)</t>
        </is>
      </c>
      <c r="I2543" t="inlineStr">
        <is>
          <t>All</t>
        </is>
      </c>
    </row>
    <row r="2544">
      <c r="A2544" t="inlineStr">
        <is>
          <t>G|FICO x ASSET_CLASS / SYS_FLAG|names</t>
        </is>
      </c>
      <c r="B2544" t="inlineStr">
        <is>
          <t>FICO</t>
        </is>
      </c>
      <c r="C2544" t="inlineStr">
        <is>
          <t>ASSET_CLASS / SYS_FLAG</t>
        </is>
      </c>
    </row>
    <row r="2545">
      <c r="A2545" t="inlineStr">
        <is>
          <t>G|FICO x ASSET_CLASS / SYS_FLAG|total</t>
        </is>
      </c>
      <c r="B2545" t="n">
        <v>8000</v>
      </c>
    </row>
    <row r="2546">
      <c r="A2546" t="inlineStr">
        <is>
          <t>G|FICO x ASSET_CLASS / SYS_FLAG|loans|1</t>
        </is>
      </c>
      <c r="B2546" t="n">
        <v>234</v>
      </c>
      <c r="C2546" t="n">
        <v>186</v>
      </c>
      <c r="D2546" t="n">
        <v>213</v>
      </c>
      <c r="E2546" t="n">
        <v>181</v>
      </c>
      <c r="F2546" t="n">
        <v>184</v>
      </c>
      <c r="G2546" t="n">
        <v>166</v>
      </c>
      <c r="H2546" t="n">
        <v>203</v>
      </c>
      <c r="I2546" t="n">
        <v>189</v>
      </c>
      <c r="J2546" t="n">
        <v>1556</v>
      </c>
    </row>
    <row r="2547">
      <c r="A2547" t="inlineStr">
        <is>
          <t>G|FICO x ASSET_CLASS / SYS_FLAG|loans|2</t>
        </is>
      </c>
      <c r="B2547" t="n">
        <v>210</v>
      </c>
      <c r="C2547" t="n">
        <v>187</v>
      </c>
      <c r="D2547" t="n">
        <v>192</v>
      </c>
      <c r="E2547" t="n">
        <v>163</v>
      </c>
      <c r="F2547" t="n">
        <v>184</v>
      </c>
      <c r="G2547" t="n">
        <v>193</v>
      </c>
      <c r="H2547" t="n">
        <v>219</v>
      </c>
      <c r="I2547" t="n">
        <v>191</v>
      </c>
      <c r="J2547" t="n">
        <v>1539</v>
      </c>
    </row>
    <row r="2548">
      <c r="A2548" t="inlineStr">
        <is>
          <t>G|FICO x ASSET_CLASS / SYS_FLAG|loans|3</t>
        </is>
      </c>
      <c r="B2548" t="n">
        <v>205</v>
      </c>
      <c r="C2548" t="n">
        <v>167</v>
      </c>
      <c r="D2548" t="n">
        <v>216</v>
      </c>
      <c r="E2548" t="n">
        <v>179</v>
      </c>
      <c r="F2548" t="n">
        <v>192</v>
      </c>
      <c r="G2548" t="n">
        <v>196</v>
      </c>
      <c r="H2548" t="n">
        <v>235</v>
      </c>
      <c r="I2548" t="n">
        <v>172</v>
      </c>
      <c r="J2548" t="n">
        <v>1562</v>
      </c>
    </row>
    <row r="2549">
      <c r="A2549" t="inlineStr">
        <is>
          <t>G|FICO x ASSET_CLASS / SYS_FLAG|loans|4</t>
        </is>
      </c>
      <c r="B2549" t="n">
        <v>194</v>
      </c>
      <c r="C2549" t="n">
        <v>167</v>
      </c>
      <c r="D2549" t="n">
        <v>247</v>
      </c>
      <c r="E2549" t="n">
        <v>184</v>
      </c>
      <c r="F2549" t="n">
        <v>223</v>
      </c>
      <c r="G2549" t="n">
        <v>169</v>
      </c>
      <c r="H2549" t="n">
        <v>220</v>
      </c>
      <c r="I2549" t="n">
        <v>207</v>
      </c>
      <c r="J2549" t="n">
        <v>1611</v>
      </c>
    </row>
    <row r="2550">
      <c r="A2550" t="inlineStr">
        <is>
          <t>G|FICO x ASSET_CLASS / SYS_FLAG|loans|5</t>
        </is>
      </c>
      <c r="B2550" t="n">
        <v>231</v>
      </c>
      <c r="C2550" t="n">
        <v>183</v>
      </c>
      <c r="D2550" t="n">
        <v>219</v>
      </c>
      <c r="E2550" t="n">
        <v>180</v>
      </c>
      <c r="F2550" t="n">
        <v>211</v>
      </c>
      <c r="G2550" t="n">
        <v>174</v>
      </c>
      <c r="H2550" t="n">
        <v>209</v>
      </c>
      <c r="I2550" t="n">
        <v>164</v>
      </c>
      <c r="J2550" t="n">
        <v>1571</v>
      </c>
    </row>
    <row r="2551">
      <c r="A2551" t="inlineStr">
        <is>
          <t>G|FICO x ASSET_CLASS / SYS_FLAG|loans|6</t>
        </is>
      </c>
      <c r="E2551" t="n">
        <v>1</v>
      </c>
      <c r="J2551" t="n">
        <v>1</v>
      </c>
    </row>
    <row r="2552">
      <c r="A2552" t="inlineStr">
        <is>
          <t>G|FICO x ASSET_CLASS / SYS_FLAG|loans|7</t>
        </is>
      </c>
      <c r="B2552" t="n">
        <v>27</v>
      </c>
      <c r="C2552" t="n">
        <v>15</v>
      </c>
      <c r="D2552" t="n">
        <v>18</v>
      </c>
      <c r="E2552" t="n">
        <v>18</v>
      </c>
      <c r="F2552" t="n">
        <v>21</v>
      </c>
      <c r="G2552" t="n">
        <v>22</v>
      </c>
      <c r="H2552" t="n">
        <v>22</v>
      </c>
      <c r="I2552" t="n">
        <v>17</v>
      </c>
      <c r="J2552" t="n">
        <v>160</v>
      </c>
    </row>
    <row r="2553">
      <c r="A2553" t="inlineStr">
        <is>
          <t>G|FICO x ASSET_CLASS / SYS_FLAG|loans|8</t>
        </is>
      </c>
      <c r="B2553" t="n">
        <v>1101</v>
      </c>
      <c r="C2553" t="n">
        <v>905</v>
      </c>
      <c r="D2553" t="n">
        <v>1105</v>
      </c>
      <c r="E2553" t="n">
        <v>906</v>
      </c>
      <c r="F2553" t="n">
        <v>1015</v>
      </c>
      <c r="G2553" t="n">
        <v>920</v>
      </c>
      <c r="H2553" t="n">
        <v>1108</v>
      </c>
      <c r="I2553" t="n">
        <v>940</v>
      </c>
      <c r="J2553" t="n">
        <v>8000</v>
      </c>
    </row>
    <row r="2554">
      <c r="A2554" t="inlineStr">
        <is>
          <t>G|FICO x ASSET_CLASS / SYS_FLAG|outcome_loans|rate|1</t>
        </is>
      </c>
      <c r="B2554" t="n">
        <v>0.0811965811965812</v>
      </c>
      <c r="C2554" t="n">
        <v>0.2043010752688172</v>
      </c>
      <c r="D2554" t="n">
        <v>0.09905660377358491</v>
      </c>
      <c r="E2554" t="n">
        <v>0.1270718232044199</v>
      </c>
      <c r="F2554" t="n">
        <v>0.1195652173913044</v>
      </c>
      <c r="G2554" t="n">
        <v>0.1867469879518072</v>
      </c>
      <c r="H2554" t="n">
        <v>0.167487684729064</v>
      </c>
      <c r="I2554" t="n">
        <v>0.2433862433862434</v>
      </c>
      <c r="J2554" t="n">
        <v>0.1504823151125402</v>
      </c>
    </row>
    <row r="2555">
      <c r="A2555" t="inlineStr">
        <is>
          <t>G|FICO x ASSET_CLASS / SYS_FLAG|outcome_loans|book|1</t>
        </is>
      </c>
      <c r="B2555" t="n">
        <v>1.049259213233365</v>
      </c>
      <c r="C2555" t="n">
        <v>2.640071568780725</v>
      </c>
      <c r="D2555" t="n">
        <v>1.280054561526504</v>
      </c>
      <c r="E2555" t="n">
        <v>1.642079990003481</v>
      </c>
      <c r="F2555" t="n">
        <v>1.545076209875676</v>
      </c>
      <c r="G2555" t="n">
        <v>2.413229655293224</v>
      </c>
      <c r="H2555" t="n">
        <v>2.164352165020651</v>
      </c>
      <c r="I2555" t="n">
        <v>3.145147917361164</v>
      </c>
      <c r="J2555" t="n">
        <v>1.944601031640079</v>
      </c>
    </row>
    <row r="2556">
      <c r="A2556" t="inlineStr">
        <is>
          <t>G|FICO x ASSET_CLASS / SYS_FLAG|outcome_loans|band|1</t>
        </is>
      </c>
      <c r="B2556" t="n">
        <v>0.4988869012124826</v>
      </c>
      <c r="C2556" t="n">
        <v>1.426980469607198</v>
      </c>
      <c r="D2556" t="n">
        <v>0.6245681636991762</v>
      </c>
      <c r="E2556" t="n">
        <v>0.8274724411510567</v>
      </c>
      <c r="F2556" t="n">
        <v>0.7732260049220673</v>
      </c>
      <c r="G2556" t="n">
        <v>1.277790966822957</v>
      </c>
      <c r="H2556" t="n">
        <v>1.132216748768473</v>
      </c>
      <c r="I2556" t="n">
        <v>1.768434087583024</v>
      </c>
    </row>
    <row r="2557">
      <c r="A2557" t="inlineStr">
        <is>
          <t>G|FICO x ASSET_CLASS / SYS_FLAG|outcome_loans|rate|2</t>
        </is>
      </c>
      <c r="B2557" t="n">
        <v>0.04761904761904762</v>
      </c>
      <c r="C2557" t="n">
        <v>0.106951871657754</v>
      </c>
      <c r="D2557" t="n">
        <v>0.02083333333333333</v>
      </c>
      <c r="E2557" t="n">
        <v>0.1042944785276074</v>
      </c>
      <c r="F2557" t="n">
        <v>0.07065217391304347</v>
      </c>
      <c r="G2557" t="n">
        <v>0.09326424870466321</v>
      </c>
      <c r="H2557" t="n">
        <v>0.091324200913242</v>
      </c>
      <c r="I2557" t="n">
        <v>0.1465968586387434</v>
      </c>
      <c r="J2557" t="n">
        <v>0.08447043534762833</v>
      </c>
    </row>
    <row r="2558">
      <c r="A2558" t="inlineStr">
        <is>
          <t>G|FICO x ASSET_CLASS / SYS_FLAG|outcome_loans|book|2</t>
        </is>
      </c>
      <c r="B2558" t="n">
        <v>0.615355027309793</v>
      </c>
      <c r="C2558" t="n">
        <v>1.382080810000605</v>
      </c>
      <c r="E2558" t="n">
        <v>1.347740765334945</v>
      </c>
      <c r="F2558" t="n">
        <v>0.9129995785628994</v>
      </c>
      <c r="G2558" t="n">
        <v>1.205203110482393</v>
      </c>
      <c r="H2558" t="n">
        <v>1.180132929087274</v>
      </c>
      <c r="I2558" t="n">
        <v>1.894391392974651</v>
      </c>
      <c r="J2558" t="n">
        <v>1.091565448054409</v>
      </c>
    </row>
    <row r="2559">
      <c r="A2559" t="inlineStr">
        <is>
          <t>G|FICO x ASSET_CLASS / SYS_FLAG|outcome_loans|band|2</t>
        </is>
      </c>
      <c r="B2559" t="n">
        <v>0.5273809523809523</v>
      </c>
      <c r="C2559" t="n">
        <v>1.314535731648031</v>
      </c>
      <c r="E2559" t="n">
        <v>1.269992942070688</v>
      </c>
      <c r="F2559" t="n">
        <v>0.8182367149758454</v>
      </c>
      <c r="G2559" t="n">
        <v>1.120836417468542</v>
      </c>
      <c r="H2559" t="n">
        <v>1.095890410958904</v>
      </c>
      <c r="I2559" t="n">
        <v>1.937378092598296</v>
      </c>
    </row>
    <row r="2560">
      <c r="A2560" t="inlineStr">
        <is>
          <t>G|FICO x ASSET_CLASS / SYS_FLAG|outcome_loans|rate|3</t>
        </is>
      </c>
      <c r="B2560" t="n">
        <v>0.05365853658536585</v>
      </c>
      <c r="C2560" t="n">
        <v>0.05389221556886228</v>
      </c>
      <c r="D2560" t="n">
        <v>0.02314814814814815</v>
      </c>
      <c r="E2560" t="n">
        <v>0.06145251396648044</v>
      </c>
      <c r="F2560" t="n">
        <v>0.05208333333333334</v>
      </c>
      <c r="G2560" t="n">
        <v>0.08673469387755102</v>
      </c>
      <c r="H2560" t="n">
        <v>0.07659574468085106</v>
      </c>
      <c r="I2560" t="n">
        <v>0.0872093023255814</v>
      </c>
      <c r="J2560" t="n">
        <v>0.06145966709346991</v>
      </c>
    </row>
    <row r="2561">
      <c r="A2561" t="inlineStr">
        <is>
          <t>G|FICO x ASSET_CLASS / SYS_FLAG|outcome_loans|book|3</t>
        </is>
      </c>
      <c r="B2561" t="n">
        <v>0.6934000551637181</v>
      </c>
      <c r="E2561" t="n">
        <v>0.7941173816120792</v>
      </c>
      <c r="F2561" t="n">
        <v>0.6730445611200861</v>
      </c>
      <c r="G2561" t="n">
        <v>1.120825228314266</v>
      </c>
      <c r="H2561" t="n">
        <v>0.9898051077578799</v>
      </c>
      <c r="I2561" t="n">
        <v>1.126958334898749</v>
      </c>
      <c r="J2561" t="n">
        <v>0.7942098175778123</v>
      </c>
    </row>
    <row r="2562">
      <c r="A2562" t="inlineStr">
        <is>
          <t>G|FICO x ASSET_CLASS / SYS_FLAG|outcome_loans|band|3</t>
        </is>
      </c>
      <c r="B2562" t="n">
        <v>0.8566427546628408</v>
      </c>
      <c r="E2562" t="n">
        <v>0.9998685507722642</v>
      </c>
      <c r="F2562" t="n">
        <v>0.8296996124031008</v>
      </c>
      <c r="G2562" t="n">
        <v>1.499741668819426</v>
      </c>
      <c r="H2562" t="n">
        <v>1.303109656301146</v>
      </c>
      <c r="I2562" t="n">
        <v>1.496554694229113</v>
      </c>
    </row>
    <row r="2563">
      <c r="A2563" t="inlineStr">
        <is>
          <t>G|FICO x ASSET_CLASS / SYS_FLAG|outcome_loans|rate|4</t>
        </is>
      </c>
      <c r="B2563" t="n">
        <v>0.02577319587628866</v>
      </c>
      <c r="C2563" t="n">
        <v>0.04790419161676647</v>
      </c>
      <c r="D2563" t="n">
        <v>0.03643724696356275</v>
      </c>
      <c r="E2563" t="n">
        <v>0.05978260869565218</v>
      </c>
      <c r="F2563" t="n">
        <v>0.03587443946188341</v>
      </c>
      <c r="G2563" t="n">
        <v>0.0650887573964497</v>
      </c>
      <c r="H2563" t="n">
        <v>0.05909090909090909</v>
      </c>
      <c r="I2563" t="n">
        <v>0.106280193236715</v>
      </c>
      <c r="J2563" t="n">
        <v>0.05400372439478585</v>
      </c>
    </row>
    <row r="2564">
      <c r="A2564" t="inlineStr">
        <is>
          <t>G|FICO x ASSET_CLASS / SYS_FLAG|outcome_loans|book|4</t>
        </is>
      </c>
      <c r="E2564" t="n">
        <v>0.772538104937838</v>
      </c>
      <c r="G2564" t="n">
        <v>0.8411065757903088</v>
      </c>
      <c r="H2564" t="n">
        <v>0.763599647525334</v>
      </c>
      <c r="I2564" t="n">
        <v>1.373401075445045</v>
      </c>
      <c r="J2564" t="n">
        <v>0.6978607292954636</v>
      </c>
    </row>
    <row r="2565">
      <c r="A2565" t="inlineStr">
        <is>
          <t>G|FICO x ASSET_CLASS / SYS_FLAG|outcome_loans|band|4</t>
        </is>
      </c>
      <c r="E2565" t="n">
        <v>1.122497139588101</v>
      </c>
      <c r="G2565" t="n">
        <v>1.234973528495796</v>
      </c>
      <c r="H2565" t="n">
        <v>1.110749385749386</v>
      </c>
      <c r="I2565" t="n">
        <v>2.295652173913044</v>
      </c>
    </row>
    <row r="2566">
      <c r="A2566" t="inlineStr">
        <is>
          <t>G|FICO x ASSET_CLASS / SYS_FLAG|outcome_loans|rate|5</t>
        </is>
      </c>
      <c r="B2566" t="n">
        <v>0.01731601731601732</v>
      </c>
      <c r="C2566" t="n">
        <v>0.06010928961748634</v>
      </c>
      <c r="D2566" t="n">
        <v>0.0319634703196347</v>
      </c>
      <c r="E2566" t="n">
        <v>0.05</v>
      </c>
      <c r="F2566" t="n">
        <v>0.03317535545023697</v>
      </c>
      <c r="G2566" t="n">
        <v>0.05172413793103448</v>
      </c>
      <c r="H2566" t="n">
        <v>0.03349282296650718</v>
      </c>
      <c r="I2566" t="n">
        <v>0.04878048780487805</v>
      </c>
      <c r="J2566" t="n">
        <v>0.03946530872056015</v>
      </c>
    </row>
    <row r="2567">
      <c r="A2567" t="inlineStr">
        <is>
          <t>G|FICO x ASSET_CLASS / SYS_FLAG|outcome_loans|book|5</t>
        </is>
      </c>
      <c r="C2567" t="n">
        <v>0.7767596246369518</v>
      </c>
      <c r="J2567" t="n">
        <v>0.5099886986361238</v>
      </c>
    </row>
    <row r="2568">
      <c r="A2568" t="inlineStr">
        <is>
          <t>G|FICO x ASSET_CLASS / SYS_FLAG|outcome_loans|band|5</t>
        </is>
      </c>
      <c r="C2568" t="n">
        <v>1.635915568413158</v>
      </c>
    </row>
    <row r="2569">
      <c r="A2569" t="inlineStr">
        <is>
          <t>G|FICO x ASSET_CLASS / SYS_FLAG|outcome_loans|rate|6</t>
        </is>
      </c>
      <c r="E2569" t="n">
        <v>0</v>
      </c>
      <c r="J2569" t="n">
        <v>0</v>
      </c>
    </row>
    <row r="2570">
      <c r="A2570" t="inlineStr">
        <is>
          <t>G|FICO x ASSET_CLASS / SYS_FLAG|outcome_loans|book|6</t>
        </is>
      </c>
    </row>
    <row r="2571">
      <c r="A2571" t="inlineStr">
        <is>
          <t>G|FICO x ASSET_CLASS / SYS_FLAG|outcome_loans|band|6</t>
        </is>
      </c>
    </row>
    <row r="2572">
      <c r="A2572" t="inlineStr">
        <is>
          <t>G|FICO x ASSET_CLASS / SYS_FLAG|outcome_loans|rate|7</t>
        </is>
      </c>
      <c r="B2572" t="n">
        <v>0</v>
      </c>
      <c r="C2572" t="n">
        <v>0.06666666666666667</v>
      </c>
      <c r="D2572" t="n">
        <v>0.05555555555555555</v>
      </c>
      <c r="E2572" t="n">
        <v>0.2222222222222222</v>
      </c>
      <c r="F2572" t="n">
        <v>0</v>
      </c>
      <c r="G2572" t="n">
        <v>0.09090909090909091</v>
      </c>
      <c r="H2572" t="n">
        <v>0.04545454545454546</v>
      </c>
      <c r="I2572" t="n">
        <v>0.05882352941176471</v>
      </c>
      <c r="J2572" t="n">
        <v>0.0625</v>
      </c>
    </row>
    <row r="2573">
      <c r="A2573" t="inlineStr">
        <is>
          <t>G|FICO x ASSET_CLASS / SYS_FLAG|outcome_loans|book|7</t>
        </is>
      </c>
      <c r="J2573" t="n">
        <v>0.8076534733441034</v>
      </c>
    </row>
    <row r="2574">
      <c r="A2574" t="inlineStr">
        <is>
          <t>G|FICO x ASSET_CLASS / SYS_FLAG|outcome_loans|band|7</t>
        </is>
      </c>
    </row>
    <row r="2575">
      <c r="A2575" t="inlineStr">
        <is>
          <t>G|FICO x ASSET_CLASS / SYS_FLAG|outcome_loans|rate|8</t>
        </is>
      </c>
      <c r="B2575" t="n">
        <v>0.04450499545867393</v>
      </c>
      <c r="C2575" t="n">
        <v>0.09613259668508287</v>
      </c>
      <c r="D2575" t="n">
        <v>0.04257246376811594</v>
      </c>
      <c r="E2575" t="n">
        <v>0.08278145695364239</v>
      </c>
      <c r="F2575" t="n">
        <v>0.05911330049261083</v>
      </c>
      <c r="G2575" t="n">
        <v>0.09565217391304348</v>
      </c>
      <c r="H2575" t="n">
        <v>0.08393501805054152</v>
      </c>
      <c r="I2575" t="n">
        <v>0.1276595744680851</v>
      </c>
      <c r="J2575" t="n">
        <v>0.07738467308413552</v>
      </c>
    </row>
    <row r="2576">
      <c r="A2576" t="inlineStr">
        <is>
          <t>G|FICO x ASSET_CLASS / SYS_FLAG|outcome_loans|book|8</t>
        </is>
      </c>
      <c r="B2576" t="n">
        <v>0.5751138266137847</v>
      </c>
      <c r="C2576" t="n">
        <v>1.24226920982872</v>
      </c>
      <c r="D2576" t="n">
        <v>0.5501407716981573</v>
      </c>
      <c r="E2576" t="n">
        <v>1.069739699793514</v>
      </c>
      <c r="F2576" t="n">
        <v>0.7638889994190534</v>
      </c>
      <c r="G2576" t="n">
        <v>1.236060967900541</v>
      </c>
      <c r="H2576" t="n">
        <v>1.084646541819518</v>
      </c>
      <c r="I2576" t="n">
        <v>1.649675179596466</v>
      </c>
      <c r="J2576" t="n">
        <v>1</v>
      </c>
    </row>
    <row r="2577">
      <c r="A2577" t="inlineStr">
        <is>
          <t>G|FICO x ASSET_CLASS / SYS_FLAG|outcome_loans|band|8</t>
        </is>
      </c>
    </row>
    <row r="2578">
      <c r="A2578" t="inlineStr">
        <is>
          <t>G|FICO x ASSET_CLASS / SYS_FLAG|outcome_loans|meta</t>
        </is>
      </c>
      <c r="B2578" t="inlineStr">
        <is>
          <t>x</t>
        </is>
      </c>
      <c r="C2578" t="n">
        <v>3.145147917361164</v>
      </c>
      <c r="D2578" t="n">
        <v>10</v>
      </c>
      <c r="E2578" t="n">
        <v>0.07738467308413552</v>
      </c>
      <c r="F2578" t="n">
        <v>65</v>
      </c>
    </row>
    <row r="2579">
      <c r="A2579" t="inlineStr">
        <is>
          <t>G|FICO x ASSET_CLASS / SYS_FLAG|outcome_booked|rate|1</t>
        </is>
      </c>
      <c r="B2579" t="n">
        <v>0.06731270350366768</v>
      </c>
      <c r="C2579" t="n">
        <v>0.1975596970180436</v>
      </c>
      <c r="D2579" t="n">
        <v>0.09965571874015894</v>
      </c>
      <c r="E2579" t="n">
        <v>0.118633819960679</v>
      </c>
      <c r="F2579" t="n">
        <v>0.1076076241390775</v>
      </c>
      <c r="G2579" t="n">
        <v>0.1798777485818013</v>
      </c>
      <c r="H2579" t="n">
        <v>0.1606492890403957</v>
      </c>
      <c r="I2579" t="n">
        <v>0.2964275934057412</v>
      </c>
      <c r="J2579" t="n">
        <v>0.1491655756309188</v>
      </c>
    </row>
    <row r="2580">
      <c r="A2580" t="inlineStr">
        <is>
          <t>G|FICO x ASSET_CLASS / SYS_FLAG|outcome_booked|book|1</t>
        </is>
      </c>
      <c r="B2580" t="n">
        <v>0.8995552757499633</v>
      </c>
      <c r="C2580" t="n">
        <v>2.640153469968149</v>
      </c>
      <c r="D2580" t="n">
        <v>1.331781712592778</v>
      </c>
      <c r="E2580" t="n">
        <v>1.585401760340607</v>
      </c>
      <c r="F2580" t="n">
        <v>1.438049594902275</v>
      </c>
      <c r="G2580" t="n">
        <v>2.403854982855773</v>
      </c>
      <c r="H2580" t="n">
        <v>2.146889190001031</v>
      </c>
      <c r="I2580" t="n">
        <v>3.961406861506764</v>
      </c>
      <c r="J2580" t="n">
        <v>1.993422839000396</v>
      </c>
    </row>
    <row r="2581">
      <c r="A2581" t="inlineStr">
        <is>
          <t>G|FICO x ASSET_CLASS / SYS_FLAG|outcome_booked|band|1</t>
        </is>
      </c>
      <c r="B2581" t="n">
        <v>0.413523644416543</v>
      </c>
      <c r="C2581" t="n">
        <v>1.38757708065876</v>
      </c>
      <c r="D2581" t="n">
        <v>0.6347642707253288</v>
      </c>
      <c r="E2581" t="n">
        <v>0.7728507248388223</v>
      </c>
      <c r="F2581" t="n">
        <v>0.6938454510545362</v>
      </c>
      <c r="G2581" t="n">
        <v>1.236215332643209</v>
      </c>
      <c r="H2581" t="n">
        <v>1.089383564187331</v>
      </c>
      <c r="I2581" t="n">
        <v>2.274733849473625</v>
      </c>
    </row>
    <row r="2582">
      <c r="A2582" t="inlineStr">
        <is>
          <t>G|FICO x ASSET_CLASS / SYS_FLAG|outcome_booked|rate|2</t>
        </is>
      </c>
      <c r="B2582" t="n">
        <v>0.03975552659712497</v>
      </c>
      <c r="C2582" t="n">
        <v>0.09162670190572685</v>
      </c>
      <c r="D2582" t="n">
        <v>0.01609372017029523</v>
      </c>
      <c r="E2582" t="n">
        <v>0.1023998313868138</v>
      </c>
      <c r="F2582" t="n">
        <v>0.06340853337381124</v>
      </c>
      <c r="G2582" t="n">
        <v>0.1033361338746842</v>
      </c>
      <c r="H2582" t="n">
        <v>0.08449908386199335</v>
      </c>
      <c r="I2582" t="n">
        <v>0.1444515712899625</v>
      </c>
      <c r="J2582" t="n">
        <v>0.07985779590889651</v>
      </c>
    </row>
    <row r="2583">
      <c r="A2583" t="inlineStr">
        <is>
          <t>G|FICO x ASSET_CLASS / SYS_FLAG|outcome_booked|book|2</t>
        </is>
      </c>
      <c r="B2583" t="n">
        <v>0.5312859509306912</v>
      </c>
      <c r="C2583" t="n">
        <v>1.224483326455233</v>
      </c>
      <c r="E2583" t="n">
        <v>1.368453557282779</v>
      </c>
      <c r="F2583" t="n">
        <v>0.8473806243849884</v>
      </c>
      <c r="G2583" t="n">
        <v>1.380966141071897</v>
      </c>
      <c r="H2583" t="n">
        <v>1.129231077161431</v>
      </c>
      <c r="I2583" t="n">
        <v>1.930425703926414</v>
      </c>
      <c r="J2583" t="n">
        <v>1.067205711262177</v>
      </c>
    </row>
    <row r="2584">
      <c r="A2584" t="inlineStr">
        <is>
          <t>G|FICO x ASSET_CLASS / SYS_FLAG|outcome_booked|band|2</t>
        </is>
      </c>
      <c r="B2584" t="n">
        <v>0.4605392252685241</v>
      </c>
      <c r="C2584" t="n">
        <v>1.170245990008331</v>
      </c>
      <c r="E2584" t="n">
        <v>1.325500812679238</v>
      </c>
      <c r="F2584" t="n">
        <v>0.772099992364923</v>
      </c>
      <c r="G2584" t="n">
        <v>1.348999716263114</v>
      </c>
      <c r="H2584" t="n">
        <v>1.069002639029308</v>
      </c>
      <c r="I2584" t="n">
        <v>2.047084140712379</v>
      </c>
    </row>
    <row r="2585">
      <c r="A2585" t="inlineStr">
        <is>
          <t>G|FICO x ASSET_CLASS / SYS_FLAG|outcome_booked|rate|3</t>
        </is>
      </c>
      <c r="B2585" t="n">
        <v>0.05291828954732022</v>
      </c>
      <c r="C2585" t="n">
        <v>0.06888557789339712</v>
      </c>
      <c r="D2585" t="n">
        <v>0.01679645936086537</v>
      </c>
      <c r="E2585" t="n">
        <v>0.06370414070631102</v>
      </c>
      <c r="F2585" t="n">
        <v>0.04412543201702147</v>
      </c>
      <c r="G2585" t="n">
        <v>0.08392400930325386</v>
      </c>
      <c r="H2585" t="n">
        <v>0.05674800445777357</v>
      </c>
      <c r="I2585" t="n">
        <v>0.0745218093343394</v>
      </c>
      <c r="J2585" t="n">
        <v>0.05686223568965072</v>
      </c>
    </row>
    <row r="2586">
      <c r="A2586" t="inlineStr">
        <is>
          <t>G|FICO x ASSET_CLASS / SYS_FLAG|outcome_booked|book|3</t>
        </is>
      </c>
      <c r="B2586" t="n">
        <v>0.7071908283012625</v>
      </c>
      <c r="E2586" t="n">
        <v>0.8513310694222475</v>
      </c>
      <c r="F2586" t="n">
        <v>0.5896846078020805</v>
      </c>
      <c r="G2586" t="n">
        <v>1.121545880663039</v>
      </c>
      <c r="H2586" t="n">
        <v>0.7583704730488382</v>
      </c>
      <c r="I2586" t="n">
        <v>0.9958965136719733</v>
      </c>
      <c r="J2586" t="n">
        <v>0.7598970393868685</v>
      </c>
    </row>
    <row r="2587">
      <c r="A2587" t="inlineStr">
        <is>
          <t>G|FICO x ASSET_CLASS / SYS_FLAG|outcome_booked|band|3</t>
        </is>
      </c>
      <c r="B2587" t="n">
        <v>0.9217591828761249</v>
      </c>
      <c r="E2587" t="n">
        <v>1.13824972568137</v>
      </c>
      <c r="F2587" t="n">
        <v>0.7522036532990173</v>
      </c>
      <c r="G2587" t="n">
        <v>1.585641490454097</v>
      </c>
      <c r="H2587" t="n">
        <v>0.9976451176835937</v>
      </c>
      <c r="I2587" t="n">
        <v>1.366784097711207</v>
      </c>
    </row>
    <row r="2588">
      <c r="A2588" t="inlineStr">
        <is>
          <t>G|FICO x ASSET_CLASS / SYS_FLAG|outcome_booked|rate|4</t>
        </is>
      </c>
      <c r="B2588" t="n">
        <v>0.02812452179275291</v>
      </c>
      <c r="C2588" t="n">
        <v>0.05464694905043065</v>
      </c>
      <c r="D2588" t="n">
        <v>0.03646453087507255</v>
      </c>
      <c r="E2588" t="n">
        <v>0.05604451517361919</v>
      </c>
      <c r="F2588" t="n">
        <v>0.03587580536540905</v>
      </c>
      <c r="G2588" t="n">
        <v>0.05117970064176201</v>
      </c>
      <c r="H2588" t="n">
        <v>0.05537391519389611</v>
      </c>
      <c r="I2588" t="n">
        <v>0.1219647873734382</v>
      </c>
      <c r="J2588" t="n">
        <v>0.05451749193722221</v>
      </c>
    </row>
    <row r="2589">
      <c r="A2589" t="inlineStr">
        <is>
          <t>G|FICO x ASSET_CLASS / SYS_FLAG|outcome_booked|book|4</t>
        </is>
      </c>
      <c r="E2589" t="n">
        <v>0.7489691644687995</v>
      </c>
      <c r="G2589" t="n">
        <v>0.6839566282030592</v>
      </c>
      <c r="H2589" t="n">
        <v>0.7400073828394991</v>
      </c>
      <c r="I2589" t="n">
        <v>1.629916230173712</v>
      </c>
      <c r="J2589" t="n">
        <v>0.7285622912191039</v>
      </c>
    </row>
    <row r="2590">
      <c r="A2590" t="inlineStr">
        <is>
          <t>G|FICO x ASSET_CLASS / SYS_FLAG|outcome_booked|band|4</t>
        </is>
      </c>
      <c r="E2590" t="n">
        <v>1.032207080366033</v>
      </c>
      <c r="G2590" t="n">
        <v>0.9323466120987248</v>
      </c>
      <c r="H2590" t="n">
        <v>1.018132545294304</v>
      </c>
      <c r="I2590" t="n">
        <v>2.72140209594139</v>
      </c>
    </row>
    <row r="2591">
      <c r="A2591" t="inlineStr">
        <is>
          <t>G|FICO x ASSET_CLASS / SYS_FLAG|outcome_booked|rate|5</t>
        </is>
      </c>
      <c r="B2591" t="n">
        <v>0.0180056846538079</v>
      </c>
      <c r="C2591" t="n">
        <v>0.05289851606465854</v>
      </c>
      <c r="D2591" t="n">
        <v>0.03513639363437163</v>
      </c>
      <c r="E2591" t="n">
        <v>0.05986134118029075</v>
      </c>
      <c r="F2591" t="n">
        <v>0.02515837883580646</v>
      </c>
      <c r="G2591" t="n">
        <v>0.04374574016093979</v>
      </c>
      <c r="H2591" t="n">
        <v>0.02865350748914057</v>
      </c>
      <c r="I2591" t="n">
        <v>0.0388062790600802</v>
      </c>
      <c r="J2591" t="n">
        <v>0.03682990751373653</v>
      </c>
    </row>
    <row r="2592">
      <c r="A2592" t="inlineStr">
        <is>
          <t>G|FICO x ASSET_CLASS / SYS_FLAG|outcome_booked|book|5</t>
        </is>
      </c>
      <c r="C2592" t="n">
        <v>0.7069265789141124</v>
      </c>
      <c r="J2592" t="n">
        <v>0.4921884857523176</v>
      </c>
    </row>
    <row r="2593">
      <c r="A2593" t="inlineStr">
        <is>
          <t>G|FICO x ASSET_CLASS / SYS_FLAG|outcome_booked|band|5</t>
        </is>
      </c>
      <c r="C2593" t="n">
        <v>1.526000150101828</v>
      </c>
    </row>
    <row r="2594">
      <c r="A2594" t="inlineStr">
        <is>
          <t>G|FICO x ASSET_CLASS / SYS_FLAG|outcome_booked|rate|6</t>
        </is>
      </c>
      <c r="E2594" t="n">
        <v>0</v>
      </c>
      <c r="J2594" t="n">
        <v>0</v>
      </c>
    </row>
    <row r="2595">
      <c r="A2595" t="inlineStr">
        <is>
          <t>G|FICO x ASSET_CLASS / SYS_FLAG|outcome_booked|book|6</t>
        </is>
      </c>
    </row>
    <row r="2596">
      <c r="A2596" t="inlineStr">
        <is>
          <t>G|FICO x ASSET_CLASS / SYS_FLAG|outcome_booked|band|6</t>
        </is>
      </c>
    </row>
    <row r="2597">
      <c r="A2597" t="inlineStr">
        <is>
          <t>G|FICO x ASSET_CLASS / SYS_FLAG|outcome_booked|rate|7</t>
        </is>
      </c>
      <c r="B2597" t="n">
        <v>0</v>
      </c>
      <c r="C2597" t="n">
        <v>0.02767746886327854</v>
      </c>
      <c r="D2597" t="n">
        <v>0.03375793858353057</v>
      </c>
      <c r="E2597" t="n">
        <v>0.189353195601807</v>
      </c>
      <c r="F2597" t="n">
        <v>0</v>
      </c>
      <c r="G2597" t="n">
        <v>0.06685551877571001</v>
      </c>
      <c r="H2597" t="n">
        <v>0.04203560699937842</v>
      </c>
      <c r="I2597" t="n">
        <v>0.05894574594996555</v>
      </c>
      <c r="J2597" t="n">
        <v>0.04815037624246445</v>
      </c>
    </row>
    <row r="2598">
      <c r="A2598" t="inlineStr">
        <is>
          <t>G|FICO x ASSET_CLASS / SYS_FLAG|outcome_booked|book|7</t>
        </is>
      </c>
      <c r="J2598" t="n">
        <v>0.6434732631990414</v>
      </c>
    </row>
    <row r="2599">
      <c r="A2599" t="inlineStr">
        <is>
          <t>G|FICO x ASSET_CLASS / SYS_FLAG|outcome_booked|band|7</t>
        </is>
      </c>
    </row>
    <row r="2600">
      <c r="A2600" t="inlineStr">
        <is>
          <t>G|FICO x ASSET_CLASS / SYS_FLAG|outcome_booked|rate|8</t>
        </is>
      </c>
      <c r="B2600" t="n">
        <v>0.04006131886401177</v>
      </c>
      <c r="C2600" t="n">
        <v>0.09391781030789158</v>
      </c>
      <c r="D2600" t="n">
        <v>0.0411699749517607</v>
      </c>
      <c r="E2600" t="n">
        <v>0.08143078150540617</v>
      </c>
      <c r="F2600" t="n">
        <v>0.05299436180913607</v>
      </c>
      <c r="G2600" t="n">
        <v>0.09169079542439569</v>
      </c>
      <c r="H2600" t="n">
        <v>0.07585305848656562</v>
      </c>
      <c r="I2600" t="n">
        <v>0.1358979596343107</v>
      </c>
      <c r="J2600" t="n">
        <v>0.07482886857347222</v>
      </c>
    </row>
    <row r="2601">
      <c r="A2601" t="inlineStr">
        <is>
          <t>G|FICO x ASSET_CLASS / SYS_FLAG|outcome_booked|book|8</t>
        </is>
      </c>
      <c r="B2601" t="n">
        <v>0.5353725056617246</v>
      </c>
      <c r="C2601" t="n">
        <v>1.255101301119852</v>
      </c>
      <c r="D2601" t="n">
        <v>0.5501883930175567</v>
      </c>
      <c r="E2601" t="n">
        <v>1.088226817507625</v>
      </c>
      <c r="F2601" t="n">
        <v>0.7082074447925457</v>
      </c>
      <c r="G2601" t="n">
        <v>1.225339861104102</v>
      </c>
      <c r="H2601" t="n">
        <v>1.013687096071587</v>
      </c>
      <c r="I2601" t="n">
        <v>1.816116723733119</v>
      </c>
      <c r="J2601" t="n">
        <v>0.9999999999999983</v>
      </c>
    </row>
    <row r="2602">
      <c r="A2602" t="inlineStr">
        <is>
          <t>G|FICO x ASSET_CLASS / SYS_FLAG|outcome_booked|band|8</t>
        </is>
      </c>
    </row>
    <row r="2603">
      <c r="A2603" t="inlineStr">
        <is>
          <t>G|FICO x ASSET_CLASS / SYS_FLAG|outcome_booked|meta</t>
        </is>
      </c>
      <c r="B2603" t="inlineStr">
        <is>
          <t>x</t>
        </is>
      </c>
      <c r="C2603" t="n">
        <v>3.961406861506764</v>
      </c>
      <c r="D2603" t="n">
        <v>10</v>
      </c>
      <c r="E2603" t="n">
        <v>0.07482886857347235</v>
      </c>
      <c r="F2603" t="n">
        <v>65</v>
      </c>
    </row>
    <row r="2604">
      <c r="A2604" t="inlineStr">
        <is>
          <t>G|FICO x ASSET_CLASS / SYS_FLAG|gco_rate|rate|1</t>
        </is>
      </c>
      <c r="B2604" t="n">
        <v>0.04172092238366356</v>
      </c>
      <c r="C2604" t="n">
        <v>0.1104503655102678</v>
      </c>
      <c r="D2604" t="n">
        <v>0.05780123061655459</v>
      </c>
      <c r="E2604" t="n">
        <v>0.06118025984938478</v>
      </c>
      <c r="F2604" t="n">
        <v>0.06103988115542043</v>
      </c>
      <c r="G2604" t="n">
        <v>0.1031387884963628</v>
      </c>
      <c r="H2604" t="n">
        <v>0.09808637019815246</v>
      </c>
      <c r="I2604" t="n">
        <v>0.1516244739842235</v>
      </c>
      <c r="J2604" t="n">
        <v>0.08345255929305036</v>
      </c>
    </row>
    <row r="2605">
      <c r="A2605" t="inlineStr">
        <is>
          <t>G|FICO x ASSET_CLASS / SYS_FLAG|gco_rate|book|1</t>
        </is>
      </c>
      <c r="B2605" t="n">
        <v>1.002779865706931</v>
      </c>
      <c r="C2605" t="n">
        <v>2.654720853847578</v>
      </c>
      <c r="D2605" t="n">
        <v>1.389276817572466</v>
      </c>
      <c r="E2605" t="n">
        <v>1.470493202223732</v>
      </c>
      <c r="F2605" t="n">
        <v>1.467119141444654</v>
      </c>
      <c r="G2605" t="n">
        <v>2.478984034112726</v>
      </c>
      <c r="H2605" t="n">
        <v>2.357547041517413</v>
      </c>
      <c r="I2605" t="n">
        <v>3.6443578179211</v>
      </c>
      <c r="J2605" t="n">
        <v>2.005817259532897</v>
      </c>
    </row>
    <row r="2606">
      <c r="A2606" t="inlineStr">
        <is>
          <t>G|FICO x ASSET_CLASS / SYS_FLAG|gco_rate|band|1</t>
        </is>
      </c>
      <c r="B2606" t="n">
        <v>0.4615811731793643</v>
      </c>
      <c r="C2606" t="n">
        <v>1.386369242731153</v>
      </c>
      <c r="D2606" t="n">
        <v>0.6603482776194217</v>
      </c>
      <c r="E2606" t="n">
        <v>0.7063637520003889</v>
      </c>
      <c r="F2606" t="n">
        <v>0.7044878453041398</v>
      </c>
      <c r="G2606" t="n">
        <v>1.271603510104168</v>
      </c>
      <c r="H2606" t="n">
        <v>1.20660476623423</v>
      </c>
      <c r="I2606" t="n">
        <v>2.028899747601855</v>
      </c>
    </row>
    <row r="2607">
      <c r="A2607" t="inlineStr">
        <is>
          <t>G|FICO x ASSET_CLASS / SYS_FLAG|gco_rate|rate|2</t>
        </is>
      </c>
      <c r="B2607" t="n">
        <v>0.01858443362146788</v>
      </c>
      <c r="C2607" t="n">
        <v>0.04928305428421943</v>
      </c>
      <c r="D2607" t="n">
        <v>0.01200616783057025</v>
      </c>
      <c r="E2607" t="n">
        <v>0.05615619283090746</v>
      </c>
      <c r="F2607" t="n">
        <v>0.04059340477049262</v>
      </c>
      <c r="G2607" t="n">
        <v>0.05745304546875105</v>
      </c>
      <c r="H2607" t="n">
        <v>0.04374525063785453</v>
      </c>
      <c r="I2607" t="n">
        <v>0.08856833403639801</v>
      </c>
      <c r="J2607" t="n">
        <v>0.04521453740915432</v>
      </c>
    </row>
    <row r="2608">
      <c r="A2608" t="inlineStr">
        <is>
          <t>G|FICO x ASSET_CLASS / SYS_FLAG|gco_rate|book|2</t>
        </is>
      </c>
      <c r="B2608" t="n">
        <v>0.446684655717779</v>
      </c>
      <c r="C2608" t="n">
        <v>1.18453887721591</v>
      </c>
      <c r="E2608" t="n">
        <v>1.349737644526283</v>
      </c>
      <c r="F2608" t="n">
        <v>0.9756795070350799</v>
      </c>
      <c r="G2608" t="n">
        <v>1.380908041529003</v>
      </c>
      <c r="H2608" t="n">
        <v>1.051435444224994</v>
      </c>
      <c r="I2608" t="n">
        <v>2.128777050856442</v>
      </c>
      <c r="J2608" t="n">
        <v>1.086750367937848</v>
      </c>
    </row>
    <row r="2609">
      <c r="A2609" t="inlineStr">
        <is>
          <t>G|FICO x ASSET_CLASS / SYS_FLAG|gco_rate|band|2</t>
        </is>
      </c>
      <c r="B2609" t="n">
        <v>0.3753796869342567</v>
      </c>
      <c r="C2609" t="n">
        <v>1.103147257759286</v>
      </c>
      <c r="E2609" t="n">
        <v>1.27771354909067</v>
      </c>
      <c r="F2609" t="n">
        <v>0.8853252333697138</v>
      </c>
      <c r="G2609" t="n">
        <v>1.320231051482872</v>
      </c>
      <c r="H2609" t="n">
        <v>0.962027973946098</v>
      </c>
      <c r="I2609" t="n">
        <v>2.272315250881231</v>
      </c>
    </row>
    <row r="2610">
      <c r="A2610" t="inlineStr">
        <is>
          <t>G|FICO x ASSET_CLASS / SYS_FLAG|gco_rate|rate|3</t>
        </is>
      </c>
      <c r="B2610" t="n">
        <v>0.03301687756881314</v>
      </c>
      <c r="C2610" t="n">
        <v>0.03718135585647276</v>
      </c>
      <c r="D2610" t="n">
        <v>0.008632089207745759</v>
      </c>
      <c r="E2610" t="n">
        <v>0.03072773407944593</v>
      </c>
      <c r="F2610" t="n">
        <v>0.02473958629011563</v>
      </c>
      <c r="G2610" t="n">
        <v>0.04378049404469063</v>
      </c>
      <c r="H2610" t="n">
        <v>0.03184498305086605</v>
      </c>
      <c r="I2610" t="n">
        <v>0.04589130358382132</v>
      </c>
      <c r="J2610" t="n">
        <v>0.03151500509362793</v>
      </c>
    </row>
    <row r="2611">
      <c r="A2611" t="inlineStr">
        <is>
          <t>G|FICO x ASSET_CLASS / SYS_FLAG|gco_rate|book|3</t>
        </is>
      </c>
      <c r="B2611" t="n">
        <v>0.7935744984267368</v>
      </c>
      <c r="E2611" t="n">
        <v>0.7385539746774733</v>
      </c>
      <c r="F2611" t="n">
        <v>0.594626331352666</v>
      </c>
      <c r="G2611" t="n">
        <v>1.052282534288085</v>
      </c>
      <c r="H2611" t="n">
        <v>0.7654075222385542</v>
      </c>
      <c r="I2611" t="n">
        <v>1.103016726756734</v>
      </c>
      <c r="J2611" t="n">
        <v>0.757476363655755</v>
      </c>
    </row>
    <row r="2612">
      <c r="A2612" t="inlineStr">
        <is>
          <t>G|FICO x ASSET_CLASS / SYS_FLAG|gco_rate|band|3</t>
        </is>
      </c>
      <c r="B2612" t="n">
        <v>1.05463752334596</v>
      </c>
      <c r="E2612" t="n">
        <v>0.9718416893173684</v>
      </c>
      <c r="F2612" t="n">
        <v>0.7618706475931187</v>
      </c>
      <c r="G2612" t="n">
        <v>1.472523231559712</v>
      </c>
      <c r="H2612" t="n">
        <v>1.012300197648462</v>
      </c>
      <c r="I2612" t="n">
        <v>1.549802678879262</v>
      </c>
    </row>
    <row r="2613">
      <c r="A2613" t="inlineStr">
        <is>
          <t>G|FICO x ASSET_CLASS / SYS_FLAG|gco_rate|rate|4</t>
        </is>
      </c>
      <c r="B2613" t="n">
        <v>0.01891320083650138</v>
      </c>
      <c r="C2613" t="n">
        <v>0.03104911737830068</v>
      </c>
      <c r="D2613" t="n">
        <v>0.02369039802244191</v>
      </c>
      <c r="E2613" t="n">
        <v>0.02944005210152369</v>
      </c>
      <c r="F2613" t="n">
        <v>0.0183590692608516</v>
      </c>
      <c r="G2613" t="n">
        <v>0.02993234682536851</v>
      </c>
      <c r="H2613" t="n">
        <v>0.0266686031805337</v>
      </c>
      <c r="I2613" t="n">
        <v>0.06623856033178828</v>
      </c>
      <c r="J2613" t="n">
        <v>0.0302639717312273</v>
      </c>
    </row>
    <row r="2614">
      <c r="A2614" t="inlineStr">
        <is>
          <t>G|FICO x ASSET_CLASS / SYS_FLAG|gco_rate|book|4</t>
        </is>
      </c>
      <c r="E2614" t="n">
        <v>0.7076039983317991</v>
      </c>
      <c r="G2614" t="n">
        <v>0.7194365084696535</v>
      </c>
      <c r="H2614" t="n">
        <v>0.6409910612723781</v>
      </c>
      <c r="I2614" t="n">
        <v>1.5920715755829</v>
      </c>
      <c r="J2614" t="n">
        <v>0.7274072521532199</v>
      </c>
    </row>
    <row r="2615">
      <c r="A2615" t="inlineStr">
        <is>
          <t>G|FICO x ASSET_CLASS / SYS_FLAG|gco_rate|band|4</t>
        </is>
      </c>
      <c r="E2615" t="n">
        <v>0.9689425849422297</v>
      </c>
      <c r="G2615" t="n">
        <v>0.9878220603616421</v>
      </c>
      <c r="H2615" t="n">
        <v>0.8656044229301525</v>
      </c>
      <c r="I2615" t="n">
        <v>2.640529538365585</v>
      </c>
    </row>
    <row r="2616">
      <c r="A2616" t="inlineStr">
        <is>
          <t>G|FICO x ASSET_CLASS / SYS_FLAG|gco_rate|rate|5</t>
        </is>
      </c>
      <c r="B2616" t="n">
        <v>0.01278577594342931</v>
      </c>
      <c r="C2616" t="n">
        <v>0.02540911544089303</v>
      </c>
      <c r="D2616" t="n">
        <v>0.01897362857848018</v>
      </c>
      <c r="E2616" t="n">
        <v>0.03031117300941493</v>
      </c>
      <c r="F2616" t="n">
        <v>0.01086228244047657</v>
      </c>
      <c r="G2616" t="n">
        <v>0.02435615853851757</v>
      </c>
      <c r="H2616" t="n">
        <v>0.01617086436154371</v>
      </c>
      <c r="I2616" t="n">
        <v>0.01993195480213301</v>
      </c>
      <c r="J2616" t="n">
        <v>0.01940834703954903</v>
      </c>
    </row>
    <row r="2617">
      <c r="A2617" t="inlineStr">
        <is>
          <t>G|FICO x ASSET_CLASS / SYS_FLAG|gco_rate|book|5</t>
        </is>
      </c>
      <c r="C2617" t="n">
        <v>0.6107187452674246</v>
      </c>
      <c r="J2617" t="n">
        <v>0.4664877602402492</v>
      </c>
    </row>
    <row r="2618">
      <c r="A2618" t="inlineStr">
        <is>
          <t>G|FICO x ASSET_CLASS / SYS_FLAG|gco_rate|band|5</t>
        </is>
      </c>
      <c r="C2618" t="n">
        <v>1.36609607492471</v>
      </c>
    </row>
    <row r="2619">
      <c r="A2619" t="inlineStr">
        <is>
          <t>G|FICO x ASSET_CLASS / SYS_FLAG|gco_rate|rate|6</t>
        </is>
      </c>
      <c r="E2619" t="n">
        <v>0</v>
      </c>
      <c r="J2619" t="n">
        <v>0</v>
      </c>
    </row>
    <row r="2620">
      <c r="A2620" t="inlineStr">
        <is>
          <t>G|FICO x ASSET_CLASS / SYS_FLAG|gco_rate|book|6</t>
        </is>
      </c>
    </row>
    <row r="2621">
      <c r="A2621" t="inlineStr">
        <is>
          <t>G|FICO x ASSET_CLASS / SYS_FLAG|gco_rate|band|6</t>
        </is>
      </c>
    </row>
    <row r="2622">
      <c r="A2622" t="inlineStr">
        <is>
          <t>G|FICO x ASSET_CLASS / SYS_FLAG|gco_rate|rate|7</t>
        </is>
      </c>
      <c r="B2622" t="n">
        <v>0</v>
      </c>
      <c r="C2622" t="n">
        <v>0.01191651997047521</v>
      </c>
      <c r="D2622" t="n">
        <v>0.0257165877421385</v>
      </c>
      <c r="E2622" t="n">
        <v>0.09282250525441747</v>
      </c>
      <c r="F2622" t="n">
        <v>0</v>
      </c>
      <c r="G2622" t="n">
        <v>0.04450000008599227</v>
      </c>
      <c r="H2622" t="n">
        <v>0.01529329218068329</v>
      </c>
      <c r="I2622" t="n">
        <v>0.02966701988812969</v>
      </c>
      <c r="J2622" t="n">
        <v>0.02551311188947888</v>
      </c>
    </row>
    <row r="2623">
      <c r="A2623" t="inlineStr">
        <is>
          <t>G|FICO x ASSET_CLASS / SYS_FLAG|gco_rate|book|7</t>
        </is>
      </c>
      <c r="J2623" t="n">
        <v>0.6132183435214593</v>
      </c>
    </row>
    <row r="2624">
      <c r="A2624" t="inlineStr">
        <is>
          <t>G|FICO x ASSET_CLASS / SYS_FLAG|gco_rate|band|7</t>
        </is>
      </c>
    </row>
    <row r="2625">
      <c r="A2625" t="inlineStr">
        <is>
          <t>G|FICO x ASSET_CLASS / SYS_FLAG|gco_rate|rate|8</t>
        </is>
      </c>
      <c r="B2625" t="n">
        <v>0.02428726127203878</v>
      </c>
      <c r="C2625" t="n">
        <v>0.05105761588999549</v>
      </c>
      <c r="D2625" t="n">
        <v>0.02451582735282237</v>
      </c>
      <c r="E2625" t="n">
        <v>0.04205486969531598</v>
      </c>
      <c r="F2625" t="n">
        <v>0.02969455401340456</v>
      </c>
      <c r="G2625" t="n">
        <v>0.05138794933615651</v>
      </c>
      <c r="H2625" t="n">
        <v>0.04228479189813641</v>
      </c>
      <c r="I2625" t="n">
        <v>0.07495703613824992</v>
      </c>
      <c r="J2625" t="n">
        <v>0.04160526533333561</v>
      </c>
    </row>
    <row r="2626">
      <c r="A2626" t="inlineStr">
        <is>
          <t>G|FICO x ASSET_CLASS / SYS_FLAG|gco_rate|book|8</t>
        </is>
      </c>
      <c r="B2626" t="n">
        <v>0.5837545098547647</v>
      </c>
      <c r="C2626" t="n">
        <v>1.227191209596404</v>
      </c>
      <c r="D2626" t="n">
        <v>0.5892481914585798</v>
      </c>
      <c r="E2626" t="n">
        <v>1.010806429387679</v>
      </c>
      <c r="F2626" t="n">
        <v>0.7137210585125677</v>
      </c>
      <c r="G2626" t="n">
        <v>1.235130912504544</v>
      </c>
      <c r="H2626" t="n">
        <v>1.016332705953357</v>
      </c>
      <c r="I2626" t="n">
        <v>1.801623797798295</v>
      </c>
      <c r="J2626" t="n">
        <v>0.9999999999999991</v>
      </c>
    </row>
    <row r="2627">
      <c r="A2627" t="inlineStr">
        <is>
          <t>G|FICO x ASSET_CLASS / SYS_FLAG|gco_rate|band|8</t>
        </is>
      </c>
    </row>
    <row r="2628">
      <c r="A2628" t="inlineStr">
        <is>
          <t>G|FICO x ASSET_CLASS / SYS_FLAG|gco_rate|meta</t>
        </is>
      </c>
      <c r="B2628" t="inlineStr">
        <is>
          <t>x</t>
        </is>
      </c>
      <c r="C2628" t="n">
        <v>3.6443578179211</v>
      </c>
      <c r="D2628" t="n">
        <v>10</v>
      </c>
      <c r="E2628" t="n">
        <v>0.04160526533333565</v>
      </c>
      <c r="F2628" t="n">
        <v>65</v>
      </c>
    </row>
    <row r="2629">
      <c r="A2629" t="inlineStr">
        <is>
          <t>G|FICO x ASSET_CLASS / SYS_FLAG|ranr_rate|rate|1</t>
        </is>
      </c>
      <c r="B2629" t="n">
        <v>0.2398803715901472</v>
      </c>
      <c r="C2629" t="n">
        <v>0.1704928055551581</v>
      </c>
      <c r="D2629" t="n">
        <v>0.2147832988507138</v>
      </c>
      <c r="E2629" t="n">
        <v>0.1953761637795907</v>
      </c>
      <c r="F2629" t="n">
        <v>0.2047372623939214</v>
      </c>
      <c r="G2629" t="n">
        <v>0.1765216392524634</v>
      </c>
      <c r="H2629" t="n">
        <v>0.1800685302531461</v>
      </c>
      <c r="I2629" t="n">
        <v>0.1218269892165544</v>
      </c>
      <c r="J2629" t="n">
        <v>0.1901717430158449</v>
      </c>
    </row>
    <row r="2630">
      <c r="A2630" t="inlineStr">
        <is>
          <t>G|FICO x ASSET_CLASS / SYS_FLAG|ranr_rate|book|1</t>
        </is>
      </c>
      <c r="B2630" t="n">
        <v>11.189032194</v>
      </c>
      <c r="C2630" t="n">
        <v>4.250275591</v>
      </c>
      <c r="D2630" t="n">
        <v>8.679324920000001</v>
      </c>
      <c r="E2630" t="n">
        <v>6.738611413</v>
      </c>
      <c r="F2630" t="n">
        <v>7.674721275</v>
      </c>
      <c r="G2630" t="n">
        <v>4.85315896</v>
      </c>
      <c r="H2630" t="n">
        <v>5.20784806</v>
      </c>
      <c r="I2630" t="n">
        <v>-0.616306043</v>
      </c>
      <c r="J2630" t="n">
        <v>6.218169337</v>
      </c>
    </row>
    <row r="2631">
      <c r="A2631" t="inlineStr">
        <is>
          <t>G|FICO x ASSET_CLASS / SYS_FLAG|ranr_rate|band|1</t>
        </is>
      </c>
      <c r="B2631" t="n">
        <v>5.796854683</v>
      </c>
      <c r="C2631" t="n">
        <v>-2.243695718</v>
      </c>
      <c r="D2631" t="n">
        <v>2.852509241</v>
      </c>
      <c r="E2631" t="n">
        <v>0.594292053</v>
      </c>
      <c r="F2631" t="n">
        <v>1.663978629</v>
      </c>
      <c r="G2631" t="n">
        <v>-1.527492553</v>
      </c>
      <c r="H2631" t="n">
        <v>-1.159540769</v>
      </c>
      <c r="I2631" t="n">
        <v>-7.7087058</v>
      </c>
    </row>
    <row r="2632">
      <c r="A2632" t="inlineStr">
        <is>
          <t>G|FICO x ASSET_CLASS / SYS_FLAG|ranr_rate|rate|2</t>
        </is>
      </c>
      <c r="B2632" t="n">
        <v>0.1829562284896517</v>
      </c>
      <c r="C2632" t="n">
        <v>0.1718519111925623</v>
      </c>
      <c r="D2632" t="n">
        <v>0.2018347740781281</v>
      </c>
      <c r="E2632" t="n">
        <v>0.149797089369544</v>
      </c>
      <c r="F2632" t="n">
        <v>0.1813363173258022</v>
      </c>
      <c r="G2632" t="n">
        <v>0.1382416062362677</v>
      </c>
      <c r="H2632" t="n">
        <v>0.1621883576261506</v>
      </c>
      <c r="I2632" t="n">
        <v>0.1135734087775936</v>
      </c>
      <c r="J2632" t="n">
        <v>0.1630754408239562</v>
      </c>
    </row>
    <row r="2633">
      <c r="A2633" t="inlineStr">
        <is>
          <t>G|FICO x ASSET_CLASS / SYS_FLAG|ranr_rate|book|2</t>
        </is>
      </c>
      <c r="B2633" t="n">
        <v>5.496617884</v>
      </c>
      <c r="C2633" t="n">
        <v>4.386186154</v>
      </c>
      <c r="D2633" t="n">
        <v>7.384472443</v>
      </c>
      <c r="E2633" t="n">
        <v>2.180703972</v>
      </c>
      <c r="F2633" t="n">
        <v>5.334626768</v>
      </c>
      <c r="G2633" t="n">
        <v>1.025155659</v>
      </c>
      <c r="H2633" t="n">
        <v>3.419830798</v>
      </c>
      <c r="I2633" t="n">
        <v>-1.441664087</v>
      </c>
      <c r="J2633" t="n">
        <v>3.508539118</v>
      </c>
    </row>
    <row r="2634">
      <c r="A2634" t="inlineStr">
        <is>
          <t>G|FICO x ASSET_CLASS / SYS_FLAG|ranr_rate|band|2</t>
        </is>
      </c>
      <c r="B2634" t="n">
        <v>2.308635629</v>
      </c>
      <c r="C2634" t="n">
        <v>0.994043938</v>
      </c>
      <c r="D2634" t="n">
        <v>4.418298674</v>
      </c>
      <c r="E2634" t="n">
        <v>-1.481229493</v>
      </c>
      <c r="F2634" t="n">
        <v>2.077751894</v>
      </c>
      <c r="G2634" t="n">
        <v>-2.827755521</v>
      </c>
      <c r="H2634" t="n">
        <v>-0.104247288</v>
      </c>
      <c r="I2634" t="n">
        <v>-5.662399623</v>
      </c>
    </row>
    <row r="2635">
      <c r="A2635" t="inlineStr">
        <is>
          <t>G|FICO x ASSET_CLASS / SYS_FLAG|ranr_rate|rate|3</t>
        </is>
      </c>
      <c r="B2635" t="n">
        <v>0.1414557799347373</v>
      </c>
      <c r="C2635" t="n">
        <v>0.1372645588105658</v>
      </c>
      <c r="D2635" t="n">
        <v>0.1738554191758612</v>
      </c>
      <c r="E2635" t="n">
        <v>0.128090415910965</v>
      </c>
      <c r="F2635" t="n">
        <v>0.1439600433422341</v>
      </c>
      <c r="G2635" t="n">
        <v>0.1210020904254947</v>
      </c>
      <c r="H2635" t="n">
        <v>0.1553115142321899</v>
      </c>
      <c r="I2635" t="n">
        <v>0.1264103059262016</v>
      </c>
      <c r="J2635" t="n">
        <v>0.1419183148673722</v>
      </c>
    </row>
    <row r="2636">
      <c r="A2636" t="inlineStr">
        <is>
          <t>G|FICO x ASSET_CLASS / SYS_FLAG|ranr_rate|book|3</t>
        </is>
      </c>
      <c r="B2636" t="n">
        <v>1.346573029</v>
      </c>
      <c r="C2636" t="n">
        <v>0.927450916</v>
      </c>
      <c r="D2636" t="n">
        <v>4.586536953</v>
      </c>
      <c r="E2636" t="n">
        <v>0.010036626</v>
      </c>
      <c r="F2636" t="n">
        <v>1.596999369</v>
      </c>
      <c r="G2636" t="n">
        <v>-0.698795922</v>
      </c>
      <c r="H2636" t="n">
        <v>2.732146458</v>
      </c>
      <c r="I2636" t="n">
        <v>-0.157974372</v>
      </c>
      <c r="J2636" t="n">
        <v>1.392826522</v>
      </c>
    </row>
    <row r="2637">
      <c r="A2637" t="inlineStr">
        <is>
          <t>G|FICO x ASSET_CLASS / SYS_FLAG|ranr_rate|band|3</t>
        </is>
      </c>
      <c r="B2637" t="n">
        <v>-0.052678726</v>
      </c>
      <c r="C2637" t="n">
        <v>-0.522499496</v>
      </c>
      <c r="D2637" t="n">
        <v>3.705357729</v>
      </c>
      <c r="E2637" t="n">
        <v>-1.563772396</v>
      </c>
      <c r="F2637" t="n">
        <v>0.233016118</v>
      </c>
      <c r="G2637" t="n">
        <v>-2.395742273</v>
      </c>
      <c r="H2637" t="n">
        <v>1.570518998</v>
      </c>
      <c r="I2637" t="n">
        <v>-1.756183127</v>
      </c>
    </row>
    <row r="2638">
      <c r="A2638" t="inlineStr">
        <is>
          <t>G|FICO x ASSET_CLASS / SYS_FLAG|ranr_rate|rate|4</t>
        </is>
      </c>
      <c r="B2638" t="n">
        <v>0.1104726008896342</v>
      </c>
      <c r="C2638" t="n">
        <v>0.09100720125843952</v>
      </c>
      <c r="D2638" t="n">
        <v>0.09136626046066156</v>
      </c>
      <c r="E2638" t="n">
        <v>0.09760033895202101</v>
      </c>
      <c r="F2638" t="n">
        <v>0.108816162592166</v>
      </c>
      <c r="G2638" t="n">
        <v>0.08989942273379853</v>
      </c>
      <c r="H2638" t="n">
        <v>0.1003003395619969</v>
      </c>
      <c r="I2638" t="n">
        <v>0.0761927270428582</v>
      </c>
      <c r="J2638" t="n">
        <v>0.09596924359374785</v>
      </c>
    </row>
    <row r="2639">
      <c r="A2639" t="inlineStr">
        <is>
          <t>G|FICO x ASSET_CLASS / SYS_FLAG|ranr_rate|book|4</t>
        </is>
      </c>
      <c r="B2639" t="n">
        <v>-1.751744876</v>
      </c>
      <c r="C2639" t="n">
        <v>-3.698284839</v>
      </c>
      <c r="D2639" t="n">
        <v>-3.662378919</v>
      </c>
      <c r="E2639" t="n">
        <v>-3.03897107</v>
      </c>
      <c r="F2639" t="n">
        <v>-1.917388706</v>
      </c>
      <c r="G2639" t="n">
        <v>-3.809062691</v>
      </c>
      <c r="H2639" t="n">
        <v>-2.768971009</v>
      </c>
      <c r="I2639" t="n">
        <v>-5.179732261</v>
      </c>
      <c r="J2639" t="n">
        <v>-3.202080605</v>
      </c>
    </row>
    <row r="2640">
      <c r="A2640" t="inlineStr">
        <is>
          <t>G|FICO x ASSET_CLASS / SYS_FLAG|ranr_rate|band|4</t>
        </is>
      </c>
      <c r="B2640" t="n">
        <v>1.648686861</v>
      </c>
      <c r="C2640" t="n">
        <v>-0.5550500229999999</v>
      </c>
      <c r="D2640" t="n">
        <v>-0.540844205</v>
      </c>
      <c r="E2640" t="n">
        <v>0.186789021</v>
      </c>
      <c r="F2640" t="n">
        <v>1.492828159</v>
      </c>
      <c r="G2640" t="n">
        <v>-0.675346402</v>
      </c>
      <c r="H2640" t="n">
        <v>0.498734069</v>
      </c>
      <c r="I2640" t="n">
        <v>-2.262087151</v>
      </c>
    </row>
    <row r="2641">
      <c r="A2641" t="inlineStr">
        <is>
          <t>G|FICO x ASSET_CLASS / SYS_FLAG|ranr_rate|rate|5</t>
        </is>
      </c>
      <c r="B2641" t="n">
        <v>0.05573622973509877</v>
      </c>
      <c r="C2641" t="n">
        <v>0.04062459446519969</v>
      </c>
      <c r="D2641" t="n">
        <v>0.0470699412975488</v>
      </c>
      <c r="E2641" t="n">
        <v>0.03068785019354794</v>
      </c>
      <c r="F2641" t="n">
        <v>0.05698362956335362</v>
      </c>
      <c r="G2641" t="n">
        <v>0.04388813123858536</v>
      </c>
      <c r="H2641" t="n">
        <v>0.04922636849033546</v>
      </c>
      <c r="I2641" t="n">
        <v>0.04565220580820405</v>
      </c>
      <c r="J2641" t="n">
        <v>0.04674341748455086</v>
      </c>
    </row>
    <row r="2642">
      <c r="A2642" t="inlineStr">
        <is>
          <t>G|FICO x ASSET_CLASS / SYS_FLAG|ranr_rate|book|5</t>
        </is>
      </c>
      <c r="B2642" t="n">
        <v>-7.225381991</v>
      </c>
      <c r="C2642" t="n">
        <v>-8.736545518</v>
      </c>
      <c r="D2642" t="n">
        <v>-8.092010835</v>
      </c>
      <c r="E2642" t="n">
        <v>-9.730219945</v>
      </c>
      <c r="F2642" t="n">
        <v>-7.100642008</v>
      </c>
      <c r="G2642" t="n">
        <v>-8.410191841</v>
      </c>
      <c r="H2642" t="n">
        <v>-7.876368116</v>
      </c>
      <c r="I2642" t="n">
        <v>-8.233784384</v>
      </c>
      <c r="J2642" t="n">
        <v>-8.124663216</v>
      </c>
    </row>
    <row r="2643">
      <c r="A2643" t="inlineStr">
        <is>
          <t>G|FICO x ASSET_CLASS / SYS_FLAG|ranr_rate|band|5</t>
        </is>
      </c>
      <c r="B2643" t="n">
        <v>1.052114723</v>
      </c>
      <c r="C2643" t="n">
        <v>-0.694327556</v>
      </c>
      <c r="D2643" t="n">
        <v>0.037842469</v>
      </c>
      <c r="E2643" t="n">
        <v>-1.827260138</v>
      </c>
      <c r="F2643" t="n">
        <v>1.188667665</v>
      </c>
      <c r="G2643" t="n">
        <v>-0.320735745</v>
      </c>
      <c r="H2643" t="n">
        <v>0.285764675</v>
      </c>
      <c r="I2643" t="n">
        <v>-0.12099181</v>
      </c>
    </row>
    <row r="2644">
      <c r="A2644" t="inlineStr">
        <is>
          <t>G|FICO x ASSET_CLASS / SYS_FLAG|ranr_rate|rate|6</t>
        </is>
      </c>
      <c r="E2644" t="n">
        <v>0.140296941334961</v>
      </c>
      <c r="J2644" t="n">
        <v>0.140296941334961</v>
      </c>
    </row>
    <row r="2645">
      <c r="A2645" t="inlineStr">
        <is>
          <t>G|FICO x ASSET_CLASS / SYS_FLAG|ranr_rate|book|6</t>
        </is>
      </c>
      <c r="E2645" t="n">
        <v>1.230689169</v>
      </c>
      <c r="J2645" t="n">
        <v>1.230689169</v>
      </c>
    </row>
    <row r="2646">
      <c r="A2646" t="inlineStr">
        <is>
          <t>G|FICO x ASSET_CLASS / SYS_FLAG|ranr_rate|band|6</t>
        </is>
      </c>
    </row>
    <row r="2647">
      <c r="A2647" t="inlineStr">
        <is>
          <t>G|FICO x ASSET_CLASS / SYS_FLAG|ranr_rate|rate|7</t>
        </is>
      </c>
      <c r="B2647" t="n">
        <v>0.1836483093665673</v>
      </c>
      <c r="C2647" t="n">
        <v>0.1721265348902237</v>
      </c>
      <c r="D2647" t="n">
        <v>0.1417850375433693</v>
      </c>
      <c r="E2647" t="n">
        <v>0.08542287512955458</v>
      </c>
      <c r="F2647" t="n">
        <v>0.2301756883217136</v>
      </c>
      <c r="G2647" t="n">
        <v>0.09236315750512079</v>
      </c>
      <c r="H2647" t="n">
        <v>0.157060210451269</v>
      </c>
      <c r="I2647" t="n">
        <v>0.1747242082274332</v>
      </c>
      <c r="J2647" t="n">
        <v>0.1551731988462655</v>
      </c>
    </row>
    <row r="2648">
      <c r="A2648" t="inlineStr">
        <is>
          <t>G|FICO x ASSET_CLASS / SYS_FLAG|ranr_rate|book|7</t>
        </is>
      </c>
      <c r="B2648" t="n">
        <v>5.565825972</v>
      </c>
      <c r="C2648" t="n">
        <v>4.413648524</v>
      </c>
      <c r="D2648" t="n">
        <v>1.37949879</v>
      </c>
      <c r="E2648" t="n">
        <v>-4.256717452</v>
      </c>
      <c r="F2648" t="n">
        <v>10.218563867</v>
      </c>
      <c r="G2648" t="n">
        <v>-3.562689214</v>
      </c>
      <c r="H2648" t="n">
        <v>2.90701608</v>
      </c>
      <c r="I2648" t="n">
        <v>4.673415858</v>
      </c>
      <c r="J2648" t="n">
        <v>2.71831492</v>
      </c>
    </row>
    <row r="2649">
      <c r="A2649" t="inlineStr">
        <is>
          <t>G|FICO x ASSET_CLASS / SYS_FLAG|ranr_rate|band|7</t>
        </is>
      </c>
      <c r="B2649" t="n">
        <v>3.503816714</v>
      </c>
      <c r="C2649" t="n">
        <v>1.882163345</v>
      </c>
      <c r="D2649" t="n">
        <v>-1.482682815</v>
      </c>
      <c r="E2649" t="n">
        <v>-7.823431236</v>
      </c>
      <c r="F2649" t="n">
        <v>8.568157935</v>
      </c>
      <c r="G2649" t="n">
        <v>-7.423753001</v>
      </c>
      <c r="H2649" t="n">
        <v>0.217201879</v>
      </c>
      <c r="I2649" t="n">
        <v>2.167912801</v>
      </c>
    </row>
    <row r="2650">
      <c r="A2650" t="inlineStr">
        <is>
          <t>G|FICO x ASSET_CLASS / SYS_FLAG|ranr_rate|rate|8</t>
        </is>
      </c>
      <c r="B2650" t="n">
        <v>0.147728983035105</v>
      </c>
      <c r="C2650" t="n">
        <v>0.1235529127423794</v>
      </c>
      <c r="D2650" t="n">
        <v>0.1434312623085464</v>
      </c>
      <c r="E2650" t="n">
        <v>0.1188036462606205</v>
      </c>
      <c r="F2650" t="n">
        <v>0.1381391917896836</v>
      </c>
      <c r="G2650" t="n">
        <v>0.1139107040211186</v>
      </c>
      <c r="H2650" t="n">
        <v>0.131065555320466</v>
      </c>
      <c r="I2650" t="n">
        <v>0.09945745884195699</v>
      </c>
      <c r="J2650" t="n">
        <v>0.1279900496481476</v>
      </c>
    </row>
    <row r="2651">
      <c r="A2651" t="inlineStr">
        <is>
          <t>G|FICO x ASSET_CLASS / SYS_FLAG|ranr_rate|book|8</t>
        </is>
      </c>
      <c r="B2651" t="n">
        <v>1.973893339</v>
      </c>
      <c r="C2651" t="n">
        <v>-0.443713691</v>
      </c>
      <c r="D2651" t="n">
        <v>1.544121266</v>
      </c>
      <c r="E2651" t="n">
        <v>-0.918640339</v>
      </c>
      <c r="F2651" t="n">
        <v>1.014914214</v>
      </c>
      <c r="G2651" t="n">
        <v>-1.407934563</v>
      </c>
      <c r="H2651" t="n">
        <v>0.307550567</v>
      </c>
      <c r="I2651" t="n">
        <v>-2.853259081</v>
      </c>
      <c r="J2651" t="n">
        <v>0</v>
      </c>
    </row>
    <row r="2652">
      <c r="A2652" t="inlineStr">
        <is>
          <t>G|FICO x ASSET_CLASS / SYS_FLAG|ranr_rate|band|8</t>
        </is>
      </c>
    </row>
    <row r="2653">
      <c r="A2653" t="inlineStr">
        <is>
          <t>G|FICO x ASSET_CLASS / SYS_FLAG|ranr_rate|meta</t>
        </is>
      </c>
      <c r="B2653" t="inlineStr">
        <is>
          <t>pts</t>
        </is>
      </c>
      <c r="C2653" t="n">
        <v>11.189032194</v>
      </c>
      <c r="D2653" t="n">
        <v>10</v>
      </c>
      <c r="E2653" t="n">
        <v>0.1279900496481481</v>
      </c>
      <c r="F2653" t="n">
        <v>65</v>
      </c>
    </row>
    <row r="2654">
      <c r="A2654" t="inlineStr">
        <is>
          <t>G|FICO x ASSET_CLASS / SYS_FLAG|contribution_rate|rate|1</t>
        </is>
      </c>
      <c r="B2654" t="n">
        <v>0.2816012939738109</v>
      </c>
      <c r="C2654" t="n">
        <v>0.280943171065426</v>
      </c>
      <c r="D2654" t="n">
        <v>0.2725845294672685</v>
      </c>
      <c r="E2654" t="n">
        <v>0.2565564236289755</v>
      </c>
      <c r="F2654" t="n">
        <v>0.265777143549342</v>
      </c>
      <c r="G2654" t="n">
        <v>0.2796604277488262</v>
      </c>
      <c r="H2654" t="n">
        <v>0.2781549004512986</v>
      </c>
      <c r="I2654" t="n">
        <v>0.2734514632007779</v>
      </c>
      <c r="J2654" t="n">
        <v>0.2736243023088953</v>
      </c>
    </row>
    <row r="2655">
      <c r="A2655" t="inlineStr">
        <is>
          <t>G|FICO x ASSET_CLASS / SYS_FLAG|contribution_rate|book|1</t>
        </is>
      </c>
      <c r="B2655" t="n">
        <v>11.200883824</v>
      </c>
      <c r="C2655" t="n">
        <v>11.135071533</v>
      </c>
      <c r="D2655" t="n">
        <v>10.299207373</v>
      </c>
      <c r="E2655" t="n">
        <v>8.696396789</v>
      </c>
      <c r="F2655" t="n">
        <v>9.618468781000001</v>
      </c>
      <c r="G2655" t="n">
        <v>11.006797201</v>
      </c>
      <c r="H2655" t="n">
        <v>10.856244472</v>
      </c>
      <c r="I2655" t="n">
        <v>10.385900747</v>
      </c>
      <c r="J2655" t="n">
        <v>10.403184657</v>
      </c>
    </row>
    <row r="2656">
      <c r="A2656" t="inlineStr">
        <is>
          <t>G|FICO x ASSET_CLASS / SYS_FLAG|contribution_rate|band|1</t>
        </is>
      </c>
      <c r="B2656" t="n">
        <v>0.930250196</v>
      </c>
      <c r="C2656" t="n">
        <v>0.83446144</v>
      </c>
      <c r="D2656" t="n">
        <v>-0.120510936</v>
      </c>
      <c r="E2656" t="n">
        <v>-1.948978593</v>
      </c>
      <c r="F2656" t="n">
        <v>-0.896466795</v>
      </c>
      <c r="G2656" t="n">
        <v>0.6754627520000001</v>
      </c>
      <c r="H2656" t="n">
        <v>0.519974525</v>
      </c>
      <c r="I2656" t="n">
        <v>-0.019494778</v>
      </c>
    </row>
    <row r="2657">
      <c r="A2657" t="inlineStr">
        <is>
          <t>G|FICO x ASSET_CLASS / SYS_FLAG|contribution_rate|rate|2</t>
        </is>
      </c>
      <c r="B2657" t="n">
        <v>0.2015406621111196</v>
      </c>
      <c r="C2657" t="n">
        <v>0.2211349654767817</v>
      </c>
      <c r="D2657" t="n">
        <v>0.2138409419086984</v>
      </c>
      <c r="E2657" t="n">
        <v>0.2059532822004514</v>
      </c>
      <c r="F2657" t="n">
        <v>0.2219297220962947</v>
      </c>
      <c r="G2657" t="n">
        <v>0.1956946517050188</v>
      </c>
      <c r="H2657" t="n">
        <v>0.2059336082640051</v>
      </c>
      <c r="I2657" t="n">
        <v>0.2021417428139917</v>
      </c>
      <c r="J2657" t="n">
        <v>0.2082899782331105</v>
      </c>
    </row>
    <row r="2658">
      <c r="A2658" t="inlineStr">
        <is>
          <t>G|FICO x ASSET_CLASS / SYS_FLAG|contribution_rate|book|2</t>
        </is>
      </c>
      <c r="B2658" t="n">
        <v>3.194820638</v>
      </c>
      <c r="C2658" t="n">
        <v>5.154250974</v>
      </c>
      <c r="D2658" t="n">
        <v>4.424848617</v>
      </c>
      <c r="E2658" t="n">
        <v>3.636082647</v>
      </c>
      <c r="F2658" t="n">
        <v>5.233726636</v>
      </c>
      <c r="G2658" t="n">
        <v>2.610219597</v>
      </c>
      <c r="H2658" t="n">
        <v>3.634115253</v>
      </c>
      <c r="I2658" t="n">
        <v>3.254928708</v>
      </c>
      <c r="J2658" t="n">
        <v>3.86975225</v>
      </c>
    </row>
    <row r="2659">
      <c r="A2659" t="inlineStr">
        <is>
          <t>G|FICO x ASSET_CLASS / SYS_FLAG|contribution_rate|band|2</t>
        </is>
      </c>
      <c r="B2659" t="n">
        <v>-0.78375726</v>
      </c>
      <c r="C2659" t="n">
        <v>1.454853849</v>
      </c>
      <c r="D2659" t="n">
        <v>0.632771861</v>
      </c>
      <c r="E2659" t="n">
        <v>-0.260663614</v>
      </c>
      <c r="F2659" t="n">
        <v>1.551951991</v>
      </c>
      <c r="G2659" t="n">
        <v>-1.434192694</v>
      </c>
      <c r="H2659" t="n">
        <v>-0.276913347</v>
      </c>
      <c r="I2659" t="n">
        <v>-0.703279532</v>
      </c>
    </row>
    <row r="2660">
      <c r="A2660" t="inlineStr">
        <is>
          <t>G|FICO x ASSET_CLASS / SYS_FLAG|contribution_rate|rate|3</t>
        </is>
      </c>
      <c r="B2660" t="n">
        <v>0.1744726575035506</v>
      </c>
      <c r="C2660" t="n">
        <v>0.1744459146670386</v>
      </c>
      <c r="D2660" t="n">
        <v>0.182487508383607</v>
      </c>
      <c r="E2660" t="n">
        <v>0.1588181499904109</v>
      </c>
      <c r="F2660" t="n">
        <v>0.1686996296323497</v>
      </c>
      <c r="G2660" t="n">
        <v>0.1647825844701854</v>
      </c>
      <c r="H2660" t="n">
        <v>0.1871564972830558</v>
      </c>
      <c r="I2660" t="n">
        <v>0.1723016095100228</v>
      </c>
      <c r="J2660" t="n">
        <v>0.1734333199610001</v>
      </c>
    </row>
    <row r="2661">
      <c r="A2661" t="inlineStr">
        <is>
          <t>G|FICO x ASSET_CLASS / SYS_FLAG|contribution_rate|book|3</t>
        </is>
      </c>
      <c r="B2661" t="n">
        <v>0.488020177</v>
      </c>
      <c r="C2661" t="n">
        <v>0.485345893</v>
      </c>
      <c r="D2661" t="n">
        <v>1.289505265</v>
      </c>
      <c r="E2661" t="n">
        <v>-1.077430574</v>
      </c>
      <c r="F2661" t="n">
        <v>-0.08928261</v>
      </c>
      <c r="G2661" t="n">
        <v>-0.480987126</v>
      </c>
      <c r="H2661" t="n">
        <v>1.756404155</v>
      </c>
      <c r="I2661" t="n">
        <v>0.270915378</v>
      </c>
      <c r="J2661" t="n">
        <v>0.384086423</v>
      </c>
    </row>
    <row r="2662">
      <c r="A2662" t="inlineStr">
        <is>
          <t>G|FICO x ASSET_CLASS / SYS_FLAG|contribution_rate|band|3</t>
        </is>
      </c>
      <c r="B2662" t="n">
        <v>0.118371552</v>
      </c>
      <c r="C2662" t="n">
        <v>0.113688861</v>
      </c>
      <c r="D2662" t="n">
        <v>1.050471161</v>
      </c>
      <c r="E2662" t="n">
        <v>-1.652803469</v>
      </c>
      <c r="F2662" t="n">
        <v>-0.540241348</v>
      </c>
      <c r="G2662" t="n">
        <v>-0.990854385</v>
      </c>
      <c r="H2662" t="n">
        <v>1.609213013</v>
      </c>
      <c r="I2662" t="n">
        <v>-0.128158992</v>
      </c>
    </row>
    <row r="2663">
      <c r="A2663" t="inlineStr">
        <is>
          <t>G|FICO x ASSET_CLASS / SYS_FLAG|contribution_rate|rate|4</t>
        </is>
      </c>
      <c r="B2663" t="n">
        <v>0.1291512624073555</v>
      </c>
      <c r="C2663" t="n">
        <v>0.1220563186367403</v>
      </c>
      <c r="D2663" t="n">
        <v>0.1150566584831035</v>
      </c>
      <c r="E2663" t="n">
        <v>0.1270403910535447</v>
      </c>
      <c r="F2663" t="n">
        <v>0.1271752318530176</v>
      </c>
      <c r="G2663" t="n">
        <v>0.1198317695591671</v>
      </c>
      <c r="H2663" t="n">
        <v>0.1269689427425306</v>
      </c>
      <c r="I2663" t="n">
        <v>0.1424312873746464</v>
      </c>
      <c r="J2663" t="n">
        <v>0.1261938892004919</v>
      </c>
    </row>
    <row r="2664">
      <c r="A2664" t="inlineStr">
        <is>
          <t>G|FICO x ASSET_CLASS / SYS_FLAG|contribution_rate|book|4</t>
        </is>
      </c>
      <c r="B2664" t="n">
        <v>-4.044119333</v>
      </c>
      <c r="C2664" t="n">
        <v>-4.75361371</v>
      </c>
      <c r="D2664" t="n">
        <v>-5.453579725</v>
      </c>
      <c r="E2664" t="n">
        <v>-4.255206468</v>
      </c>
      <c r="F2664" t="n">
        <v>-4.241722388</v>
      </c>
      <c r="G2664" t="n">
        <v>-4.976068618</v>
      </c>
      <c r="H2664" t="n">
        <v>-4.262351299</v>
      </c>
      <c r="I2664" t="n">
        <v>-2.716116836</v>
      </c>
      <c r="J2664" t="n">
        <v>-4.339856653</v>
      </c>
    </row>
    <row r="2665">
      <c r="A2665" t="inlineStr">
        <is>
          <t>G|FICO x ASSET_CLASS / SYS_FLAG|contribution_rate|band|4</t>
        </is>
      </c>
      <c r="B2665" t="n">
        <v>0.335921996</v>
      </c>
      <c r="C2665" t="n">
        <v>-0.462867933</v>
      </c>
      <c r="D2665" t="n">
        <v>-1.308787288</v>
      </c>
      <c r="E2665" t="n">
        <v>0.09695024300000001</v>
      </c>
      <c r="F2665" t="n">
        <v>0.114047609</v>
      </c>
      <c r="G2665" t="n">
        <v>-0.707930392</v>
      </c>
      <c r="H2665" t="n">
        <v>0.089259422</v>
      </c>
      <c r="I2665" t="n">
        <v>1.85748157</v>
      </c>
    </row>
    <row r="2666">
      <c r="A2666" t="inlineStr">
        <is>
          <t>G|FICO x ASSET_CLASS / SYS_FLAG|contribution_rate|rate|5</t>
        </is>
      </c>
      <c r="B2666" t="n">
        <v>0.06852200567852806</v>
      </c>
      <c r="C2666" t="n">
        <v>0.0660337099060927</v>
      </c>
      <c r="D2666" t="n">
        <v>0.06604356987602898</v>
      </c>
      <c r="E2666" t="n">
        <v>0.06099902320296288</v>
      </c>
      <c r="F2666" t="n">
        <v>0.06784591200383021</v>
      </c>
      <c r="G2666" t="n">
        <v>0.06824428977710294</v>
      </c>
      <c r="H2666" t="n">
        <v>0.06539723285187914</v>
      </c>
      <c r="I2666" t="n">
        <v>0.06558416061033709</v>
      </c>
      <c r="J2666" t="n">
        <v>0.06615176452409988</v>
      </c>
    </row>
    <row r="2667">
      <c r="A2667" t="inlineStr">
        <is>
          <t>G|FICO x ASSET_CLASS / SYS_FLAG|contribution_rate|book|5</t>
        </is>
      </c>
      <c r="B2667" t="n">
        <v>-10.107045006</v>
      </c>
      <c r="C2667" t="n">
        <v>-10.355874583</v>
      </c>
      <c r="D2667" t="n">
        <v>-10.354888586</v>
      </c>
      <c r="E2667" t="n">
        <v>-10.859343253</v>
      </c>
      <c r="F2667" t="n">
        <v>-10.174654373</v>
      </c>
      <c r="G2667" t="n">
        <v>-10.134816596</v>
      </c>
      <c r="H2667" t="n">
        <v>-10.419522288</v>
      </c>
      <c r="I2667" t="n">
        <v>-10.400829512</v>
      </c>
      <c r="J2667" t="n">
        <v>-10.344069121</v>
      </c>
    </row>
    <row r="2668">
      <c r="A2668" t="inlineStr">
        <is>
          <t>G|FICO x ASSET_CLASS / SYS_FLAG|contribution_rate|band|5</t>
        </is>
      </c>
      <c r="B2668" t="n">
        <v>0.277306536</v>
      </c>
      <c r="C2668" t="n">
        <v>-0.013396134</v>
      </c>
      <c r="D2668" t="n">
        <v>-0.012539216</v>
      </c>
      <c r="E2668" t="n">
        <v>-0.586425795</v>
      </c>
      <c r="F2668" t="n">
        <v>0.196653967</v>
      </c>
      <c r="G2668" t="n">
        <v>0.235054418</v>
      </c>
      <c r="H2668" t="n">
        <v>-0.08683961</v>
      </c>
      <c r="I2668" t="n">
        <v>-0.062935016</v>
      </c>
    </row>
    <row r="2669">
      <c r="A2669" t="inlineStr">
        <is>
          <t>G|FICO x ASSET_CLASS / SYS_FLAG|contribution_rate|rate|6</t>
        </is>
      </c>
      <c r="E2669" t="n">
        <v>0.140296941334961</v>
      </c>
      <c r="J2669" t="n">
        <v>0.140296941334961</v>
      </c>
    </row>
    <row r="2670">
      <c r="A2670" t="inlineStr">
        <is>
          <t>G|FICO x ASSET_CLASS / SYS_FLAG|contribution_rate|book|6</t>
        </is>
      </c>
      <c r="E2670" t="n">
        <v>-2.92955144</v>
      </c>
      <c r="J2670" t="n">
        <v>-2.92955144</v>
      </c>
    </row>
    <row r="2671">
      <c r="A2671" t="inlineStr">
        <is>
          <t>G|FICO x ASSET_CLASS / SYS_FLAG|contribution_rate|band|6</t>
        </is>
      </c>
    </row>
    <row r="2672">
      <c r="A2672" t="inlineStr">
        <is>
          <t>G|FICO x ASSET_CLASS / SYS_FLAG|contribution_rate|rate|7</t>
        </is>
      </c>
      <c r="B2672" t="n">
        <v>0.1836483093665673</v>
      </c>
      <c r="C2672" t="n">
        <v>0.1840430548606989</v>
      </c>
      <c r="D2672" t="n">
        <v>0.1675016252855078</v>
      </c>
      <c r="E2672" t="n">
        <v>0.178245380383972</v>
      </c>
      <c r="F2672" t="n">
        <v>0.2301756883217136</v>
      </c>
      <c r="G2672" t="n">
        <v>0.1368631575911131</v>
      </c>
      <c r="H2672" t="n">
        <v>0.1723535026319523</v>
      </c>
      <c r="I2672" t="n">
        <v>0.2043912281155629</v>
      </c>
      <c r="J2672" t="n">
        <v>0.1806863107357443</v>
      </c>
    </row>
    <row r="2673">
      <c r="A2673" t="inlineStr">
        <is>
          <t>G|FICO x ASSET_CLASS / SYS_FLAG|contribution_rate|book|7</t>
        </is>
      </c>
      <c r="B2673" t="n">
        <v>1.405585363</v>
      </c>
      <c r="C2673" t="n">
        <v>1.445059913</v>
      </c>
      <c r="D2673" t="n">
        <v>-0.209083045</v>
      </c>
      <c r="E2673" t="n">
        <v>0.865292465</v>
      </c>
      <c r="F2673" t="n">
        <v>6.058323259</v>
      </c>
      <c r="G2673" t="n">
        <v>-3.272929814</v>
      </c>
      <c r="H2673" t="n">
        <v>0.27610469</v>
      </c>
      <c r="I2673" t="n">
        <v>3.479877238</v>
      </c>
      <c r="J2673" t="n">
        <v>1.1093855</v>
      </c>
    </row>
    <row r="2674">
      <c r="A2674" t="inlineStr">
        <is>
          <t>G|FICO x ASSET_CLASS / SYS_FLAG|contribution_rate|band|7</t>
        </is>
      </c>
      <c r="B2674" t="n">
        <v>0.364469184</v>
      </c>
      <c r="C2674" t="n">
        <v>0.37266652</v>
      </c>
      <c r="D2674" t="n">
        <v>-1.460148717</v>
      </c>
      <c r="E2674" t="n">
        <v>-0.27378297</v>
      </c>
      <c r="F2674" t="n">
        <v>5.653583051</v>
      </c>
      <c r="G2674" t="n">
        <v>-5.179621884</v>
      </c>
      <c r="H2674" t="n">
        <v>-0.959136433</v>
      </c>
      <c r="I2674" t="n">
        <v>2.628518704</v>
      </c>
    </row>
    <row r="2675">
      <c r="A2675" t="inlineStr">
        <is>
          <t>G|FICO x ASSET_CLASS / SYS_FLAG|contribution_rate|rate|8</t>
        </is>
      </c>
      <c r="B2675" t="n">
        <v>0.1720175555717959</v>
      </c>
      <c r="C2675" t="n">
        <v>0.1746105286323749</v>
      </c>
      <c r="D2675" t="n">
        <v>0.1679470896613687</v>
      </c>
      <c r="E2675" t="n">
        <v>0.1608585159559364</v>
      </c>
      <c r="F2675" t="n">
        <v>0.1678337458030882</v>
      </c>
      <c r="G2675" t="n">
        <v>0.1652986533572751</v>
      </c>
      <c r="H2675" t="n">
        <v>0.1733503472186024</v>
      </c>
      <c r="I2675" t="n">
        <v>0.1744144949802069</v>
      </c>
      <c r="J2675" t="n">
        <v>0.1695924557349812</v>
      </c>
    </row>
    <row r="2676">
      <c r="A2676" t="inlineStr">
        <is>
          <t>G|FICO x ASSET_CLASS / SYS_FLAG|contribution_rate|book|8</t>
        </is>
      </c>
      <c r="B2676" t="n">
        <v>0.242509984</v>
      </c>
      <c r="C2676" t="n">
        <v>0.50180729</v>
      </c>
      <c r="D2676" t="n">
        <v>-0.164536607</v>
      </c>
      <c r="E2676" t="n">
        <v>-0.873393978</v>
      </c>
      <c r="F2676" t="n">
        <v>-0.175870993</v>
      </c>
      <c r="G2676" t="n">
        <v>-0.429380238</v>
      </c>
      <c r="H2676" t="n">
        <v>0.375789148</v>
      </c>
      <c r="I2676" t="n">
        <v>0.482203925</v>
      </c>
      <c r="J2676" t="n">
        <v>0</v>
      </c>
    </row>
    <row r="2677">
      <c r="A2677" t="inlineStr">
        <is>
          <t>G|FICO x ASSET_CLASS / SYS_FLAG|contribution_rate|band|8</t>
        </is>
      </c>
    </row>
    <row r="2678">
      <c r="A2678" t="inlineStr">
        <is>
          <t>G|FICO x ASSET_CLASS / SYS_FLAG|contribution_rate|meta</t>
        </is>
      </c>
      <c r="B2678" t="inlineStr">
        <is>
          <t>pts</t>
        </is>
      </c>
      <c r="C2678" t="n">
        <v>11.200883824</v>
      </c>
      <c r="D2678" t="n">
        <v>10</v>
      </c>
      <c r="E2678" t="n">
        <v>0.1695924557349815</v>
      </c>
      <c r="F2678" t="n">
        <v>65</v>
      </c>
    </row>
    <row r="2679">
      <c r="A2679" t="inlineStr">
        <is>
          <t>G|FICO x ASSET_CLASS / SYS_FLAG|loan_size|rate|1</t>
        </is>
      </c>
      <c r="B2679" t="n">
        <v>30901.95833333333</v>
      </c>
      <c r="C2679" t="n">
        <v>33538.14112903226</v>
      </c>
      <c r="D2679" t="n">
        <v>32687.46624413145</v>
      </c>
      <c r="E2679" t="n">
        <v>34840.98198895028</v>
      </c>
      <c r="F2679" t="n">
        <v>34380.92820652174</v>
      </c>
      <c r="G2679" t="n">
        <v>32518.99102409638</v>
      </c>
      <c r="H2679" t="n">
        <v>32170.81201970443</v>
      </c>
      <c r="I2679" t="n">
        <v>30450.97222222222</v>
      </c>
      <c r="J2679" t="n">
        <v>32614.36532133676</v>
      </c>
    </row>
    <row r="2680">
      <c r="A2680" t="inlineStr">
        <is>
          <t>G|FICO x ASSET_CLASS / SYS_FLAG|loan_size|median|1</t>
        </is>
      </c>
      <c r="B2680" t="n">
        <v>27798.87</v>
      </c>
      <c r="C2680" t="n">
        <v>34434.94</v>
      </c>
      <c r="D2680" t="n">
        <v>33158.86</v>
      </c>
      <c r="E2680" t="n">
        <v>36473.8</v>
      </c>
      <c r="F2680" t="n">
        <v>35411.575</v>
      </c>
      <c r="G2680" t="n">
        <v>31368.665</v>
      </c>
      <c r="H2680" t="n">
        <v>32197.78</v>
      </c>
      <c r="I2680" t="n">
        <v>30177.78</v>
      </c>
      <c r="J2680" t="n">
        <v>32375.37</v>
      </c>
    </row>
    <row r="2681">
      <c r="A2681" t="inlineStr">
        <is>
          <t>G|FICO x ASSET_CLASS / SYS_FLAG|loan_size|book|1</t>
        </is>
      </c>
      <c r="B2681" t="n">
        <v>0.9578263771139169</v>
      </c>
      <c r="C2681" t="n">
        <v>1.03953658425929</v>
      </c>
      <c r="D2681" t="n">
        <v>1.013169360722281</v>
      </c>
      <c r="E2681" t="n">
        <v>1.07991898745039</v>
      </c>
      <c r="F2681" t="n">
        <v>1.06565932005495</v>
      </c>
      <c r="G2681" t="n">
        <v>1.007947361265191</v>
      </c>
      <c r="H2681" t="n">
        <v>0.9971553256677537</v>
      </c>
      <c r="I2681" t="n">
        <v>0.9438477681120306</v>
      </c>
      <c r="J2681" t="n">
        <v>1.010903549886318</v>
      </c>
    </row>
    <row r="2682">
      <c r="A2682" t="inlineStr">
        <is>
          <t>G|FICO x ASSET_CLASS / SYS_FLAG|loan_size|band|1</t>
        </is>
      </c>
      <c r="B2682" t="n">
        <v>0.9387707849347019</v>
      </c>
      <c r="C2682" t="n">
        <v>1.032293860623828</v>
      </c>
      <c r="D2682" t="n">
        <v>1.002597777309377</v>
      </c>
      <c r="E2682" t="n">
        <v>1.077958602610682</v>
      </c>
      <c r="F2682" t="n">
        <v>1.061878808029376</v>
      </c>
      <c r="G2682" t="n">
        <v>0.9967276061474341</v>
      </c>
      <c r="H2682" t="n">
        <v>0.9843914194902877</v>
      </c>
      <c r="I2682" t="n">
        <v>0.9251825681969649</v>
      </c>
    </row>
    <row r="2683">
      <c r="A2683" t="inlineStr">
        <is>
          <t>G|FICO x ASSET_CLASS / SYS_FLAG|loan_size|rate|2</t>
        </is>
      </c>
      <c r="B2683" t="n">
        <v>32629.76823809524</v>
      </c>
      <c r="C2683" t="n">
        <v>30901.37668449198</v>
      </c>
      <c r="D2683" t="n">
        <v>31551.44359375</v>
      </c>
      <c r="E2683" t="n">
        <v>31353.28147239264</v>
      </c>
      <c r="F2683" t="n">
        <v>32485.80293478261</v>
      </c>
      <c r="G2683" t="n">
        <v>31139.55067357513</v>
      </c>
      <c r="H2683" t="n">
        <v>33588.98538812785</v>
      </c>
      <c r="I2683" t="n">
        <v>32497.46617801047</v>
      </c>
      <c r="J2683" t="n">
        <v>32066.01408706952</v>
      </c>
    </row>
    <row r="2684">
      <c r="A2684" t="inlineStr">
        <is>
          <t>G|FICO x ASSET_CLASS / SYS_FLAG|loan_size|median|2</t>
        </is>
      </c>
      <c r="B2684" t="n">
        <v>32559.86</v>
      </c>
      <c r="C2684" t="n">
        <v>30643.61</v>
      </c>
      <c r="D2684" t="n">
        <v>31262.88</v>
      </c>
      <c r="E2684" t="n">
        <v>30875.06</v>
      </c>
      <c r="F2684" t="n">
        <v>32530.405</v>
      </c>
      <c r="G2684" t="n">
        <v>33777.04</v>
      </c>
      <c r="H2684" t="n">
        <v>35171.79</v>
      </c>
      <c r="I2684" t="n">
        <v>32424.21</v>
      </c>
      <c r="J2684" t="n">
        <v>32343.46</v>
      </c>
    </row>
    <row r="2685">
      <c r="A2685" t="inlineStr">
        <is>
          <t>G|FICO x ASSET_CLASS / SYS_FLAG|loan_size|book|2</t>
        </is>
      </c>
      <c r="B2685" t="n">
        <v>1.011380973349149</v>
      </c>
      <c r="C2685" t="n">
        <v>0.9578083485282702</v>
      </c>
      <c r="D2685" t="n">
        <v>0.977957596865862</v>
      </c>
      <c r="E2685" t="n">
        <v>0.9718154325171324</v>
      </c>
      <c r="F2685" t="n">
        <v>1.006918674765525</v>
      </c>
      <c r="G2685" t="n">
        <v>0.9651907068443839</v>
      </c>
      <c r="H2685" t="n">
        <v>1.04111253527059</v>
      </c>
      <c r="I2685" t="n">
        <v>1.007280184605317</v>
      </c>
      <c r="J2685" t="n">
        <v>0.9939070453140634</v>
      </c>
    </row>
    <row r="2686">
      <c r="A2686" t="inlineStr">
        <is>
          <t>G|FICO x ASSET_CLASS / SYS_FLAG|loan_size|band|2</t>
        </is>
      </c>
      <c r="B2686" t="n">
        <v>1.020415808368707</v>
      </c>
      <c r="C2686" t="n">
        <v>0.958863111025861</v>
      </c>
      <c r="D2686" t="n">
        <v>0.9817072637336902</v>
      </c>
      <c r="E2686" t="n">
        <v>0.9752052436491703</v>
      </c>
      <c r="F2686" t="n">
        <v>1.014895599447558</v>
      </c>
      <c r="G2686" t="n">
        <v>0.9671011005990698</v>
      </c>
      <c r="H2686" t="n">
        <v>1.055814514414349</v>
      </c>
      <c r="I2686" t="n">
        <v>1.015390937989774</v>
      </c>
    </row>
    <row r="2687">
      <c r="A2687" t="inlineStr">
        <is>
          <t>G|FICO x ASSET_CLASS / SYS_FLAG|loan_size|rate|3</t>
        </is>
      </c>
      <c r="B2687" t="n">
        <v>30353.57126829269</v>
      </c>
      <c r="C2687" t="n">
        <v>33398.38520958084</v>
      </c>
      <c r="D2687" t="n">
        <v>32613.45680555555</v>
      </c>
      <c r="E2687" t="n">
        <v>32985.27067039106</v>
      </c>
      <c r="F2687" t="n">
        <v>32890.2634375</v>
      </c>
      <c r="G2687" t="n">
        <v>33041.41306122449</v>
      </c>
      <c r="H2687" t="n">
        <v>31958.40187234043</v>
      </c>
      <c r="I2687" t="n">
        <v>34687.63302325581</v>
      </c>
      <c r="J2687" t="n">
        <v>32660.96505761844</v>
      </c>
    </row>
    <row r="2688">
      <c r="A2688" t="inlineStr">
        <is>
          <t>G|FICO x ASSET_CLASS / SYS_FLAG|loan_size|median|3</t>
        </is>
      </c>
      <c r="B2688" t="n">
        <v>28757.34</v>
      </c>
      <c r="C2688" t="n">
        <v>34707.1</v>
      </c>
      <c r="D2688" t="n">
        <v>32506.925</v>
      </c>
      <c r="E2688" t="n">
        <v>34772.23</v>
      </c>
      <c r="F2688" t="n">
        <v>30613.85</v>
      </c>
      <c r="G2688" t="n">
        <v>33538.355</v>
      </c>
      <c r="H2688" t="n">
        <v>32100.44</v>
      </c>
      <c r="I2688" t="n">
        <v>37858.72</v>
      </c>
      <c r="J2688" t="n">
        <v>32657.185</v>
      </c>
    </row>
    <row r="2689">
      <c r="A2689" t="inlineStr">
        <is>
          <t>G|FICO x ASSET_CLASS / SYS_FLAG|loan_size|book|3</t>
        </is>
      </c>
      <c r="B2689" t="n">
        <v>0.9408287619434431</v>
      </c>
      <c r="C2689" t="n">
        <v>1.035204758277116</v>
      </c>
      <c r="D2689" t="n">
        <v>1.010875389846431</v>
      </c>
      <c r="E2689" t="n">
        <v>1.02240000337657</v>
      </c>
      <c r="F2689" t="n">
        <v>1.019455192154638</v>
      </c>
      <c r="G2689" t="n">
        <v>1.024140173440695</v>
      </c>
      <c r="H2689" t="n">
        <v>0.9905715344491745</v>
      </c>
      <c r="I2689" t="n">
        <v>1.075165836123833</v>
      </c>
      <c r="J2689" t="n">
        <v>1.012347939141384</v>
      </c>
    </row>
    <row r="2690">
      <c r="A2690" t="inlineStr">
        <is>
          <t>G|FICO x ASSET_CLASS / SYS_FLAG|loan_size|band|3</t>
        </is>
      </c>
      <c r="B2690" t="n">
        <v>0.9195393691271435</v>
      </c>
      <c r="C2690" t="n">
        <v>1.025349432999745</v>
      </c>
      <c r="D2690" t="n">
        <v>0.9983123800721799</v>
      </c>
      <c r="E2690" t="n">
        <v>1.011229044352475</v>
      </c>
      <c r="F2690" t="n">
        <v>1.00801235069727</v>
      </c>
      <c r="G2690" t="n">
        <v>1.013342066444874</v>
      </c>
      <c r="H2690" t="n">
        <v>0.9747759257246893</v>
      </c>
      <c r="I2690" t="n">
        <v>1.070269578309988</v>
      </c>
    </row>
    <row r="2691">
      <c r="A2691" t="inlineStr">
        <is>
          <t>G|FICO x ASSET_CLASS / SYS_FLAG|loan_size|rate|4</t>
        </is>
      </c>
      <c r="B2691" t="n">
        <v>31697.26288659794</v>
      </c>
      <c r="C2691" t="n">
        <v>32448.43700598802</v>
      </c>
      <c r="D2691" t="n">
        <v>30817.77279352227</v>
      </c>
      <c r="E2691" t="n">
        <v>35407.62584699454</v>
      </c>
      <c r="F2691" t="n">
        <v>31956.56201793722</v>
      </c>
      <c r="G2691" t="n">
        <v>30615.62727810651</v>
      </c>
      <c r="H2691" t="n">
        <v>30570.39818181818</v>
      </c>
      <c r="I2691" t="n">
        <v>31047.81927536232</v>
      </c>
      <c r="J2691" t="n">
        <v>31746.88442236025</v>
      </c>
    </row>
    <row r="2692">
      <c r="A2692" t="inlineStr">
        <is>
          <t>G|FICO x ASSET_CLASS / SYS_FLAG|loan_size|median|4</t>
        </is>
      </c>
      <c r="B2692" t="n">
        <v>30151.805</v>
      </c>
      <c r="C2692" t="n">
        <v>32225.4</v>
      </c>
      <c r="D2692" t="n">
        <v>30925.17</v>
      </c>
      <c r="E2692" t="n">
        <v>37736.99</v>
      </c>
      <c r="F2692" t="n">
        <v>31900.11</v>
      </c>
      <c r="G2692" t="n">
        <v>31284.93</v>
      </c>
      <c r="H2692" t="n">
        <v>28917.645</v>
      </c>
      <c r="I2692" t="n">
        <v>29755.38</v>
      </c>
      <c r="J2692" t="n">
        <v>31495.24</v>
      </c>
    </row>
    <row r="2693">
      <c r="A2693" t="inlineStr">
        <is>
          <t>G|FICO x ASSET_CLASS / SYS_FLAG|loan_size|book|4</t>
        </is>
      </c>
      <c r="B2693" t="n">
        <v>0.9824773610657638</v>
      </c>
      <c r="C2693" t="n">
        <v>1.005760493403077</v>
      </c>
      <c r="D2693" t="n">
        <v>0.955216991335423</v>
      </c>
      <c r="E2693" t="n">
        <v>1.097482483841457</v>
      </c>
      <c r="F2693" t="n">
        <v>0.9905145069605463</v>
      </c>
      <c r="G2693" t="n">
        <v>0.9489513590867494</v>
      </c>
      <c r="H2693" t="n">
        <v>0.9475494537132879</v>
      </c>
      <c r="I2693" t="n">
        <v>0.9623474322573816</v>
      </c>
      <c r="J2693" t="n">
        <v>0.9840154129689267</v>
      </c>
    </row>
    <row r="2694">
      <c r="A2694" t="inlineStr">
        <is>
          <t>G|FICO x ASSET_CLASS / SYS_FLAG|loan_size|band|4</t>
        </is>
      </c>
      <c r="B2694" t="n">
        <v>0.9982231992814691</v>
      </c>
      <c r="C2694" t="n">
        <v>1.024718993135118</v>
      </c>
      <c r="D2694" t="n">
        <v>0.965612580835205</v>
      </c>
      <c r="E2694" t="n">
        <v>1.132050465615434</v>
      </c>
      <c r="F2694" t="n">
        <v>1.007674706034893</v>
      </c>
      <c r="G2694" t="n">
        <v>0.9603529443560646</v>
      </c>
      <c r="H2694" t="n">
        <v>0.9573266270684944</v>
      </c>
      <c r="I2694" t="n">
        <v>0.9748130212829269</v>
      </c>
    </row>
    <row r="2695">
      <c r="A2695" t="inlineStr">
        <is>
          <t>G|FICO x ASSET_CLASS / SYS_FLAG|loan_size|rate|5</t>
        </is>
      </c>
      <c r="B2695" t="n">
        <v>31772.85168831169</v>
      </c>
      <c r="C2695" t="n">
        <v>32784.07169398907</v>
      </c>
      <c r="D2695" t="n">
        <v>31641.99310502283</v>
      </c>
      <c r="E2695" t="n">
        <v>34057.45611111111</v>
      </c>
      <c r="F2695" t="n">
        <v>33168.22303317535</v>
      </c>
      <c r="G2695" t="n">
        <v>31874.73706896552</v>
      </c>
      <c r="H2695" t="n">
        <v>31698.34966507177</v>
      </c>
      <c r="I2695" t="n">
        <v>30226.44798780488</v>
      </c>
      <c r="J2695" t="n">
        <v>32161.51770210057</v>
      </c>
    </row>
    <row r="2696">
      <c r="A2696" t="inlineStr">
        <is>
          <t>G|FICO x ASSET_CLASS / SYS_FLAG|loan_size|median|5</t>
        </is>
      </c>
      <c r="B2696" t="n">
        <v>32408.09</v>
      </c>
      <c r="C2696" t="n">
        <v>33431.25</v>
      </c>
      <c r="D2696" t="n">
        <v>31958.4</v>
      </c>
      <c r="E2696" t="n">
        <v>34205.94</v>
      </c>
      <c r="F2696" t="n">
        <v>31386.63</v>
      </c>
      <c r="G2696" t="n">
        <v>30448.165</v>
      </c>
      <c r="H2696" t="n">
        <v>29406.48</v>
      </c>
      <c r="I2696" t="n">
        <v>30033.935</v>
      </c>
      <c r="J2696" t="n">
        <v>31538.61</v>
      </c>
    </row>
    <row r="2697">
      <c r="A2697" t="inlineStr">
        <is>
          <t>G|FICO x ASSET_CLASS / SYS_FLAG|loan_size|book|5</t>
        </is>
      </c>
      <c r="B2697" t="n">
        <v>0.9848202853333746</v>
      </c>
      <c r="C2697" t="n">
        <v>1.016163709722705</v>
      </c>
      <c r="D2697" t="n">
        <v>0.9807642380954031</v>
      </c>
      <c r="E2697" t="n">
        <v>1.055633091234675</v>
      </c>
      <c r="F2697" t="n">
        <v>1.028070731326555</v>
      </c>
      <c r="G2697" t="n">
        <v>0.9879782892365532</v>
      </c>
      <c r="H2697" t="n">
        <v>0.9825110464742123</v>
      </c>
      <c r="I2697" t="n">
        <v>0.9368884928548937</v>
      </c>
      <c r="J2697" t="n">
        <v>0.9968672422245548</v>
      </c>
    </row>
    <row r="2698">
      <c r="A2698" t="inlineStr">
        <is>
          <t>G|FICO x ASSET_CLASS / SYS_FLAG|loan_size|band|5</t>
        </is>
      </c>
      <c r="B2698" t="n">
        <v>0.9858613610939669</v>
      </c>
      <c r="C2698" t="n">
        <v>1.021965292819309</v>
      </c>
      <c r="D2698" t="n">
        <v>0.9812787784512763</v>
      </c>
      <c r="E2698" t="n">
        <v>1.067090714179511</v>
      </c>
      <c r="F2698" t="n">
        <v>1.036334344631679</v>
      </c>
      <c r="G2698" t="n">
        <v>0.9899836153492413</v>
      </c>
      <c r="H2698" t="n">
        <v>0.9834254235758703</v>
      </c>
      <c r="I2698" t="n">
        <v>0.9332875255143845</v>
      </c>
    </row>
    <row r="2699">
      <c r="A2699" t="inlineStr">
        <is>
          <t>G|FICO x ASSET_CLASS / SYS_FLAG|loan_size|rate|6</t>
        </is>
      </c>
      <c r="E2699" t="n">
        <v>27999.47</v>
      </c>
      <c r="J2699" t="n">
        <v>27999.47</v>
      </c>
    </row>
    <row r="2700">
      <c r="A2700" t="inlineStr">
        <is>
          <t>G|FICO x ASSET_CLASS / SYS_FLAG|loan_size|median|6</t>
        </is>
      </c>
      <c r="E2700" t="n">
        <v>27999.47</v>
      </c>
      <c r="J2700" t="n">
        <v>27999.47</v>
      </c>
    </row>
    <row r="2701">
      <c r="A2701" t="inlineStr">
        <is>
          <t>G|FICO x ASSET_CLASS / SYS_FLAG|loan_size|book|6</t>
        </is>
      </c>
      <c r="E2701" t="n">
        <v>0.8678618559355534</v>
      </c>
      <c r="J2701" t="n">
        <v>0.8678618559355534</v>
      </c>
    </row>
    <row r="2702">
      <c r="A2702" t="inlineStr">
        <is>
          <t>G|FICO x ASSET_CLASS / SYS_FLAG|loan_size|band|6</t>
        </is>
      </c>
    </row>
    <row r="2703">
      <c r="A2703" t="inlineStr">
        <is>
          <t>G|FICO x ASSET_CLASS / SYS_FLAG|loan_size|rate|7</t>
        </is>
      </c>
      <c r="B2703" t="n">
        <v>36687.01629629629</v>
      </c>
      <c r="C2703" t="n">
        <v>34995.228</v>
      </c>
      <c r="D2703" t="n">
        <v>28506.95722222222</v>
      </c>
      <c r="E2703" t="n">
        <v>31859.70055555556</v>
      </c>
      <c r="F2703" t="n">
        <v>31386.20952380952</v>
      </c>
      <c r="G2703" t="n">
        <v>37001.21545454545</v>
      </c>
      <c r="H2703" t="n">
        <v>31541.39818181818</v>
      </c>
      <c r="I2703" t="n">
        <v>30536.30529411765</v>
      </c>
      <c r="J2703" t="n">
        <v>33051.5174375</v>
      </c>
    </row>
    <row r="2704">
      <c r="A2704" t="inlineStr">
        <is>
          <t>G|FICO x ASSET_CLASS / SYS_FLAG|loan_size|median|7</t>
        </is>
      </c>
      <c r="B2704" t="n">
        <v>41604.16</v>
      </c>
      <c r="C2704" t="n">
        <v>36279.01</v>
      </c>
      <c r="D2704" t="n">
        <v>23563.15</v>
      </c>
      <c r="E2704" t="n">
        <v>30762.21</v>
      </c>
      <c r="F2704" t="n">
        <v>33165.97</v>
      </c>
      <c r="G2704" t="n">
        <v>39658.815</v>
      </c>
      <c r="H2704" t="n">
        <v>30414.62</v>
      </c>
      <c r="I2704" t="n">
        <v>30017.95</v>
      </c>
      <c r="J2704" t="n">
        <v>33153.41</v>
      </c>
    </row>
    <row r="2705">
      <c r="A2705" t="inlineStr">
        <is>
          <t>G|FICO x ASSET_CLASS / SYS_FLAG|loan_size|book|7</t>
        </is>
      </c>
      <c r="B2705" t="n">
        <v>1.137138026242696</v>
      </c>
      <c r="C2705" t="n">
        <v>1.084699943283492</v>
      </c>
      <c r="D2705" t="n">
        <v>0.8835917537708108</v>
      </c>
      <c r="E2705" t="n">
        <v>0.987512222684766</v>
      </c>
      <c r="F2705" t="n">
        <v>0.9728360589723832</v>
      </c>
      <c r="G2705" t="n">
        <v>1.146876834320546</v>
      </c>
      <c r="H2705" t="n">
        <v>0.9776462327635136</v>
      </c>
      <c r="I2705" t="n">
        <v>0.9464927223968027</v>
      </c>
      <c r="J2705" t="n">
        <v>1.024453365181379</v>
      </c>
    </row>
    <row r="2706">
      <c r="A2706" t="inlineStr">
        <is>
          <t>G|FICO x ASSET_CLASS / SYS_FLAG|loan_size|band|7</t>
        </is>
      </c>
      <c r="B2706" t="n">
        <v>1.135346980353405</v>
      </c>
      <c r="C2706" t="n">
        <v>1.065289348097342</v>
      </c>
      <c r="D2706" t="n">
        <v>0.8477252915121015</v>
      </c>
      <c r="E2706" t="n">
        <v>0.959554596571679</v>
      </c>
      <c r="F2706" t="n">
        <v>0.9424407764258226</v>
      </c>
      <c r="G2706" t="n">
        <v>1.141242996687045</v>
      </c>
      <c r="H2706" t="n">
        <v>0.9474093123153985</v>
      </c>
      <c r="I2706" t="n">
        <v>0.9156168285982704</v>
      </c>
    </row>
    <row r="2707">
      <c r="A2707" t="inlineStr">
        <is>
          <t>G|FICO x ASSET_CLASS / SYS_FLAG|loan_size|rate|8</t>
        </is>
      </c>
      <c r="B2707" t="n">
        <v>31594.13158038147</v>
      </c>
      <c r="C2707" t="n">
        <v>32638.1044640884</v>
      </c>
      <c r="D2707" t="n">
        <v>31782.37624434389</v>
      </c>
      <c r="E2707" t="n">
        <v>33737.65500552487</v>
      </c>
      <c r="F2707" t="n">
        <v>32908.69743842365</v>
      </c>
      <c r="G2707" t="n">
        <v>31976.60298913044</v>
      </c>
      <c r="H2707" t="n">
        <v>31986.67916967509</v>
      </c>
      <c r="I2707" t="n">
        <v>31735.82544680851</v>
      </c>
      <c r="J2707" t="n">
        <v>32262.58857732217</v>
      </c>
    </row>
    <row r="2708">
      <c r="A2708" t="inlineStr">
        <is>
          <t>G|FICO x ASSET_CLASS / SYS_FLAG|loan_size|median|8</t>
        </is>
      </c>
      <c r="B2708" t="n">
        <v>30767.26</v>
      </c>
      <c r="C2708" t="n">
        <v>32843.59</v>
      </c>
      <c r="D2708" t="n">
        <v>31745.09</v>
      </c>
      <c r="E2708" t="n">
        <v>34831.73</v>
      </c>
      <c r="F2708" t="n">
        <v>32117.38</v>
      </c>
      <c r="G2708" t="n">
        <v>32062.34</v>
      </c>
      <c r="H2708" t="n">
        <v>31475.255</v>
      </c>
      <c r="I2708" t="n">
        <v>31537.565</v>
      </c>
      <c r="J2708" t="n">
        <v>32112.83</v>
      </c>
    </row>
    <row r="2709">
      <c r="A2709" t="inlineStr">
        <is>
          <t>G|FICO x ASSET_CLASS / SYS_FLAG|loan_size|book|8</t>
        </is>
      </c>
      <c r="B2709" t="n">
        <v>0.9792807388861982</v>
      </c>
      <c r="C2709" t="n">
        <v>1.011639360117253</v>
      </c>
      <c r="D2709" t="n">
        <v>0.9851155051670024</v>
      </c>
      <c r="E2709" t="n">
        <v>1.045720647141114</v>
      </c>
      <c r="F2709" t="n">
        <v>1.020026566050426</v>
      </c>
      <c r="G2709" t="n">
        <v>0.9911356899491706</v>
      </c>
      <c r="H2709" t="n">
        <v>0.9914480077447655</v>
      </c>
      <c r="I2709" t="n">
        <v>0.9836726328003351</v>
      </c>
      <c r="J2709" t="n">
        <v>1</v>
      </c>
    </row>
    <row r="2710">
      <c r="A2710" t="inlineStr">
        <is>
          <t>G|FICO x ASSET_CLASS / SYS_FLAG|loan_size|band|8</t>
        </is>
      </c>
    </row>
    <row r="2711">
      <c r="A2711" t="inlineStr">
        <is>
          <t>G|FICO x ASSET_CLASS / SYS_FLAG|loan_size|meta</t>
        </is>
      </c>
      <c r="B2711" t="inlineStr">
        <is>
          <t>size</t>
        </is>
      </c>
      <c r="C2711" t="n">
        <v>1</v>
      </c>
      <c r="E2711" t="n">
        <v>32262.58857732217</v>
      </c>
      <c r="F2711" t="n">
        <v>65</v>
      </c>
    </row>
    <row r="2712">
      <c r="A2712" t="inlineStr">
        <is>
          <t>G|FICO x ASSET_CLASS / SYS_FLAG|where N|cols</t>
        </is>
      </c>
      <c r="B2712" t="inlineStr">
        <is>
          <t>1 · N</t>
        </is>
      </c>
      <c r="C2712" t="inlineStr">
        <is>
          <t>1 · Y</t>
        </is>
      </c>
      <c r="D2712" t="inlineStr">
        <is>
          <t>2 · N</t>
        </is>
      </c>
      <c r="E2712" t="inlineStr">
        <is>
          <t>2 · Y</t>
        </is>
      </c>
      <c r="F2712" t="inlineStr">
        <is>
          <t>3 · N</t>
        </is>
      </c>
      <c r="G2712" t="inlineStr">
        <is>
          <t>3 · Y</t>
        </is>
      </c>
      <c r="H2712" t="inlineStr">
        <is>
          <t>4 · N</t>
        </is>
      </c>
      <c r="I2712" t="inlineStr">
        <is>
          <t>4 · Y</t>
        </is>
      </c>
      <c r="J2712" t="inlineStr">
        <is>
          <t>All</t>
        </is>
      </c>
    </row>
    <row r="2713">
      <c r="A2713" t="inlineStr">
        <is>
          <t>G|FICO x ASSET_CLASS / SYS_FLAG|where N|heads</t>
        </is>
      </c>
      <c r="B2713" t="inlineStr">
        <is>
          <t>N</t>
        </is>
      </c>
      <c r="C2713" t="inlineStr">
        <is>
          <t>Y</t>
        </is>
      </c>
      <c r="D2713" t="inlineStr">
        <is>
          <t>N</t>
        </is>
      </c>
      <c r="E2713" t="inlineStr">
        <is>
          <t>Y</t>
        </is>
      </c>
      <c r="F2713" t="inlineStr">
        <is>
          <t>N</t>
        </is>
      </c>
      <c r="G2713" t="inlineStr">
        <is>
          <t>Y</t>
        </is>
      </c>
      <c r="H2713" t="inlineStr">
        <is>
          <t>N</t>
        </is>
      </c>
      <c r="I2713" t="inlineStr">
        <is>
          <t>Y</t>
        </is>
      </c>
      <c r="J2713" t="inlineStr">
        <is>
          <t>All</t>
        </is>
      </c>
    </row>
    <row r="2714">
      <c r="A2714" t="inlineStr">
        <is>
          <t>G|FICO x ASSET_CLASS / SYS_FLAG|where N|segs</t>
        </is>
      </c>
      <c r="B2714" t="inlineStr">
        <is>
          <t>1</t>
        </is>
      </c>
      <c r="C2714" t="inlineStr">
        <is>
          <t>2</t>
        </is>
      </c>
      <c r="D2714" t="inlineStr">
        <is>
          <t>3</t>
        </is>
      </c>
      <c r="E2714" t="inlineStr">
        <is>
          <t>4</t>
        </is>
      </c>
    </row>
    <row r="2715">
      <c r="A2715" t="inlineStr">
        <is>
          <t>G|FICO x ASSET_CLASS / SYS_FLAG|where N|rows</t>
        </is>
      </c>
      <c r="B2715" t="inlineStr">
        <is>
          <t>496 - 653</t>
        </is>
      </c>
      <c r="C2715" t="inlineStr">
        <is>
          <t>654 - 685</t>
        </is>
      </c>
      <c r="D2715" t="inlineStr">
        <is>
          <t>686 - 711</t>
        </is>
      </c>
      <c r="E2715" t="inlineStr">
        <is>
          <t>712 - 745</t>
        </is>
      </c>
      <c r="F2715" t="inlineStr">
        <is>
          <t>746 - 921</t>
        </is>
      </c>
      <c r="G2715" t="inlineStr">
        <is>
          <t>(blank)</t>
        </is>
      </c>
      <c r="H2715" t="inlineStr">
        <is>
          <t>(marked missing)</t>
        </is>
      </c>
      <c r="I2715" t="inlineStr">
        <is>
          <t>All</t>
        </is>
      </c>
    </row>
    <row r="2716">
      <c r="A2716" t="inlineStr">
        <is>
          <t>G|FICO x ASSET_CLASS / SYS_FLAG|where N|names</t>
        </is>
      </c>
      <c r="B2716" t="inlineStr">
        <is>
          <t>FICO</t>
        </is>
      </c>
      <c r="C2716" t="inlineStr">
        <is>
          <t>ASSET_CLASS / SYS_FLAG</t>
        </is>
      </c>
    </row>
    <row r="2717">
      <c r="A2717" t="inlineStr">
        <is>
          <t>G|FICO x ASSET_CLASS / SYS_FLAG|where N|total</t>
        </is>
      </c>
      <c r="B2717" t="n">
        <v>4329</v>
      </c>
    </row>
    <row r="2718">
      <c r="A2718" t="inlineStr">
        <is>
          <t>G|FICO x ASSET_CLASS / SYS_FLAG|where N|loans|1</t>
        </is>
      </c>
      <c r="B2718" t="n">
        <v>234</v>
      </c>
      <c r="D2718" t="n">
        <v>213</v>
      </c>
      <c r="F2718" t="n">
        <v>184</v>
      </c>
      <c r="H2718" t="n">
        <v>203</v>
      </c>
      <c r="J2718" t="n">
        <v>834</v>
      </c>
    </row>
    <row r="2719">
      <c r="A2719" t="inlineStr">
        <is>
          <t>G|FICO x ASSET_CLASS / SYS_FLAG|where N|loans|2</t>
        </is>
      </c>
      <c r="B2719" t="n">
        <v>210</v>
      </c>
      <c r="D2719" t="n">
        <v>192</v>
      </c>
      <c r="F2719" t="n">
        <v>184</v>
      </c>
      <c r="H2719" t="n">
        <v>219</v>
      </c>
      <c r="J2719" t="n">
        <v>805</v>
      </c>
    </row>
    <row r="2720">
      <c r="A2720" t="inlineStr">
        <is>
          <t>G|FICO x ASSET_CLASS / SYS_FLAG|where N|loans|3</t>
        </is>
      </c>
      <c r="B2720" t="n">
        <v>205</v>
      </c>
      <c r="D2720" t="n">
        <v>216</v>
      </c>
      <c r="F2720" t="n">
        <v>192</v>
      </c>
      <c r="H2720" t="n">
        <v>235</v>
      </c>
      <c r="J2720" t="n">
        <v>848</v>
      </c>
    </row>
    <row r="2721">
      <c r="A2721" t="inlineStr">
        <is>
          <t>G|FICO x ASSET_CLASS / SYS_FLAG|where N|loans|4</t>
        </is>
      </c>
      <c r="B2721" t="n">
        <v>194</v>
      </c>
      <c r="D2721" t="n">
        <v>247</v>
      </c>
      <c r="F2721" t="n">
        <v>223</v>
      </c>
      <c r="H2721" t="n">
        <v>220</v>
      </c>
      <c r="J2721" t="n">
        <v>884</v>
      </c>
    </row>
    <row r="2722">
      <c r="A2722" t="inlineStr">
        <is>
          <t>G|FICO x ASSET_CLASS / SYS_FLAG|where N|loans|5</t>
        </is>
      </c>
      <c r="B2722" t="n">
        <v>231</v>
      </c>
      <c r="D2722" t="n">
        <v>219</v>
      </c>
      <c r="F2722" t="n">
        <v>211</v>
      </c>
      <c r="H2722" t="n">
        <v>209</v>
      </c>
      <c r="J2722" t="n">
        <v>870</v>
      </c>
    </row>
    <row r="2723">
      <c r="A2723" t="inlineStr">
        <is>
          <t>G|FICO x ASSET_CLASS / SYS_FLAG|where N|loans|6</t>
        </is>
      </c>
    </row>
    <row r="2724">
      <c r="A2724" t="inlineStr">
        <is>
          <t>G|FICO x ASSET_CLASS / SYS_FLAG|where N|loans|7</t>
        </is>
      </c>
      <c r="B2724" t="n">
        <v>27</v>
      </c>
      <c r="D2724" t="n">
        <v>18</v>
      </c>
      <c r="F2724" t="n">
        <v>21</v>
      </c>
      <c r="H2724" t="n">
        <v>22</v>
      </c>
      <c r="J2724" t="n">
        <v>88</v>
      </c>
    </row>
    <row r="2725">
      <c r="A2725" t="inlineStr">
        <is>
          <t>G|FICO x ASSET_CLASS / SYS_FLAG|where N|loans|8</t>
        </is>
      </c>
      <c r="B2725" t="n">
        <v>1101</v>
      </c>
      <c r="D2725" t="n">
        <v>1105</v>
      </c>
      <c r="F2725" t="n">
        <v>1015</v>
      </c>
      <c r="H2725" t="n">
        <v>1108</v>
      </c>
      <c r="J2725" t="n">
        <v>4329</v>
      </c>
    </row>
    <row r="2726">
      <c r="A2726" t="inlineStr">
        <is>
          <t>G|FICO x ASSET_CLASS / SYS_FLAG|where N|outcome_loans|rate|1</t>
        </is>
      </c>
      <c r="B2726" t="n">
        <v>0.0811965811965812</v>
      </c>
      <c r="D2726" t="n">
        <v>0.09905660377358491</v>
      </c>
      <c r="F2726" t="n">
        <v>0.1195652173913044</v>
      </c>
      <c r="H2726" t="n">
        <v>0.167487684729064</v>
      </c>
      <c r="J2726" t="n">
        <v>0.1152460984393757</v>
      </c>
    </row>
    <row r="2727">
      <c r="A2727" t="inlineStr">
        <is>
          <t>G|FICO x ASSET_CLASS / SYS_FLAG|where N|outcome_loans|book|1</t>
        </is>
      </c>
      <c r="B2727" t="n">
        <v>1.049259213233365</v>
      </c>
      <c r="D2727" t="n">
        <v>1.280054561526504</v>
      </c>
      <c r="F2727" t="n">
        <v>1.545076209875676</v>
      </c>
      <c r="H2727" t="n">
        <v>2.164352165020651</v>
      </c>
      <c r="J2727" t="n">
        <v>1.489262587102692</v>
      </c>
    </row>
    <row r="2728">
      <c r="A2728" t="inlineStr">
        <is>
          <t>G|FICO x ASSET_CLASS / SYS_FLAG|where N|outcome_loans|band|1</t>
        </is>
      </c>
      <c r="B2728" t="n">
        <v>0.6316461316461316</v>
      </c>
      <c r="D2728" t="n">
        <v>0.820188679245283</v>
      </c>
      <c r="F2728" t="n">
        <v>1.048619271445358</v>
      </c>
      <c r="H2728" t="n">
        <v>1.701890989988877</v>
      </c>
    </row>
    <row r="2729">
      <c r="A2729" t="inlineStr">
        <is>
          <t>G|FICO x ASSET_CLASS / SYS_FLAG|where N|outcome_loans|rate|2</t>
        </is>
      </c>
      <c r="B2729" t="n">
        <v>0.04761904761904762</v>
      </c>
      <c r="D2729" t="n">
        <v>0.02083333333333333</v>
      </c>
      <c r="F2729" t="n">
        <v>0.07065217391304347</v>
      </c>
      <c r="H2729" t="n">
        <v>0.091324200913242</v>
      </c>
      <c r="J2729" t="n">
        <v>0.05838509316770187</v>
      </c>
    </row>
    <row r="2730">
      <c r="A2730" t="inlineStr">
        <is>
          <t>G|FICO x ASSET_CLASS / SYS_FLAG|where N|outcome_loans|book|2</t>
        </is>
      </c>
      <c r="B2730" t="n">
        <v>0.615355027309793</v>
      </c>
      <c r="F2730" t="n">
        <v>0.9129995785628994</v>
      </c>
      <c r="H2730" t="n">
        <v>1.180132929087274</v>
      </c>
      <c r="J2730" t="n">
        <v>0.7544787726146158</v>
      </c>
    </row>
    <row r="2731">
      <c r="A2731" t="inlineStr">
        <is>
          <t>G|FICO x ASSET_CLASS / SYS_FLAG|where N|outcome_loans|band|2</t>
        </is>
      </c>
      <c r="B2731" t="n">
        <v>0.7657657657657657</v>
      </c>
      <c r="F2731" t="n">
        <v>1.290441176470588</v>
      </c>
      <c r="H2731" t="n">
        <v>1.982073397598512</v>
      </c>
    </row>
    <row r="2732">
      <c r="A2732" t="inlineStr">
        <is>
          <t>G|FICO x ASSET_CLASS / SYS_FLAG|where N|outcome_loans|rate|3</t>
        </is>
      </c>
      <c r="B2732" t="n">
        <v>0.05365853658536585</v>
      </c>
      <c r="D2732" t="n">
        <v>0.02314814814814815</v>
      </c>
      <c r="F2732" t="n">
        <v>0.05208333333333334</v>
      </c>
      <c r="H2732" t="n">
        <v>0.07659574468085106</v>
      </c>
      <c r="J2732" t="n">
        <v>0.05188679245283019</v>
      </c>
    </row>
    <row r="2733">
      <c r="A2733" t="inlineStr">
        <is>
          <t>G|FICO x ASSET_CLASS / SYS_FLAG|where N|outcome_loans|book|3</t>
        </is>
      </c>
      <c r="B2733" t="n">
        <v>0.6934000551637181</v>
      </c>
      <c r="F2733" t="n">
        <v>0.6730445611200861</v>
      </c>
      <c r="H2733" t="n">
        <v>0.9898051077578799</v>
      </c>
      <c r="J2733" t="n">
        <v>0.6705047703234066</v>
      </c>
    </row>
    <row r="2734">
      <c r="A2734" t="inlineStr">
        <is>
          <t>G|FICO x ASSET_CLASS / SYS_FLAG|where N|outcome_loans|band|3</t>
        </is>
      </c>
      <c r="B2734" t="n">
        <v>1.045528455284553</v>
      </c>
      <c r="F2734" t="n">
        <v>1.004901960784314</v>
      </c>
      <c r="H2734" t="n">
        <v>1.805891980360065</v>
      </c>
    </row>
    <row r="2735">
      <c r="A2735" t="inlineStr">
        <is>
          <t>G|FICO x ASSET_CLASS / SYS_FLAG|where N|outcome_loans|rate|4</t>
        </is>
      </c>
      <c r="B2735" t="n">
        <v>0.02577319587628866</v>
      </c>
      <c r="D2735" t="n">
        <v>0.03643724696356275</v>
      </c>
      <c r="F2735" t="n">
        <v>0.03587443946188341</v>
      </c>
      <c r="H2735" t="n">
        <v>0.05909090909090909</v>
      </c>
      <c r="J2735" t="n">
        <v>0.03959276018099547</v>
      </c>
    </row>
    <row r="2736">
      <c r="A2736" t="inlineStr">
        <is>
          <t>G|FICO x ASSET_CLASS / SYS_FLAG|where N|outcome_loans|book|4</t>
        </is>
      </c>
      <c r="H2736" t="n">
        <v>0.763599647525334</v>
      </c>
      <c r="J2736" t="n">
        <v>0.5116356844713776</v>
      </c>
    </row>
    <row r="2737">
      <c r="A2737" t="inlineStr">
        <is>
          <t>G|FICO x ASSET_CLASS / SYS_FLAG|where N|outcome_loans|band|4</t>
        </is>
      </c>
      <c r="H2737" t="n">
        <v>1.783471074380165</v>
      </c>
    </row>
    <row r="2738">
      <c r="A2738" t="inlineStr">
        <is>
          <t>G|FICO x ASSET_CLASS / SYS_FLAG|where N|outcome_loans|rate|5</t>
        </is>
      </c>
      <c r="B2738" t="n">
        <v>0.01731601731601732</v>
      </c>
      <c r="D2738" t="n">
        <v>0.0319634703196347</v>
      </c>
      <c r="F2738" t="n">
        <v>0.03317535545023697</v>
      </c>
      <c r="H2738" t="n">
        <v>0.03349282296650718</v>
      </c>
      <c r="J2738" t="n">
        <v>0.02873563218390805</v>
      </c>
    </row>
    <row r="2739">
      <c r="A2739" t="inlineStr">
        <is>
          <t>G|FICO x ASSET_CLASS / SYS_FLAG|where N|outcome_loans|book|5</t>
        </is>
      </c>
      <c r="J2739" t="n">
        <v>0.371334930273151</v>
      </c>
    </row>
    <row r="2740">
      <c r="A2740" t="inlineStr">
        <is>
          <t>G|FICO x ASSET_CLASS / SYS_FLAG|where N|outcome_loans|band|5</t>
        </is>
      </c>
    </row>
    <row r="2741">
      <c r="A2741" t="inlineStr">
        <is>
          <t>G|FICO x ASSET_CLASS / SYS_FLAG|where N|outcome_loans|rate|6</t>
        </is>
      </c>
    </row>
    <row r="2742">
      <c r="A2742" t="inlineStr">
        <is>
          <t>G|FICO x ASSET_CLASS / SYS_FLAG|where N|outcome_loans|book|6</t>
        </is>
      </c>
    </row>
    <row r="2743">
      <c r="A2743" t="inlineStr">
        <is>
          <t>G|FICO x ASSET_CLASS / SYS_FLAG|where N|outcome_loans|band|6</t>
        </is>
      </c>
    </row>
    <row r="2744">
      <c r="A2744" t="inlineStr">
        <is>
          <t>G|FICO x ASSET_CLASS / SYS_FLAG|where N|outcome_loans|rate|7</t>
        </is>
      </c>
      <c r="B2744" t="n">
        <v>0</v>
      </c>
      <c r="D2744" t="n">
        <v>0.05555555555555555</v>
      </c>
      <c r="F2744" t="n">
        <v>0</v>
      </c>
      <c r="H2744" t="n">
        <v>0.04545454545454546</v>
      </c>
      <c r="J2744" t="n">
        <v>0.02272727272727273</v>
      </c>
    </row>
    <row r="2745">
      <c r="A2745" t="inlineStr">
        <is>
          <t>G|FICO x ASSET_CLASS / SYS_FLAG|where N|outcome_loans|book|7</t>
        </is>
      </c>
    </row>
    <row r="2746">
      <c r="A2746" t="inlineStr">
        <is>
          <t>G|FICO x ASSET_CLASS / SYS_FLAG|where N|outcome_loans|band|7</t>
        </is>
      </c>
    </row>
    <row r="2747">
      <c r="A2747" t="inlineStr">
        <is>
          <t>G|FICO x ASSET_CLASS / SYS_FLAG|where N|outcome_loans|rate|8</t>
        </is>
      </c>
      <c r="B2747" t="n">
        <v>0.04450499545867393</v>
      </c>
      <c r="D2747" t="n">
        <v>0.04257246376811594</v>
      </c>
      <c r="F2747" t="n">
        <v>0.05911330049261083</v>
      </c>
      <c r="H2747" t="n">
        <v>0.08393501805054152</v>
      </c>
      <c r="J2747" t="n">
        <v>0.05753234750462107</v>
      </c>
    </row>
    <row r="2748">
      <c r="A2748" t="inlineStr">
        <is>
          <t>G|FICO x ASSET_CLASS / SYS_FLAG|where N|outcome_loans|book|8</t>
        </is>
      </c>
      <c r="B2748" t="n">
        <v>0.5751138266137847</v>
      </c>
      <c r="D2748" t="n">
        <v>0.5501407716981573</v>
      </c>
      <c r="F2748" t="n">
        <v>0.7638889994190534</v>
      </c>
      <c r="H2748" t="n">
        <v>1.084646541819518</v>
      </c>
      <c r="J2748" t="n">
        <v>0.7434592046679547</v>
      </c>
    </row>
    <row r="2749">
      <c r="A2749" t="inlineStr">
        <is>
          <t>G|FICO x ASSET_CLASS / SYS_FLAG|where N|outcome_loans|band|8</t>
        </is>
      </c>
    </row>
    <row r="2750">
      <c r="A2750" t="inlineStr">
        <is>
          <t>G|FICO x ASSET_CLASS / SYS_FLAG|where N|outcome_loans|meta</t>
        </is>
      </c>
      <c r="B2750" t="inlineStr">
        <is>
          <t>x</t>
        </is>
      </c>
      <c r="C2750" t="n">
        <v>2.164352165020651</v>
      </c>
      <c r="D2750" t="n">
        <v>10</v>
      </c>
      <c r="E2750" t="n">
        <v>0.07738467308413552</v>
      </c>
      <c r="F2750" t="n">
        <v>65</v>
      </c>
    </row>
    <row r="2751">
      <c r="A2751" t="inlineStr">
        <is>
          <t>G|FICO x ASSET_CLASS / SYS_FLAG|where N|outcome_booked|rate|1</t>
        </is>
      </c>
      <c r="B2751" t="n">
        <v>0.06731270350366768</v>
      </c>
      <c r="D2751" t="n">
        <v>0.09965571874015894</v>
      </c>
      <c r="F2751" t="n">
        <v>0.1076076241390775</v>
      </c>
      <c r="H2751" t="n">
        <v>0.1606492890403957</v>
      </c>
      <c r="J2751" t="n">
        <v>0.1076058652304739</v>
      </c>
    </row>
    <row r="2752">
      <c r="A2752" t="inlineStr">
        <is>
          <t>G|FICO x ASSET_CLASS / SYS_FLAG|where N|outcome_booked|book|1</t>
        </is>
      </c>
      <c r="B2752" t="n">
        <v>0.8995552757499633</v>
      </c>
      <c r="D2752" t="n">
        <v>1.331781712592778</v>
      </c>
      <c r="F2752" t="n">
        <v>1.438049594902275</v>
      </c>
      <c r="H2752" t="n">
        <v>2.146889190001031</v>
      </c>
      <c r="J2752" t="n">
        <v>1.438026089153262</v>
      </c>
    </row>
    <row r="2753">
      <c r="A2753" t="inlineStr">
        <is>
          <t>G|FICO x ASSET_CLASS / SYS_FLAG|where N|outcome_booked|band|1</t>
        </is>
      </c>
      <c r="B2753" t="n">
        <v>0.5502354531930349</v>
      </c>
      <c r="D2753" t="n">
        <v>0.9031142699954084</v>
      </c>
      <c r="F2753" t="n">
        <v>1.000021344471291</v>
      </c>
      <c r="H2753" t="n">
        <v>1.771343193506922</v>
      </c>
    </row>
    <row r="2754">
      <c r="A2754" t="inlineStr">
        <is>
          <t>G|FICO x ASSET_CLASS / SYS_FLAG|where N|outcome_booked|rate|2</t>
        </is>
      </c>
      <c r="B2754" t="n">
        <v>0.03975552659712497</v>
      </c>
      <c r="D2754" t="n">
        <v>0.01609372017029523</v>
      </c>
      <c r="F2754" t="n">
        <v>0.06340853337381124</v>
      </c>
      <c r="H2754" t="n">
        <v>0.08449908386199335</v>
      </c>
      <c r="J2754" t="n">
        <v>0.0522224569520557</v>
      </c>
    </row>
    <row r="2755">
      <c r="A2755" t="inlineStr">
        <is>
          <t>G|FICO x ASSET_CLASS / SYS_FLAG|where N|outcome_booked|book|2</t>
        </is>
      </c>
      <c r="B2755" t="n">
        <v>0.5312859509306912</v>
      </c>
      <c r="F2755" t="n">
        <v>0.8473806243849884</v>
      </c>
      <c r="H2755" t="n">
        <v>1.129231077161431</v>
      </c>
      <c r="J2755" t="n">
        <v>0.6978918423813926</v>
      </c>
    </row>
    <row r="2756">
      <c r="A2756" t="inlineStr">
        <is>
          <t>G|FICO x ASSET_CLASS / SYS_FLAG|where N|outcome_booked|band|2</t>
        </is>
      </c>
      <c r="B2756" t="n">
        <v>0.7020487321514124</v>
      </c>
      <c r="F2756" t="n">
        <v>1.296083624486715</v>
      </c>
      <c r="H2756" t="n">
        <v>2.131021963155055</v>
      </c>
    </row>
    <row r="2757">
      <c r="A2757" t="inlineStr">
        <is>
          <t>G|FICO x ASSET_CLASS / SYS_FLAG|where N|outcome_booked|rate|3</t>
        </is>
      </c>
      <c r="B2757" t="n">
        <v>0.05291828954732022</v>
      </c>
      <c r="D2757" t="n">
        <v>0.01679645936086537</v>
      </c>
      <c r="F2757" t="n">
        <v>0.04412543201702147</v>
      </c>
      <c r="H2757" t="n">
        <v>0.05674800445777357</v>
      </c>
      <c r="J2757" t="n">
        <v>0.04253798364971029</v>
      </c>
    </row>
    <row r="2758">
      <c r="A2758" t="inlineStr">
        <is>
          <t>G|FICO x ASSET_CLASS / SYS_FLAG|where N|outcome_booked|book|3</t>
        </is>
      </c>
      <c r="B2758" t="n">
        <v>0.7071908283012625</v>
      </c>
      <c r="F2758" t="n">
        <v>0.5896846078020805</v>
      </c>
      <c r="H2758" t="n">
        <v>0.7583704730488382</v>
      </c>
      <c r="J2758" t="n">
        <v>0.5684702236001797</v>
      </c>
    </row>
    <row r="2759">
      <c r="A2759" t="inlineStr">
        <is>
          <t>G|FICO x ASSET_CLASS / SYS_FLAG|where N|outcome_booked|band|3</t>
        </is>
      </c>
      <c r="B2759" t="n">
        <v>1.341639579533144</v>
      </c>
      <c r="F2759" t="n">
        <v>1.049219008834783</v>
      </c>
      <c r="H2759" t="n">
        <v>1.530089251764439</v>
      </c>
    </row>
    <row r="2760">
      <c r="A2760" t="inlineStr">
        <is>
          <t>G|FICO x ASSET_CLASS / SYS_FLAG|where N|outcome_booked|rate|4</t>
        </is>
      </c>
      <c r="B2760" t="n">
        <v>0.02812452179275291</v>
      </c>
      <c r="D2760" t="n">
        <v>0.03646453087507255</v>
      </c>
      <c r="F2760" t="n">
        <v>0.03587580536540905</v>
      </c>
      <c r="H2760" t="n">
        <v>0.05537391519389611</v>
      </c>
      <c r="J2760" t="n">
        <v>0.03906092651164252</v>
      </c>
    </row>
    <row r="2761">
      <c r="A2761" t="inlineStr">
        <is>
          <t>G|FICO x ASSET_CLASS / SYS_FLAG|where N|outcome_booked|book|4</t>
        </is>
      </c>
      <c r="H2761" t="n">
        <v>0.7400073828394991</v>
      </c>
      <c r="J2761" t="n">
        <v>0.5220034360574316</v>
      </c>
    </row>
    <row r="2762">
      <c r="A2762" t="inlineStr">
        <is>
          <t>G|FICO x ASSET_CLASS / SYS_FLAG|where N|outcome_booked|band|4</t>
        </is>
      </c>
      <c r="H2762" t="n">
        <v>1.637875109736126</v>
      </c>
    </row>
    <row r="2763">
      <c r="A2763" t="inlineStr">
        <is>
          <t>G|FICO x ASSET_CLASS / SYS_FLAG|where N|outcome_booked|rate|5</t>
        </is>
      </c>
      <c r="B2763" t="n">
        <v>0.0180056846538079</v>
      </c>
      <c r="D2763" t="n">
        <v>0.03513639363437163</v>
      </c>
      <c r="F2763" t="n">
        <v>0.02515837883580646</v>
      </c>
      <c r="H2763" t="n">
        <v>0.02865350748914057</v>
      </c>
      <c r="J2763" t="n">
        <v>0.02658532782159513</v>
      </c>
    </row>
    <row r="2764">
      <c r="A2764" t="inlineStr">
        <is>
          <t>G|FICO x ASSET_CLASS / SYS_FLAG|where N|outcome_booked|book|5</t>
        </is>
      </c>
      <c r="J2764" t="n">
        <v>0.3552817024821343</v>
      </c>
    </row>
    <row r="2765">
      <c r="A2765" t="inlineStr">
        <is>
          <t>G|FICO x ASSET_CLASS / SYS_FLAG|where N|outcome_booked|band|5</t>
        </is>
      </c>
    </row>
    <row r="2766">
      <c r="A2766" t="inlineStr">
        <is>
          <t>G|FICO x ASSET_CLASS / SYS_FLAG|where N|outcome_booked|rate|6</t>
        </is>
      </c>
    </row>
    <row r="2767">
      <c r="A2767" t="inlineStr">
        <is>
          <t>G|FICO x ASSET_CLASS / SYS_FLAG|where N|outcome_booked|book|6</t>
        </is>
      </c>
    </row>
    <row r="2768">
      <c r="A2768" t="inlineStr">
        <is>
          <t>G|FICO x ASSET_CLASS / SYS_FLAG|where N|outcome_booked|band|6</t>
        </is>
      </c>
    </row>
    <row r="2769">
      <c r="A2769" t="inlineStr">
        <is>
          <t>G|FICO x ASSET_CLASS / SYS_FLAG|where N|outcome_booked|rate|7</t>
        </is>
      </c>
      <c r="B2769" t="n">
        <v>0</v>
      </c>
      <c r="D2769" t="n">
        <v>0.03375793858353057</v>
      </c>
      <c r="F2769" t="n">
        <v>0</v>
      </c>
      <c r="H2769" t="n">
        <v>0.04203560699937842</v>
      </c>
      <c r="J2769" t="n">
        <v>0.01627439978445307</v>
      </c>
    </row>
    <row r="2770">
      <c r="A2770" t="inlineStr">
        <is>
          <t>G|FICO x ASSET_CLASS / SYS_FLAG|where N|outcome_booked|book|7</t>
        </is>
      </c>
    </row>
    <row r="2771">
      <c r="A2771" t="inlineStr">
        <is>
          <t>G|FICO x ASSET_CLASS / SYS_FLAG|where N|outcome_booked|band|7</t>
        </is>
      </c>
    </row>
    <row r="2772">
      <c r="A2772" t="inlineStr">
        <is>
          <t>G|FICO x ASSET_CLASS / SYS_FLAG|where N|outcome_booked|rate|8</t>
        </is>
      </c>
      <c r="B2772" t="n">
        <v>0.04006131886401177</v>
      </c>
      <c r="D2772" t="n">
        <v>0.0411699749517607</v>
      </c>
      <c r="F2772" t="n">
        <v>0.05299436180913607</v>
      </c>
      <c r="H2772" t="n">
        <v>0.07585305848656562</v>
      </c>
      <c r="J2772" t="n">
        <v>0.05260097895035092</v>
      </c>
    </row>
    <row r="2773">
      <c r="A2773" t="inlineStr">
        <is>
          <t>G|FICO x ASSET_CLASS / SYS_FLAG|where N|outcome_booked|book|8</t>
        </is>
      </c>
      <c r="B2773" t="n">
        <v>0.5353725056617246</v>
      </c>
      <c r="D2773" t="n">
        <v>0.5501883930175567</v>
      </c>
      <c r="F2773" t="n">
        <v>0.7082074447925457</v>
      </c>
      <c r="H2773" t="n">
        <v>1.013687096071587</v>
      </c>
      <c r="J2773" t="n">
        <v>0.7029503446080239</v>
      </c>
    </row>
    <row r="2774">
      <c r="A2774" t="inlineStr">
        <is>
          <t>G|FICO x ASSET_CLASS / SYS_FLAG|where N|outcome_booked|band|8</t>
        </is>
      </c>
    </row>
    <row r="2775">
      <c r="A2775" t="inlineStr">
        <is>
          <t>G|FICO x ASSET_CLASS / SYS_FLAG|where N|outcome_booked|meta</t>
        </is>
      </c>
      <c r="B2775" t="inlineStr">
        <is>
          <t>x</t>
        </is>
      </c>
      <c r="C2775" t="n">
        <v>2.146889190001031</v>
      </c>
      <c r="D2775" t="n">
        <v>10</v>
      </c>
      <c r="E2775" t="n">
        <v>0.07482886857347235</v>
      </c>
      <c r="F2775" t="n">
        <v>65</v>
      </c>
    </row>
    <row r="2776">
      <c r="A2776" t="inlineStr">
        <is>
          <t>G|FICO x ASSET_CLASS / SYS_FLAG|where N|gco_rate|rate|1</t>
        </is>
      </c>
      <c r="B2776" t="n">
        <v>0.04172092238366356</v>
      </c>
      <c r="D2776" t="n">
        <v>0.05780123061655459</v>
      </c>
      <c r="F2776" t="n">
        <v>0.06103988115542043</v>
      </c>
      <c r="H2776" t="n">
        <v>0.09808637019815246</v>
      </c>
      <c r="J2776" t="n">
        <v>0.06398599687243825</v>
      </c>
    </row>
    <row r="2777">
      <c r="A2777" t="inlineStr">
        <is>
          <t>G|FICO x ASSET_CLASS / SYS_FLAG|where N|gco_rate|book|1</t>
        </is>
      </c>
      <c r="B2777" t="n">
        <v>1.002779865706931</v>
      </c>
      <c r="D2777" t="n">
        <v>1.389276817572466</v>
      </c>
      <c r="F2777" t="n">
        <v>1.467119141444654</v>
      </c>
      <c r="H2777" t="n">
        <v>2.357547041517413</v>
      </c>
      <c r="J2777" t="n">
        <v>1.537930268195414</v>
      </c>
    </row>
    <row r="2778">
      <c r="A2778" t="inlineStr">
        <is>
          <t>G|FICO x ASSET_CLASS / SYS_FLAG|where N|gco_rate|band|1</t>
        </is>
      </c>
      <c r="B2778" t="n">
        <v>0.5785778415329729</v>
      </c>
      <c r="D2778" t="n">
        <v>0.8740594369816773</v>
      </c>
      <c r="F2778" t="n">
        <v>0.9407350670403729</v>
      </c>
      <c r="H2778" t="n">
        <v>1.846052866939139</v>
      </c>
    </row>
    <row r="2779">
      <c r="A2779" t="inlineStr">
        <is>
          <t>G|FICO x ASSET_CLASS / SYS_FLAG|where N|gco_rate|rate|2</t>
        </is>
      </c>
      <c r="B2779" t="n">
        <v>0.01858443362146788</v>
      </c>
      <c r="D2779" t="n">
        <v>0.01200616783057025</v>
      </c>
      <c r="F2779" t="n">
        <v>0.04059340477049262</v>
      </c>
      <c r="H2779" t="n">
        <v>0.04374525063785453</v>
      </c>
      <c r="J2779" t="n">
        <v>0.02913136709315743</v>
      </c>
    </row>
    <row r="2780">
      <c r="A2780" t="inlineStr">
        <is>
          <t>G|FICO x ASSET_CLASS / SYS_FLAG|where N|gco_rate|book|2</t>
        </is>
      </c>
      <c r="B2780" t="n">
        <v>0.446684655717779</v>
      </c>
      <c r="F2780" t="n">
        <v>0.9756795070350799</v>
      </c>
      <c r="H2780" t="n">
        <v>1.051435444224994</v>
      </c>
      <c r="J2780" t="n">
        <v>0.7001846247046121</v>
      </c>
    </row>
    <row r="2781">
      <c r="A2781" t="inlineStr">
        <is>
          <t>G|FICO x ASSET_CLASS / SYS_FLAG|where N|gco_rate|band|2</t>
        </is>
      </c>
      <c r="B2781" t="n">
        <v>0.5655929756886493</v>
      </c>
      <c r="F2781" t="n">
        <v>1.576400204189676</v>
      </c>
      <c r="H2781" t="n">
        <v>1.866280811872191</v>
      </c>
    </row>
    <row r="2782">
      <c r="A2782" t="inlineStr">
        <is>
          <t>G|FICO x ASSET_CLASS / SYS_FLAG|where N|gco_rate|rate|3</t>
        </is>
      </c>
      <c r="B2782" t="n">
        <v>0.03301687756881314</v>
      </c>
      <c r="D2782" t="n">
        <v>0.008632089207745759</v>
      </c>
      <c r="F2782" t="n">
        <v>0.02473958629011563</v>
      </c>
      <c r="H2782" t="n">
        <v>0.03184498305086605</v>
      </c>
      <c r="J2782" t="n">
        <v>0.02442211605269864</v>
      </c>
    </row>
    <row r="2783">
      <c r="A2783" t="inlineStr">
        <is>
          <t>G|FICO x ASSET_CLASS / SYS_FLAG|where N|gco_rate|book|3</t>
        </is>
      </c>
      <c r="B2783" t="n">
        <v>0.7935744984267368</v>
      </c>
      <c r="F2783" t="n">
        <v>0.594626331352666</v>
      </c>
      <c r="H2783" t="n">
        <v>0.7654075222385542</v>
      </c>
      <c r="J2783" t="n">
        <v>0.586995801061044</v>
      </c>
    </row>
    <row r="2784">
      <c r="A2784" t="inlineStr">
        <is>
          <t>G|FICO x ASSET_CLASS / SYS_FLAG|where N|gco_rate|band|3</t>
        </is>
      </c>
      <c r="B2784" t="n">
        <v>1.510412613315087</v>
      </c>
      <c r="F2784" t="n">
        <v>1.017017473144833</v>
      </c>
      <c r="H2784" t="n">
        <v>1.475997049270814</v>
      </c>
    </row>
    <row r="2785">
      <c r="A2785" t="inlineStr">
        <is>
          <t>G|FICO x ASSET_CLASS / SYS_FLAG|where N|gco_rate|rate|4</t>
        </is>
      </c>
      <c r="B2785" t="n">
        <v>0.01891320083650138</v>
      </c>
      <c r="D2785" t="n">
        <v>0.02369039802244191</v>
      </c>
      <c r="F2785" t="n">
        <v>0.0183590692608516</v>
      </c>
      <c r="H2785" t="n">
        <v>0.0266686031805337</v>
      </c>
      <c r="J2785" t="n">
        <v>0.02198043227016771</v>
      </c>
    </row>
    <row r="2786">
      <c r="A2786" t="inlineStr">
        <is>
          <t>G|FICO x ASSET_CLASS / SYS_FLAG|where N|gco_rate|book|4</t>
        </is>
      </c>
      <c r="H2786" t="n">
        <v>0.6409910612723781</v>
      </c>
      <c r="J2786" t="n">
        <v>0.5283089073958191</v>
      </c>
    </row>
    <row r="2787">
      <c r="A2787" t="inlineStr">
        <is>
          <t>G|FICO x ASSET_CLASS / SYS_FLAG|where N|gco_rate|band|4</t>
        </is>
      </c>
      <c r="H2787" t="n">
        <v>1.302938941280453</v>
      </c>
    </row>
    <row r="2788">
      <c r="A2788" t="inlineStr">
        <is>
          <t>G|FICO x ASSET_CLASS / SYS_FLAG|where N|gco_rate|rate|5</t>
        </is>
      </c>
      <c r="B2788" t="n">
        <v>0.01278577594342931</v>
      </c>
      <c r="D2788" t="n">
        <v>0.01897362857848018</v>
      </c>
      <c r="F2788" t="n">
        <v>0.01086228244047657</v>
      </c>
      <c r="H2788" t="n">
        <v>0.01617086436154371</v>
      </c>
      <c r="J2788" t="n">
        <v>0.01464447203535512</v>
      </c>
    </row>
    <row r="2789">
      <c r="A2789" t="inlineStr">
        <is>
          <t>G|FICO x ASSET_CLASS / SYS_FLAG|where N|gco_rate|book|5</t>
        </is>
      </c>
      <c r="J2789" t="n">
        <v>0.3519860267210324</v>
      </c>
    </row>
    <row r="2790">
      <c r="A2790" t="inlineStr">
        <is>
          <t>G|FICO x ASSET_CLASS / SYS_FLAG|where N|gco_rate|band|5</t>
        </is>
      </c>
    </row>
    <row r="2791">
      <c r="A2791" t="inlineStr">
        <is>
          <t>G|FICO x ASSET_CLASS / SYS_FLAG|where N|gco_rate|rate|6</t>
        </is>
      </c>
    </row>
    <row r="2792">
      <c r="A2792" t="inlineStr">
        <is>
          <t>G|FICO x ASSET_CLASS / SYS_FLAG|where N|gco_rate|book|6</t>
        </is>
      </c>
    </row>
    <row r="2793">
      <c r="A2793" t="inlineStr">
        <is>
          <t>G|FICO x ASSET_CLASS / SYS_FLAG|where N|gco_rate|band|6</t>
        </is>
      </c>
    </row>
    <row r="2794">
      <c r="A2794" t="inlineStr">
        <is>
          <t>G|FICO x ASSET_CLASS / SYS_FLAG|where N|gco_rate|rate|7</t>
        </is>
      </c>
      <c r="B2794" t="n">
        <v>0</v>
      </c>
      <c r="D2794" t="n">
        <v>0.0257165877421385</v>
      </c>
      <c r="F2794" t="n">
        <v>0</v>
      </c>
      <c r="H2794" t="n">
        <v>0.01529329218068329</v>
      </c>
      <c r="J2794" t="n">
        <v>0.008334107450284619</v>
      </c>
    </row>
    <row r="2795">
      <c r="A2795" t="inlineStr">
        <is>
          <t>G|FICO x ASSET_CLASS / SYS_FLAG|where N|gco_rate|book|7</t>
        </is>
      </c>
    </row>
    <row r="2796">
      <c r="A2796" t="inlineStr">
        <is>
          <t>G|FICO x ASSET_CLASS / SYS_FLAG|where N|gco_rate|band|7</t>
        </is>
      </c>
    </row>
    <row r="2797">
      <c r="A2797" t="inlineStr">
        <is>
          <t>G|FICO x ASSET_CLASS / SYS_FLAG|where N|gco_rate|rate|8</t>
        </is>
      </c>
      <c r="B2797" t="n">
        <v>0.02428726127203878</v>
      </c>
      <c r="D2797" t="n">
        <v>0.02451582735282237</v>
      </c>
      <c r="F2797" t="n">
        <v>0.02969455401340456</v>
      </c>
      <c r="H2797" t="n">
        <v>0.04228479189813641</v>
      </c>
      <c r="J2797" t="n">
        <v>0.03024578450313005</v>
      </c>
    </row>
    <row r="2798">
      <c r="A2798" t="inlineStr">
        <is>
          <t>G|FICO x ASSET_CLASS / SYS_FLAG|where N|gco_rate|book|8</t>
        </is>
      </c>
      <c r="B2798" t="n">
        <v>0.5837545098547647</v>
      </c>
      <c r="D2798" t="n">
        <v>0.5892481914585798</v>
      </c>
      <c r="F2798" t="n">
        <v>0.7137210585125677</v>
      </c>
      <c r="H2798" t="n">
        <v>1.016332705953357</v>
      </c>
      <c r="J2798" t="n">
        <v>0.7269701144988501</v>
      </c>
    </row>
    <row r="2799">
      <c r="A2799" t="inlineStr">
        <is>
          <t>G|FICO x ASSET_CLASS / SYS_FLAG|where N|gco_rate|band|8</t>
        </is>
      </c>
    </row>
    <row r="2800">
      <c r="A2800" t="inlineStr">
        <is>
          <t>G|FICO x ASSET_CLASS / SYS_FLAG|where N|gco_rate|meta</t>
        </is>
      </c>
      <c r="B2800" t="inlineStr">
        <is>
          <t>x</t>
        </is>
      </c>
      <c r="C2800" t="n">
        <v>2.357547041517413</v>
      </c>
      <c r="D2800" t="n">
        <v>10</v>
      </c>
      <c r="E2800" t="n">
        <v>0.04160526533333565</v>
      </c>
      <c r="F2800" t="n">
        <v>65</v>
      </c>
    </row>
    <row r="2801">
      <c r="A2801" t="inlineStr">
        <is>
          <t>G|FICO x ASSET_CLASS / SYS_FLAG|where N|ranr_rate|rate|1</t>
        </is>
      </c>
      <c r="B2801" t="n">
        <v>0.2398803715901472</v>
      </c>
      <c r="D2801" t="n">
        <v>0.2147832988507138</v>
      </c>
      <c r="F2801" t="n">
        <v>0.2047372623939214</v>
      </c>
      <c r="H2801" t="n">
        <v>0.1800685302531461</v>
      </c>
      <c r="J2801" t="n">
        <v>0.2107617244538728</v>
      </c>
    </row>
    <row r="2802">
      <c r="A2802" t="inlineStr">
        <is>
          <t>G|FICO x ASSET_CLASS / SYS_FLAG|where N|ranr_rate|book|1</t>
        </is>
      </c>
      <c r="B2802" t="n">
        <v>11.189032194</v>
      </c>
      <c r="D2802" t="n">
        <v>8.679324920000001</v>
      </c>
      <c r="F2802" t="n">
        <v>7.674721275</v>
      </c>
      <c r="H2802" t="n">
        <v>5.20784806</v>
      </c>
      <c r="J2802" t="n">
        <v>8.277167480999999</v>
      </c>
    </row>
    <row r="2803">
      <c r="A2803" t="inlineStr">
        <is>
          <t>G|FICO x ASSET_CLASS / SYS_FLAG|where N|ranr_rate|band|1</t>
        </is>
      </c>
      <c r="B2803" t="n">
        <v>3.97426217</v>
      </c>
      <c r="D2803" t="n">
        <v>0.541545019</v>
      </c>
      <c r="F2803" t="n">
        <v>-0.786344071</v>
      </c>
      <c r="H2803" t="n">
        <v>-4.046177998</v>
      </c>
    </row>
    <row r="2804">
      <c r="A2804" t="inlineStr">
        <is>
          <t>G|FICO x ASSET_CLASS / SYS_FLAG|where N|ranr_rate|rate|2</t>
        </is>
      </c>
      <c r="B2804" t="n">
        <v>0.1829562284896517</v>
      </c>
      <c r="D2804" t="n">
        <v>0.2018347740781281</v>
      </c>
      <c r="F2804" t="n">
        <v>0.1813363173258022</v>
      </c>
      <c r="H2804" t="n">
        <v>0.1621883576261506</v>
      </c>
      <c r="J2804" t="n">
        <v>0.1811238843240996</v>
      </c>
    </row>
    <row r="2805">
      <c r="A2805" t="inlineStr">
        <is>
          <t>G|FICO x ASSET_CLASS / SYS_FLAG|where N|ranr_rate|book|2</t>
        </is>
      </c>
      <c r="B2805" t="n">
        <v>5.496617884</v>
      </c>
      <c r="D2805" t="n">
        <v>7.384472443</v>
      </c>
      <c r="F2805" t="n">
        <v>5.334626768</v>
      </c>
      <c r="H2805" t="n">
        <v>3.419830798</v>
      </c>
      <c r="J2805" t="n">
        <v>5.313383468</v>
      </c>
    </row>
    <row r="2806">
      <c r="A2806" t="inlineStr">
        <is>
          <t>G|FICO x ASSET_CLASS / SYS_FLAG|where N|ranr_rate|band|2</t>
        </is>
      </c>
      <c r="B2806" t="n">
        <v>0.247983626</v>
      </c>
      <c r="D2806" t="n">
        <v>2.692640275</v>
      </c>
      <c r="F2806" t="n">
        <v>0.027508903</v>
      </c>
      <c r="H2806" t="n">
        <v>-2.631021279</v>
      </c>
    </row>
    <row r="2807">
      <c r="A2807" t="inlineStr">
        <is>
          <t>G|FICO x ASSET_CLASS / SYS_FLAG|where N|ranr_rate|rate|3</t>
        </is>
      </c>
      <c r="B2807" t="n">
        <v>0.1414557799347373</v>
      </c>
      <c r="D2807" t="n">
        <v>0.1738554191758612</v>
      </c>
      <c r="F2807" t="n">
        <v>0.1439600433422341</v>
      </c>
      <c r="H2807" t="n">
        <v>0.1553115142321899</v>
      </c>
      <c r="J2807" t="n">
        <v>0.1543050177520466</v>
      </c>
    </row>
    <row r="2808">
      <c r="A2808" t="inlineStr">
        <is>
          <t>G|FICO x ASSET_CLASS / SYS_FLAG|where N|ranr_rate|book|3</t>
        </is>
      </c>
      <c r="B2808" t="n">
        <v>1.346573029</v>
      </c>
      <c r="D2808" t="n">
        <v>4.586536953</v>
      </c>
      <c r="F2808" t="n">
        <v>1.596999369</v>
      </c>
      <c r="H2808" t="n">
        <v>2.732146458</v>
      </c>
      <c r="J2808" t="n">
        <v>2.63149681</v>
      </c>
    </row>
    <row r="2809">
      <c r="A2809" t="inlineStr">
        <is>
          <t>G|FICO x ASSET_CLASS / SYS_FLAG|where N|ranr_rate|band|3</t>
        </is>
      </c>
      <c r="B2809" t="n">
        <v>-1.668035658</v>
      </c>
      <c r="D2809" t="n">
        <v>2.642018525</v>
      </c>
      <c r="F2809" t="n">
        <v>-1.348917833</v>
      </c>
      <c r="H2809" t="n">
        <v>0.139251658</v>
      </c>
    </row>
    <row r="2810">
      <c r="A2810" t="inlineStr">
        <is>
          <t>G|FICO x ASSET_CLASS / SYS_FLAG|where N|ranr_rate|rate|4</t>
        </is>
      </c>
      <c r="B2810" t="n">
        <v>0.1104726008896342</v>
      </c>
      <c r="D2810" t="n">
        <v>0.09136626046066156</v>
      </c>
      <c r="F2810" t="n">
        <v>0.108816162592166</v>
      </c>
      <c r="H2810" t="n">
        <v>0.1003003395619969</v>
      </c>
      <c r="J2810" t="n">
        <v>0.1023005624670756</v>
      </c>
    </row>
    <row r="2811">
      <c r="A2811" t="inlineStr">
        <is>
          <t>G|FICO x ASSET_CLASS / SYS_FLAG|where N|ranr_rate|book|4</t>
        </is>
      </c>
      <c r="B2811" t="n">
        <v>-1.751744876</v>
      </c>
      <c r="D2811" t="n">
        <v>-3.662378919</v>
      </c>
      <c r="F2811" t="n">
        <v>-1.917388706</v>
      </c>
      <c r="H2811" t="n">
        <v>-2.768971009</v>
      </c>
      <c r="J2811" t="n">
        <v>-2.568948718</v>
      </c>
    </row>
    <row r="2812">
      <c r="A2812" t="inlineStr">
        <is>
          <t>G|FICO x ASSET_CLASS / SYS_FLAG|where N|ranr_rate|band|4</t>
        </is>
      </c>
      <c r="B2812" t="n">
        <v>1.051328667</v>
      </c>
      <c r="D2812" t="n">
        <v>-1.50956692</v>
      </c>
      <c r="F2812" t="n">
        <v>0.878205117</v>
      </c>
      <c r="H2812" t="n">
        <v>-0.264426493</v>
      </c>
    </row>
    <row r="2813">
      <c r="A2813" t="inlineStr">
        <is>
          <t>G|FICO x ASSET_CLASS / SYS_FLAG|where N|ranr_rate|rate|5</t>
        </is>
      </c>
      <c r="B2813" t="n">
        <v>0.05573622973509877</v>
      </c>
      <c r="D2813" t="n">
        <v>0.0470699412975488</v>
      </c>
      <c r="F2813" t="n">
        <v>0.05698362956335362</v>
      </c>
      <c r="H2813" t="n">
        <v>0.04922636849033546</v>
      </c>
      <c r="J2813" t="n">
        <v>0.05234997022076705</v>
      </c>
    </row>
    <row r="2814">
      <c r="A2814" t="inlineStr">
        <is>
          <t>G|FICO x ASSET_CLASS / SYS_FLAG|where N|ranr_rate|book|5</t>
        </is>
      </c>
      <c r="B2814" t="n">
        <v>-7.225381991</v>
      </c>
      <c r="D2814" t="n">
        <v>-8.092010835</v>
      </c>
      <c r="F2814" t="n">
        <v>-7.100642008</v>
      </c>
      <c r="H2814" t="n">
        <v>-7.876368116</v>
      </c>
      <c r="J2814" t="n">
        <v>-7.564007943</v>
      </c>
    </row>
    <row r="2815">
      <c r="A2815" t="inlineStr">
        <is>
          <t>G|FICO x ASSET_CLASS / SYS_FLAG|where N|ranr_rate|band|5</t>
        </is>
      </c>
      <c r="B2815" t="n">
        <v>0.459549868</v>
      </c>
      <c r="D2815" t="n">
        <v>-0.702541397</v>
      </c>
      <c r="F2815" t="n">
        <v>0.618570861</v>
      </c>
      <c r="H2815" t="n">
        <v>-0.409661709</v>
      </c>
    </row>
    <row r="2816">
      <c r="A2816" t="inlineStr">
        <is>
          <t>G|FICO x ASSET_CLASS / SYS_FLAG|where N|ranr_rate|rate|6</t>
        </is>
      </c>
    </row>
    <row r="2817">
      <c r="A2817" t="inlineStr">
        <is>
          <t>G|FICO x ASSET_CLASS / SYS_FLAG|where N|ranr_rate|book|6</t>
        </is>
      </c>
    </row>
    <row r="2818">
      <c r="A2818" t="inlineStr">
        <is>
          <t>G|FICO x ASSET_CLASS / SYS_FLAG|where N|ranr_rate|band|6</t>
        </is>
      </c>
    </row>
    <row r="2819">
      <c r="A2819" t="inlineStr">
        <is>
          <t>G|FICO x ASSET_CLASS / SYS_FLAG|where N|ranr_rate|rate|7</t>
        </is>
      </c>
      <c r="B2819" t="n">
        <v>0.1836483093665673</v>
      </c>
      <c r="D2819" t="n">
        <v>0.1417850375433693</v>
      </c>
      <c r="F2819" t="n">
        <v>0.2301756883217136</v>
      </c>
      <c r="H2819" t="n">
        <v>0.157060210451269</v>
      </c>
      <c r="J2819" t="n">
        <v>0.1804053356286098</v>
      </c>
    </row>
    <row r="2820">
      <c r="A2820" t="inlineStr">
        <is>
          <t>G|FICO x ASSET_CLASS / SYS_FLAG|where N|ranr_rate|book|7</t>
        </is>
      </c>
      <c r="B2820" t="n">
        <v>5.565825972</v>
      </c>
      <c r="D2820" t="n">
        <v>1.37949879</v>
      </c>
      <c r="F2820" t="n">
        <v>10.218563867</v>
      </c>
      <c r="H2820" t="n">
        <v>2.90701608</v>
      </c>
      <c r="J2820" t="n">
        <v>5.241528598</v>
      </c>
    </row>
    <row r="2821">
      <c r="A2821" t="inlineStr">
        <is>
          <t>G|FICO x ASSET_CLASS / SYS_FLAG|where N|ranr_rate|band|7</t>
        </is>
      </c>
      <c r="B2821" t="n">
        <v>0.496434235</v>
      </c>
      <c r="D2821" t="n">
        <v>-4.707621972</v>
      </c>
      <c r="F2821" t="n">
        <v>6.469771644</v>
      </c>
      <c r="H2821" t="n">
        <v>-3.083520534</v>
      </c>
    </row>
    <row r="2822">
      <c r="A2822" t="inlineStr">
        <is>
          <t>G|FICO x ASSET_CLASS / SYS_FLAG|where N|ranr_rate|rate|8</t>
        </is>
      </c>
      <c r="B2822" t="n">
        <v>0.147728983035105</v>
      </c>
      <c r="D2822" t="n">
        <v>0.1434312623085464</v>
      </c>
      <c r="F2822" t="n">
        <v>0.1381391917896836</v>
      </c>
      <c r="H2822" t="n">
        <v>0.131065555320466</v>
      </c>
      <c r="J2822" t="n">
        <v>0.1400760724959788</v>
      </c>
    </row>
    <row r="2823">
      <c r="A2823" t="inlineStr">
        <is>
          <t>G|FICO x ASSET_CLASS / SYS_FLAG|where N|ranr_rate|book|8</t>
        </is>
      </c>
      <c r="B2823" t="n">
        <v>1.973893339</v>
      </c>
      <c r="D2823" t="n">
        <v>1.544121266</v>
      </c>
      <c r="F2823" t="n">
        <v>1.014914214</v>
      </c>
      <c r="H2823" t="n">
        <v>0.307550567</v>
      </c>
      <c r="J2823" t="n">
        <v>1.208602285</v>
      </c>
    </row>
    <row r="2824">
      <c r="A2824" t="inlineStr">
        <is>
          <t>G|FICO x ASSET_CLASS / SYS_FLAG|where N|ranr_rate|band|8</t>
        </is>
      </c>
    </row>
    <row r="2825">
      <c r="A2825" t="inlineStr">
        <is>
          <t>G|FICO x ASSET_CLASS / SYS_FLAG|where N|ranr_rate|meta</t>
        </is>
      </c>
      <c r="B2825" t="inlineStr">
        <is>
          <t>pts</t>
        </is>
      </c>
      <c r="C2825" t="n">
        <v>11.189032194</v>
      </c>
      <c r="D2825" t="n">
        <v>10</v>
      </c>
      <c r="E2825" t="n">
        <v>0.1279900496481481</v>
      </c>
      <c r="F2825" t="n">
        <v>65</v>
      </c>
    </row>
    <row r="2826">
      <c r="A2826" t="inlineStr">
        <is>
          <t>G|FICO x ASSET_CLASS / SYS_FLAG|where N|contribution_rate|rate|1</t>
        </is>
      </c>
      <c r="B2826" t="n">
        <v>0.2816012939738109</v>
      </c>
      <c r="D2826" t="n">
        <v>0.2725845294672685</v>
      </c>
      <c r="F2826" t="n">
        <v>0.265777143549342</v>
      </c>
      <c r="H2826" t="n">
        <v>0.2781549004512986</v>
      </c>
      <c r="J2826" t="n">
        <v>0.2747477213263111</v>
      </c>
    </row>
    <row r="2827">
      <c r="A2827" t="inlineStr">
        <is>
          <t>G|FICO x ASSET_CLASS / SYS_FLAG|where N|contribution_rate|book|1</t>
        </is>
      </c>
      <c r="B2827" t="n">
        <v>11.200883824</v>
      </c>
      <c r="D2827" t="n">
        <v>10.299207373</v>
      </c>
      <c r="F2827" t="n">
        <v>9.618468781000001</v>
      </c>
      <c r="H2827" t="n">
        <v>10.856244472</v>
      </c>
      <c r="J2827" t="n">
        <v>10.515526559</v>
      </c>
    </row>
    <row r="2828">
      <c r="A2828" t="inlineStr">
        <is>
          <t>G|FICO x ASSET_CLASS / SYS_FLAG|where N|contribution_rate|band|1</t>
        </is>
      </c>
      <c r="B2828" t="n">
        <v>0.935410714</v>
      </c>
      <c r="D2828" t="n">
        <v>-0.291295314</v>
      </c>
      <c r="F2828" t="n">
        <v>-1.170886392</v>
      </c>
      <c r="H2828" t="n">
        <v>0.44915668</v>
      </c>
    </row>
    <row r="2829">
      <c r="A2829" t="inlineStr">
        <is>
          <t>G|FICO x ASSET_CLASS / SYS_FLAG|where N|contribution_rate|rate|2</t>
        </is>
      </c>
      <c r="B2829" t="n">
        <v>0.2015406621111196</v>
      </c>
      <c r="D2829" t="n">
        <v>0.2138409419086984</v>
      </c>
      <c r="F2829" t="n">
        <v>0.2219297220962947</v>
      </c>
      <c r="H2829" t="n">
        <v>0.2059336082640051</v>
      </c>
      <c r="J2829" t="n">
        <v>0.210255251417257</v>
      </c>
    </row>
    <row r="2830">
      <c r="A2830" t="inlineStr">
        <is>
          <t>G|FICO x ASSET_CLASS / SYS_FLAG|where N|contribution_rate|book|2</t>
        </is>
      </c>
      <c r="B2830" t="n">
        <v>3.194820638</v>
      </c>
      <c r="D2830" t="n">
        <v>4.424848617</v>
      </c>
      <c r="F2830" t="n">
        <v>5.233726636</v>
      </c>
      <c r="H2830" t="n">
        <v>3.634115253</v>
      </c>
      <c r="J2830" t="n">
        <v>4.066279568</v>
      </c>
    </row>
    <row r="2831">
      <c r="A2831" t="inlineStr">
        <is>
          <t>G|FICO x ASSET_CLASS / SYS_FLAG|where N|contribution_rate|band|2</t>
        </is>
      </c>
      <c r="B2831" t="n">
        <v>-1.179404771</v>
      </c>
      <c r="D2831" t="n">
        <v>0.46617865</v>
      </c>
      <c r="F2831" t="n">
        <v>1.511779632</v>
      </c>
      <c r="H2831" t="n">
        <v>-0.600476305</v>
      </c>
    </row>
    <row r="2832">
      <c r="A2832" t="inlineStr">
        <is>
          <t>G|FICO x ASSET_CLASS / SYS_FLAG|where N|contribution_rate|rate|3</t>
        </is>
      </c>
      <c r="B2832" t="n">
        <v>0.1744726575035506</v>
      </c>
      <c r="D2832" t="n">
        <v>0.182487508383607</v>
      </c>
      <c r="F2832" t="n">
        <v>0.1686996296323497</v>
      </c>
      <c r="H2832" t="n">
        <v>0.1871564972830558</v>
      </c>
      <c r="J2832" t="n">
        <v>0.1787271338047453</v>
      </c>
    </row>
    <row r="2833">
      <c r="A2833" t="inlineStr">
        <is>
          <t>G|FICO x ASSET_CLASS / SYS_FLAG|where N|contribution_rate|book|3</t>
        </is>
      </c>
      <c r="B2833" t="n">
        <v>0.488020177</v>
      </c>
      <c r="D2833" t="n">
        <v>1.289505265</v>
      </c>
      <c r="F2833" t="n">
        <v>-0.08928261</v>
      </c>
      <c r="H2833" t="n">
        <v>1.756404155</v>
      </c>
      <c r="J2833" t="n">
        <v>0.913467807</v>
      </c>
    </row>
    <row r="2834">
      <c r="A2834" t="inlineStr">
        <is>
          <t>G|FICO x ASSET_CLASS / SYS_FLAG|where N|contribution_rate|band|3</t>
        </is>
      </c>
      <c r="B2834" t="n">
        <v>-0.552298765</v>
      </c>
      <c r="D2834" t="n">
        <v>0.50817265</v>
      </c>
      <c r="F2834" t="n">
        <v>-1.307521765</v>
      </c>
      <c r="H2834" t="n">
        <v>1.166226473</v>
      </c>
    </row>
    <row r="2835">
      <c r="A2835" t="inlineStr">
        <is>
          <t>G|FICO x ASSET_CLASS / SYS_FLAG|where N|contribution_rate|rate|4</t>
        </is>
      </c>
      <c r="B2835" t="n">
        <v>0.1291512624073555</v>
      </c>
      <c r="D2835" t="n">
        <v>0.1150566584831035</v>
      </c>
      <c r="F2835" t="n">
        <v>0.1271752318530176</v>
      </c>
      <c r="H2835" t="n">
        <v>0.1269689427425306</v>
      </c>
      <c r="J2835" t="n">
        <v>0.1242172651261385</v>
      </c>
    </row>
    <row r="2836">
      <c r="A2836" t="inlineStr">
        <is>
          <t>G|FICO x ASSET_CLASS / SYS_FLAG|where N|contribution_rate|book|4</t>
        </is>
      </c>
      <c r="B2836" t="n">
        <v>-4.044119333</v>
      </c>
      <c r="D2836" t="n">
        <v>-5.453579725</v>
      </c>
      <c r="F2836" t="n">
        <v>-4.241722388</v>
      </c>
      <c r="H2836" t="n">
        <v>-4.262351299</v>
      </c>
      <c r="J2836" t="n">
        <v>-4.537519061</v>
      </c>
    </row>
    <row r="2837">
      <c r="A2837" t="inlineStr">
        <is>
          <t>G|FICO x ASSET_CLASS / SYS_FLAG|where N|contribution_rate|band|4</t>
        </is>
      </c>
      <c r="B2837" t="n">
        <v>0.633844042</v>
      </c>
      <c r="D2837" t="n">
        <v>-1.265387343</v>
      </c>
      <c r="F2837" t="n">
        <v>0.398889223</v>
      </c>
      <c r="H2837" t="n">
        <v>0.36393634</v>
      </c>
    </row>
    <row r="2838">
      <c r="A2838" t="inlineStr">
        <is>
          <t>G|FICO x ASSET_CLASS / SYS_FLAG|where N|contribution_rate|rate|5</t>
        </is>
      </c>
      <c r="B2838" t="n">
        <v>0.06852200567852806</v>
      </c>
      <c r="D2838" t="n">
        <v>0.06604356987602898</v>
      </c>
      <c r="F2838" t="n">
        <v>0.06784591200383021</v>
      </c>
      <c r="H2838" t="n">
        <v>0.06539723285187914</v>
      </c>
      <c r="J2838" t="n">
        <v>0.06699444225612217</v>
      </c>
    </row>
    <row r="2839">
      <c r="A2839" t="inlineStr">
        <is>
          <t>G|FICO x ASSET_CLASS / SYS_FLAG|where N|contribution_rate|book|5</t>
        </is>
      </c>
      <c r="B2839" t="n">
        <v>-10.107045006</v>
      </c>
      <c r="D2839" t="n">
        <v>-10.354888586</v>
      </c>
      <c r="F2839" t="n">
        <v>-10.174654373</v>
      </c>
      <c r="H2839" t="n">
        <v>-10.419522288</v>
      </c>
      <c r="J2839" t="n">
        <v>-10.259801348</v>
      </c>
    </row>
    <row r="2840">
      <c r="A2840" t="inlineStr">
        <is>
          <t>G|FICO x ASSET_CLASS / SYS_FLAG|where N|contribution_rate|band|5</t>
        </is>
      </c>
      <c r="B2840" t="n">
        <v>0.207305898</v>
      </c>
      <c r="D2840" t="n">
        <v>-0.126519612</v>
      </c>
      <c r="F2840" t="n">
        <v>0.113667047</v>
      </c>
      <c r="H2840" t="n">
        <v>-0.209474699</v>
      </c>
    </row>
    <row r="2841">
      <c r="A2841" t="inlineStr">
        <is>
          <t>G|FICO x ASSET_CLASS / SYS_FLAG|where N|contribution_rate|rate|6</t>
        </is>
      </c>
    </row>
    <row r="2842">
      <c r="A2842" t="inlineStr">
        <is>
          <t>G|FICO x ASSET_CLASS / SYS_FLAG|where N|contribution_rate|book|6</t>
        </is>
      </c>
    </row>
    <row r="2843">
      <c r="A2843" t="inlineStr">
        <is>
          <t>G|FICO x ASSET_CLASS / SYS_FLAG|where N|contribution_rate|band|6</t>
        </is>
      </c>
    </row>
    <row r="2844">
      <c r="A2844" t="inlineStr">
        <is>
          <t>G|FICO x ASSET_CLASS / SYS_FLAG|where N|contribution_rate|rate|7</t>
        </is>
      </c>
      <c r="B2844" t="n">
        <v>0.1836483093665673</v>
      </c>
      <c r="D2844" t="n">
        <v>0.1675016252855078</v>
      </c>
      <c r="F2844" t="n">
        <v>0.2301756883217136</v>
      </c>
      <c r="H2844" t="n">
        <v>0.1723535026319523</v>
      </c>
      <c r="J2844" t="n">
        <v>0.1887394430788944</v>
      </c>
    </row>
    <row r="2845">
      <c r="A2845" t="inlineStr">
        <is>
          <t>G|FICO x ASSET_CLASS / SYS_FLAG|where N|contribution_rate|book|7</t>
        </is>
      </c>
      <c r="B2845" t="n">
        <v>1.405585363</v>
      </c>
      <c r="D2845" t="n">
        <v>-0.209083045</v>
      </c>
      <c r="F2845" t="n">
        <v>6.058323259</v>
      </c>
      <c r="H2845" t="n">
        <v>0.27610469</v>
      </c>
      <c r="J2845" t="n">
        <v>1.914698734</v>
      </c>
    </row>
    <row r="2846">
      <c r="A2846" t="inlineStr">
        <is>
          <t>G|FICO x ASSET_CLASS / SYS_FLAG|where N|contribution_rate|band|7</t>
        </is>
      </c>
      <c r="B2846" t="n">
        <v>-0.779350458</v>
      </c>
      <c r="D2846" t="n">
        <v>-2.588784205</v>
      </c>
      <c r="F2846" t="n">
        <v>5.386400336</v>
      </c>
      <c r="H2846" t="n">
        <v>-2.164322678</v>
      </c>
    </row>
    <row r="2847">
      <c r="A2847" t="inlineStr">
        <is>
          <t>G|FICO x ASSET_CLASS / SYS_FLAG|where N|contribution_rate|rate|8</t>
        </is>
      </c>
      <c r="B2847" t="n">
        <v>0.1720175555717959</v>
      </c>
      <c r="D2847" t="n">
        <v>0.1679470896613687</v>
      </c>
      <c r="F2847" t="n">
        <v>0.1678337458030882</v>
      </c>
      <c r="H2847" t="n">
        <v>0.1733503472186024</v>
      </c>
      <c r="J2847" t="n">
        <v>0.1703199959681273</v>
      </c>
    </row>
    <row r="2848">
      <c r="A2848" t="inlineStr">
        <is>
          <t>G|FICO x ASSET_CLASS / SYS_FLAG|where N|contribution_rate|book|8</t>
        </is>
      </c>
      <c r="B2848" t="n">
        <v>0.242509984</v>
      </c>
      <c r="D2848" t="n">
        <v>-0.164536607</v>
      </c>
      <c r="F2848" t="n">
        <v>-0.175870993</v>
      </c>
      <c r="H2848" t="n">
        <v>0.375789148</v>
      </c>
      <c r="J2848" t="n">
        <v>0.072754023</v>
      </c>
    </row>
    <row r="2849">
      <c r="A2849" t="inlineStr">
        <is>
          <t>G|FICO x ASSET_CLASS / SYS_FLAG|where N|contribution_rate|band|8</t>
        </is>
      </c>
    </row>
    <row r="2850">
      <c r="A2850" t="inlineStr">
        <is>
          <t>G|FICO x ASSET_CLASS / SYS_FLAG|where N|contribution_rate|meta</t>
        </is>
      </c>
      <c r="B2850" t="inlineStr">
        <is>
          <t>pts</t>
        </is>
      </c>
      <c r="C2850" t="n">
        <v>11.200883824</v>
      </c>
      <c r="D2850" t="n">
        <v>10</v>
      </c>
      <c r="E2850" t="n">
        <v>0.1695924557349815</v>
      </c>
      <c r="F2850" t="n">
        <v>65</v>
      </c>
    </row>
    <row r="2851">
      <c r="A2851" t="inlineStr">
        <is>
          <t>G|FICO x ASSET_CLASS / SYS_FLAG|where N|loan_size|rate|1</t>
        </is>
      </c>
      <c r="B2851" t="n">
        <v>30901.95833333333</v>
      </c>
      <c r="D2851" t="n">
        <v>32687.46624413145</v>
      </c>
      <c r="F2851" t="n">
        <v>34380.92820652174</v>
      </c>
      <c r="H2851" t="n">
        <v>32170.81201970443</v>
      </c>
      <c r="J2851" t="n">
        <v>32434.35754196643</v>
      </c>
    </row>
    <row r="2852">
      <c r="A2852" t="inlineStr">
        <is>
          <t>G|FICO x ASSET_CLASS / SYS_FLAG|where N|loan_size|median|1</t>
        </is>
      </c>
      <c r="B2852" t="n">
        <v>27798.87</v>
      </c>
      <c r="D2852" t="n">
        <v>33158.86</v>
      </c>
      <c r="F2852" t="n">
        <v>35411.575</v>
      </c>
      <c r="H2852" t="n">
        <v>32197.78</v>
      </c>
      <c r="J2852" t="n">
        <v>31951.38</v>
      </c>
    </row>
    <row r="2853">
      <c r="A2853" t="inlineStr">
        <is>
          <t>G|FICO x ASSET_CLASS / SYS_FLAG|where N|loan_size|book|1</t>
        </is>
      </c>
      <c r="B2853" t="n">
        <v>0.9578263771139169</v>
      </c>
      <c r="D2853" t="n">
        <v>1.013169360722281</v>
      </c>
      <c r="F2853" t="n">
        <v>1.06565932005495</v>
      </c>
      <c r="H2853" t="n">
        <v>0.9971553256677537</v>
      </c>
      <c r="J2853" t="n">
        <v>1.005324091222023</v>
      </c>
    </row>
    <row r="2854">
      <c r="A2854" t="inlineStr">
        <is>
          <t>G|FICO x ASSET_CLASS / SYS_FLAG|where N|loan_size|band|1</t>
        </is>
      </c>
      <c r="B2854" t="n">
        <v>0.9355160045912538</v>
      </c>
      <c r="D2854" t="n">
        <v>1.010508488070517</v>
      </c>
      <c r="F2854" t="n">
        <v>1.078335607710907</v>
      </c>
      <c r="H2854" t="n">
        <v>0.9892884273201973</v>
      </c>
    </row>
    <row r="2855">
      <c r="A2855" t="inlineStr">
        <is>
          <t>G|FICO x ASSET_CLASS / SYS_FLAG|where N|loan_size|rate|2</t>
        </is>
      </c>
      <c r="B2855" t="n">
        <v>32629.76823809524</v>
      </c>
      <c r="D2855" t="n">
        <v>31551.44359375</v>
      </c>
      <c r="F2855" t="n">
        <v>32485.80293478261</v>
      </c>
      <c r="H2855" t="n">
        <v>33588.98538812785</v>
      </c>
      <c r="J2855" t="n">
        <v>32600.62613664596</v>
      </c>
    </row>
    <row r="2856">
      <c r="A2856" t="inlineStr">
        <is>
          <t>G|FICO x ASSET_CLASS / SYS_FLAG|where N|loan_size|median|2</t>
        </is>
      </c>
      <c r="B2856" t="n">
        <v>32559.86</v>
      </c>
      <c r="D2856" t="n">
        <v>31262.88</v>
      </c>
      <c r="F2856" t="n">
        <v>32530.405</v>
      </c>
      <c r="H2856" t="n">
        <v>35171.79</v>
      </c>
      <c r="J2856" t="n">
        <v>33094.18</v>
      </c>
    </row>
    <row r="2857">
      <c r="A2857" t="inlineStr">
        <is>
          <t>G|FICO x ASSET_CLASS / SYS_FLAG|where N|loan_size|book|2</t>
        </is>
      </c>
      <c r="B2857" t="n">
        <v>1.011380973349149</v>
      </c>
      <c r="D2857" t="n">
        <v>0.977957596865862</v>
      </c>
      <c r="F2857" t="n">
        <v>1.006918674765525</v>
      </c>
      <c r="H2857" t="n">
        <v>1.04111253527059</v>
      </c>
      <c r="J2857" t="n">
        <v>1.01047769488532</v>
      </c>
    </row>
    <row r="2858">
      <c r="A2858" t="inlineStr">
        <is>
          <t>G|FICO x ASSET_CLASS / SYS_FLAG|where N|loan_size|band|2</t>
        </is>
      </c>
      <c r="B2858" t="n">
        <v>1.001209792477954</v>
      </c>
      <c r="D2858" t="n">
        <v>0.9581587457020477</v>
      </c>
      <c r="F2858" t="n">
        <v>0.9954390532388291</v>
      </c>
      <c r="H2858" t="n">
        <v>1.042124606927296</v>
      </c>
    </row>
    <row r="2859">
      <c r="A2859" t="inlineStr">
        <is>
          <t>G|FICO x ASSET_CLASS / SYS_FLAG|where N|loan_size|rate|3</t>
        </is>
      </c>
      <c r="B2859" t="n">
        <v>30353.57126829269</v>
      </c>
      <c r="D2859" t="n">
        <v>32613.45680555555</v>
      </c>
      <c r="F2859" t="n">
        <v>32890.2634375</v>
      </c>
      <c r="H2859" t="n">
        <v>31958.40187234043</v>
      </c>
      <c r="J2859" t="n">
        <v>31948.28278301887</v>
      </c>
    </row>
    <row r="2860">
      <c r="A2860" t="inlineStr">
        <is>
          <t>G|FICO x ASSET_CLASS / SYS_FLAG|where N|loan_size|median|3</t>
        </is>
      </c>
      <c r="B2860" t="n">
        <v>28757.34</v>
      </c>
      <c r="D2860" t="n">
        <v>32506.925</v>
      </c>
      <c r="F2860" t="n">
        <v>30613.85</v>
      </c>
      <c r="H2860" t="n">
        <v>32100.44</v>
      </c>
      <c r="J2860" t="n">
        <v>31000.41</v>
      </c>
    </row>
    <row r="2861">
      <c r="A2861" t="inlineStr">
        <is>
          <t>G|FICO x ASSET_CLASS / SYS_FLAG|where N|loan_size|book|3</t>
        </is>
      </c>
      <c r="B2861" t="n">
        <v>0.9408287619434431</v>
      </c>
      <c r="D2861" t="n">
        <v>1.010875389846431</v>
      </c>
      <c r="F2861" t="n">
        <v>1.019455192154638</v>
      </c>
      <c r="H2861" t="n">
        <v>0.9905715344491745</v>
      </c>
      <c r="J2861" t="n">
        <v>0.9902578866680205</v>
      </c>
    </row>
    <row r="2862">
      <c r="A2862" t="inlineStr">
        <is>
          <t>G|FICO x ASSET_CLASS / SYS_FLAG|where N|loan_size|band|3</t>
        </is>
      </c>
      <c r="B2862" t="n">
        <v>0.9352018549905011</v>
      </c>
      <c r="D2862" t="n">
        <v>1.028136361779365</v>
      </c>
      <c r="F2862" t="n">
        <v>1.038445944917727</v>
      </c>
      <c r="H2862" t="n">
        <v>1.000438209737612</v>
      </c>
    </row>
    <row r="2863">
      <c r="A2863" t="inlineStr">
        <is>
          <t>G|FICO x ASSET_CLASS / SYS_FLAG|where N|loan_size|rate|4</t>
        </is>
      </c>
      <c r="B2863" t="n">
        <v>31697.26288659794</v>
      </c>
      <c r="D2863" t="n">
        <v>30817.77279352227</v>
      </c>
      <c r="F2863" t="n">
        <v>31956.56201793722</v>
      </c>
      <c r="H2863" t="n">
        <v>30570.39818181818</v>
      </c>
      <c r="J2863" t="n">
        <v>31236.49299773755</v>
      </c>
    </row>
    <row r="2864">
      <c r="A2864" t="inlineStr">
        <is>
          <t>G|FICO x ASSET_CLASS / SYS_FLAG|where N|loan_size|median|4</t>
        </is>
      </c>
      <c r="B2864" t="n">
        <v>30151.805</v>
      </c>
      <c r="D2864" t="n">
        <v>30925.17</v>
      </c>
      <c r="F2864" t="n">
        <v>31900.11</v>
      </c>
      <c r="H2864" t="n">
        <v>28917.645</v>
      </c>
      <c r="J2864" t="n">
        <v>30298.59</v>
      </c>
    </row>
    <row r="2865">
      <c r="A2865" t="inlineStr">
        <is>
          <t>G|FICO x ASSET_CLASS / SYS_FLAG|where N|loan_size|book|4</t>
        </is>
      </c>
      <c r="B2865" t="n">
        <v>0.9824773610657638</v>
      </c>
      <c r="D2865" t="n">
        <v>0.955216991335423</v>
      </c>
      <c r="F2865" t="n">
        <v>0.9905145069605463</v>
      </c>
      <c r="H2865" t="n">
        <v>0.9475494537132879</v>
      </c>
      <c r="J2865" t="n">
        <v>0.9681954974838606</v>
      </c>
    </row>
    <row r="2866">
      <c r="A2866" t="inlineStr">
        <is>
          <t>G|FICO x ASSET_CLASS / SYS_FLAG|where N|loan_size|band|4</t>
        </is>
      </c>
      <c r="B2866" t="n">
        <v>1.018977103595456</v>
      </c>
      <c r="D2866" t="n">
        <v>0.981493557003612</v>
      </c>
      <c r="F2866" t="n">
        <v>1.031070868889695</v>
      </c>
      <c r="H2866" t="n">
        <v>0.9718096573717254</v>
      </c>
    </row>
    <row r="2867">
      <c r="A2867" t="inlineStr">
        <is>
          <t>G|FICO x ASSET_CLASS / SYS_FLAG|where N|loan_size|rate|5</t>
        </is>
      </c>
      <c r="B2867" t="n">
        <v>31772.85168831169</v>
      </c>
      <c r="D2867" t="n">
        <v>31641.99310502283</v>
      </c>
      <c r="F2867" t="n">
        <v>33168.22303317535</v>
      </c>
      <c r="H2867" t="n">
        <v>31698.34966507177</v>
      </c>
      <c r="J2867" t="n">
        <v>32060.43145977012</v>
      </c>
    </row>
    <row r="2868">
      <c r="A2868" t="inlineStr">
        <is>
          <t>G|FICO x ASSET_CLASS / SYS_FLAG|where N|loan_size|median|5</t>
        </is>
      </c>
      <c r="B2868" t="n">
        <v>32408.09</v>
      </c>
      <c r="D2868" t="n">
        <v>31958.4</v>
      </c>
      <c r="F2868" t="n">
        <v>31386.63</v>
      </c>
      <c r="H2868" t="n">
        <v>29406.48</v>
      </c>
      <c r="J2868" t="n">
        <v>31425.52</v>
      </c>
    </row>
    <row r="2869">
      <c r="A2869" t="inlineStr">
        <is>
          <t>G|FICO x ASSET_CLASS / SYS_FLAG|where N|loan_size|book|5</t>
        </is>
      </c>
      <c r="B2869" t="n">
        <v>0.9848202853333746</v>
      </c>
      <c r="D2869" t="n">
        <v>0.9807642380954031</v>
      </c>
      <c r="F2869" t="n">
        <v>1.028070731326555</v>
      </c>
      <c r="H2869" t="n">
        <v>0.9825110464742123</v>
      </c>
      <c r="J2869" t="n">
        <v>0.9937340081355359</v>
      </c>
    </row>
    <row r="2870">
      <c r="A2870" t="inlineStr">
        <is>
          <t>G|FICO x ASSET_CLASS / SYS_FLAG|where N|loan_size|band|5</t>
        </is>
      </c>
      <c r="B2870" t="n">
        <v>0.9878268946851101</v>
      </c>
      <c r="D2870" t="n">
        <v>0.9826340821734331</v>
      </c>
      <c r="F2870" t="n">
        <v>1.046126876826509</v>
      </c>
      <c r="H2870" t="n">
        <v>0.985188227122163</v>
      </c>
    </row>
    <row r="2871">
      <c r="A2871" t="inlineStr">
        <is>
          <t>G|FICO x ASSET_CLASS / SYS_FLAG|where N|loan_size|rate|6</t>
        </is>
      </c>
    </row>
    <row r="2872">
      <c r="A2872" t="inlineStr">
        <is>
          <t>G|FICO x ASSET_CLASS / SYS_FLAG|where N|loan_size|median|6</t>
        </is>
      </c>
    </row>
    <row r="2873">
      <c r="A2873" t="inlineStr">
        <is>
          <t>G|FICO x ASSET_CLASS / SYS_FLAG|where N|loan_size|book|6</t>
        </is>
      </c>
    </row>
    <row r="2874">
      <c r="A2874" t="inlineStr">
        <is>
          <t>G|FICO x ASSET_CLASS / SYS_FLAG|where N|loan_size|band|6</t>
        </is>
      </c>
    </row>
    <row r="2875">
      <c r="A2875" t="inlineStr">
        <is>
          <t>G|FICO x ASSET_CLASS / SYS_FLAG|where N|loan_size|rate|7</t>
        </is>
      </c>
      <c r="B2875" t="n">
        <v>36687.01629629629</v>
      </c>
      <c r="D2875" t="n">
        <v>28506.95722222222</v>
      </c>
      <c r="F2875" t="n">
        <v>31386.20952380952</v>
      </c>
      <c r="H2875" t="n">
        <v>31541.39818181818</v>
      </c>
      <c r="J2875" t="n">
        <v>32462.45261363636</v>
      </c>
    </row>
    <row r="2876">
      <c r="A2876" t="inlineStr">
        <is>
          <t>G|FICO x ASSET_CLASS / SYS_FLAG|where N|loan_size|median|7</t>
        </is>
      </c>
      <c r="B2876" t="n">
        <v>41604.16</v>
      </c>
      <c r="D2876" t="n">
        <v>23563.15</v>
      </c>
      <c r="F2876" t="n">
        <v>33165.97</v>
      </c>
      <c r="H2876" t="n">
        <v>30414.62</v>
      </c>
      <c r="J2876" t="n">
        <v>31235.955</v>
      </c>
    </row>
    <row r="2877">
      <c r="A2877" t="inlineStr">
        <is>
          <t>G|FICO x ASSET_CLASS / SYS_FLAG|where N|loan_size|book|7</t>
        </is>
      </c>
      <c r="B2877" t="n">
        <v>1.137138026242696</v>
      </c>
      <c r="D2877" t="n">
        <v>0.8835917537708108</v>
      </c>
      <c r="F2877" t="n">
        <v>0.9728360589723832</v>
      </c>
      <c r="H2877" t="n">
        <v>0.9776462327635136</v>
      </c>
      <c r="J2877" t="n">
        <v>1.006194916314145</v>
      </c>
    </row>
    <row r="2878">
      <c r="A2878" t="inlineStr">
        <is>
          <t>G|FICO x ASSET_CLASS / SYS_FLAG|where N|loan_size|band|7</t>
        </is>
      </c>
      <c r="B2878" t="n">
        <v>1.199213526905611</v>
      </c>
      <c r="D2878" t="n">
        <v>0.8514729641836074</v>
      </c>
      <c r="F2878" t="n">
        <v>0.9569029760518745</v>
      </c>
      <c r="H2878" t="n">
        <v>0.9625238813027314</v>
      </c>
    </row>
    <row r="2879">
      <c r="A2879" t="inlineStr">
        <is>
          <t>G|FICO x ASSET_CLASS / SYS_FLAG|where N|loan_size|rate|8</t>
        </is>
      </c>
      <c r="B2879" t="n">
        <v>31594.13158038147</v>
      </c>
      <c r="D2879" t="n">
        <v>31782.37624434389</v>
      </c>
      <c r="F2879" t="n">
        <v>32908.69743842365</v>
      </c>
      <c r="H2879" t="n">
        <v>31986.67916967509</v>
      </c>
      <c r="J2879" t="n">
        <v>32050.87388311388</v>
      </c>
    </row>
    <row r="2880">
      <c r="A2880" t="inlineStr">
        <is>
          <t>G|FICO x ASSET_CLASS / SYS_FLAG|where N|loan_size|median|8</t>
        </is>
      </c>
      <c r="B2880" t="n">
        <v>30767.26</v>
      </c>
      <c r="D2880" t="n">
        <v>31745.09</v>
      </c>
      <c r="F2880" t="n">
        <v>32117.38</v>
      </c>
      <c r="H2880" t="n">
        <v>31475.255</v>
      </c>
      <c r="J2880" t="n">
        <v>31561.19</v>
      </c>
    </row>
    <row r="2881">
      <c r="A2881" t="inlineStr">
        <is>
          <t>G|FICO x ASSET_CLASS / SYS_FLAG|where N|loan_size|book|8</t>
        </is>
      </c>
      <c r="B2881" t="n">
        <v>0.9792807388861982</v>
      </c>
      <c r="D2881" t="n">
        <v>0.9851155051670024</v>
      </c>
      <c r="F2881" t="n">
        <v>1.020026566050426</v>
      </c>
      <c r="H2881" t="n">
        <v>0.9914480077447655</v>
      </c>
      <c r="J2881" t="n">
        <v>0.9934377648061041</v>
      </c>
    </row>
    <row r="2882">
      <c r="A2882" t="inlineStr">
        <is>
          <t>G|FICO x ASSET_CLASS / SYS_FLAG|where N|loan_size|band|8</t>
        </is>
      </c>
    </row>
    <row r="2883">
      <c r="A2883" t="inlineStr">
        <is>
          <t>G|FICO x ASSET_CLASS / SYS_FLAG|where N|loan_size|meta</t>
        </is>
      </c>
      <c r="B2883" t="inlineStr">
        <is>
          <t>size</t>
        </is>
      </c>
      <c r="C2883" t="n">
        <v>1</v>
      </c>
      <c r="E2883" t="n">
        <v>32262.58857732217</v>
      </c>
      <c r="F2883" t="n">
        <v>65</v>
      </c>
    </row>
    <row r="2884">
      <c r="A2884" t="inlineStr">
        <is>
          <t>G|FICO x ASSET_CLASS / SYS_FLAG|where Y|cols</t>
        </is>
      </c>
      <c r="B2884" t="inlineStr">
        <is>
          <t>1 · N</t>
        </is>
      </c>
      <c r="C2884" t="inlineStr">
        <is>
          <t>1 · Y</t>
        </is>
      </c>
      <c r="D2884" t="inlineStr">
        <is>
          <t>2 · N</t>
        </is>
      </c>
      <c r="E2884" t="inlineStr">
        <is>
          <t>2 · Y</t>
        </is>
      </c>
      <c r="F2884" t="inlineStr">
        <is>
          <t>3 · N</t>
        </is>
      </c>
      <c r="G2884" t="inlineStr">
        <is>
          <t>3 · Y</t>
        </is>
      </c>
      <c r="H2884" t="inlineStr">
        <is>
          <t>4 · N</t>
        </is>
      </c>
      <c r="I2884" t="inlineStr">
        <is>
          <t>4 · Y</t>
        </is>
      </c>
      <c r="J2884" t="inlineStr">
        <is>
          <t>All</t>
        </is>
      </c>
    </row>
    <row r="2885">
      <c r="A2885" t="inlineStr">
        <is>
          <t>G|FICO x ASSET_CLASS / SYS_FLAG|where Y|heads</t>
        </is>
      </c>
      <c r="B2885" t="inlineStr">
        <is>
          <t>N</t>
        </is>
      </c>
      <c r="C2885" t="inlineStr">
        <is>
          <t>Y</t>
        </is>
      </c>
      <c r="D2885" t="inlineStr">
        <is>
          <t>N</t>
        </is>
      </c>
      <c r="E2885" t="inlineStr">
        <is>
          <t>Y</t>
        </is>
      </c>
      <c r="F2885" t="inlineStr">
        <is>
          <t>N</t>
        </is>
      </c>
      <c r="G2885" t="inlineStr">
        <is>
          <t>Y</t>
        </is>
      </c>
      <c r="H2885" t="inlineStr">
        <is>
          <t>N</t>
        </is>
      </c>
      <c r="I2885" t="inlineStr">
        <is>
          <t>Y</t>
        </is>
      </c>
      <c r="J2885" t="inlineStr">
        <is>
          <t>All</t>
        </is>
      </c>
    </row>
    <row r="2886">
      <c r="A2886" t="inlineStr">
        <is>
          <t>G|FICO x ASSET_CLASS / SYS_FLAG|where Y|segs</t>
        </is>
      </c>
      <c r="B2886" t="inlineStr">
        <is>
          <t>1</t>
        </is>
      </c>
      <c r="C2886" t="inlineStr">
        <is>
          <t>2</t>
        </is>
      </c>
      <c r="D2886" t="inlineStr">
        <is>
          <t>3</t>
        </is>
      </c>
      <c r="E2886" t="inlineStr">
        <is>
          <t>4</t>
        </is>
      </c>
    </row>
    <row r="2887">
      <c r="A2887" t="inlineStr">
        <is>
          <t>G|FICO x ASSET_CLASS / SYS_FLAG|where Y|rows</t>
        </is>
      </c>
      <c r="B2887" t="inlineStr">
        <is>
          <t>496 - 653</t>
        </is>
      </c>
      <c r="C2887" t="inlineStr">
        <is>
          <t>654 - 685</t>
        </is>
      </c>
      <c r="D2887" t="inlineStr">
        <is>
          <t>686 - 711</t>
        </is>
      </c>
      <c r="E2887" t="inlineStr">
        <is>
          <t>712 - 745</t>
        </is>
      </c>
      <c r="F2887" t="inlineStr">
        <is>
          <t>746 - 921</t>
        </is>
      </c>
      <c r="G2887" t="inlineStr">
        <is>
          <t>(blank)</t>
        </is>
      </c>
      <c r="H2887" t="inlineStr">
        <is>
          <t>(marked missing)</t>
        </is>
      </c>
      <c r="I2887" t="inlineStr">
        <is>
          <t>All</t>
        </is>
      </c>
    </row>
    <row r="2888">
      <c r="A2888" t="inlineStr">
        <is>
          <t>G|FICO x ASSET_CLASS / SYS_FLAG|where Y|names</t>
        </is>
      </c>
      <c r="B2888" t="inlineStr">
        <is>
          <t>FICO</t>
        </is>
      </c>
      <c r="C2888" t="inlineStr">
        <is>
          <t>ASSET_CLASS / SYS_FLAG</t>
        </is>
      </c>
    </row>
    <row r="2889">
      <c r="A2889" t="inlineStr">
        <is>
          <t>G|FICO x ASSET_CLASS / SYS_FLAG|where Y|total</t>
        </is>
      </c>
      <c r="B2889" t="n">
        <v>3671</v>
      </c>
    </row>
    <row r="2890">
      <c r="A2890" t="inlineStr">
        <is>
          <t>G|FICO x ASSET_CLASS / SYS_FLAG|where Y|loans|1</t>
        </is>
      </c>
      <c r="C2890" t="n">
        <v>186</v>
      </c>
      <c r="E2890" t="n">
        <v>181</v>
      </c>
      <c r="G2890" t="n">
        <v>166</v>
      </c>
      <c r="I2890" t="n">
        <v>189</v>
      </c>
      <c r="J2890" t="n">
        <v>722</v>
      </c>
    </row>
    <row r="2891">
      <c r="A2891" t="inlineStr">
        <is>
          <t>G|FICO x ASSET_CLASS / SYS_FLAG|where Y|loans|2</t>
        </is>
      </c>
      <c r="C2891" t="n">
        <v>187</v>
      </c>
      <c r="E2891" t="n">
        <v>163</v>
      </c>
      <c r="G2891" t="n">
        <v>193</v>
      </c>
      <c r="I2891" t="n">
        <v>191</v>
      </c>
      <c r="J2891" t="n">
        <v>734</v>
      </c>
    </row>
    <row r="2892">
      <c r="A2892" t="inlineStr">
        <is>
          <t>G|FICO x ASSET_CLASS / SYS_FLAG|where Y|loans|3</t>
        </is>
      </c>
      <c r="C2892" t="n">
        <v>167</v>
      </c>
      <c r="E2892" t="n">
        <v>179</v>
      </c>
      <c r="G2892" t="n">
        <v>196</v>
      </c>
      <c r="I2892" t="n">
        <v>172</v>
      </c>
      <c r="J2892" t="n">
        <v>714</v>
      </c>
    </row>
    <row r="2893">
      <c r="A2893" t="inlineStr">
        <is>
          <t>G|FICO x ASSET_CLASS / SYS_FLAG|where Y|loans|4</t>
        </is>
      </c>
      <c r="C2893" t="n">
        <v>167</v>
      </c>
      <c r="E2893" t="n">
        <v>184</v>
      </c>
      <c r="G2893" t="n">
        <v>169</v>
      </c>
      <c r="I2893" t="n">
        <v>207</v>
      </c>
      <c r="J2893" t="n">
        <v>727</v>
      </c>
    </row>
    <row r="2894">
      <c r="A2894" t="inlineStr">
        <is>
          <t>G|FICO x ASSET_CLASS / SYS_FLAG|where Y|loans|5</t>
        </is>
      </c>
      <c r="C2894" t="n">
        <v>183</v>
      </c>
      <c r="E2894" t="n">
        <v>180</v>
      </c>
      <c r="G2894" t="n">
        <v>174</v>
      </c>
      <c r="I2894" t="n">
        <v>164</v>
      </c>
      <c r="J2894" t="n">
        <v>701</v>
      </c>
    </row>
    <row r="2895">
      <c r="A2895" t="inlineStr">
        <is>
          <t>G|FICO x ASSET_CLASS / SYS_FLAG|where Y|loans|6</t>
        </is>
      </c>
      <c r="E2895" t="n">
        <v>1</v>
      </c>
      <c r="J2895" t="n">
        <v>1</v>
      </c>
    </row>
    <row r="2896">
      <c r="A2896" t="inlineStr">
        <is>
          <t>G|FICO x ASSET_CLASS / SYS_FLAG|where Y|loans|7</t>
        </is>
      </c>
      <c r="C2896" t="n">
        <v>15</v>
      </c>
      <c r="E2896" t="n">
        <v>18</v>
      </c>
      <c r="G2896" t="n">
        <v>22</v>
      </c>
      <c r="I2896" t="n">
        <v>17</v>
      </c>
      <c r="J2896" t="n">
        <v>72</v>
      </c>
    </row>
    <row r="2897">
      <c r="A2897" t="inlineStr">
        <is>
          <t>G|FICO x ASSET_CLASS / SYS_FLAG|where Y|loans|8</t>
        </is>
      </c>
      <c r="C2897" t="n">
        <v>905</v>
      </c>
      <c r="E2897" t="n">
        <v>906</v>
      </c>
      <c r="G2897" t="n">
        <v>920</v>
      </c>
      <c r="I2897" t="n">
        <v>940</v>
      </c>
      <c r="J2897" t="n">
        <v>3671</v>
      </c>
    </row>
    <row r="2898">
      <c r="A2898" t="inlineStr">
        <is>
          <t>G|FICO x ASSET_CLASS / SYS_FLAG|where Y|outcome_loans|rate|1</t>
        </is>
      </c>
      <c r="C2898" t="n">
        <v>0.2043010752688172</v>
      </c>
      <c r="E2898" t="n">
        <v>0.1270718232044199</v>
      </c>
      <c r="G2898" t="n">
        <v>0.1867469879518072</v>
      </c>
      <c r="I2898" t="n">
        <v>0.2433862433862434</v>
      </c>
      <c r="J2898" t="n">
        <v>0.1911357340720222</v>
      </c>
    </row>
    <row r="2899">
      <c r="A2899" t="inlineStr">
        <is>
          <t>G|FICO x ASSET_CLASS / SYS_FLAG|where Y|outcome_loans|book|1</t>
        </is>
      </c>
      <c r="C2899" t="n">
        <v>2.640071568780725</v>
      </c>
      <c r="E2899" t="n">
        <v>1.642079990003481</v>
      </c>
      <c r="G2899" t="n">
        <v>2.413229655293224</v>
      </c>
      <c r="I2899" t="n">
        <v>3.145147917361164</v>
      </c>
      <c r="J2899" t="n">
        <v>2.469943032055097</v>
      </c>
    </row>
    <row r="2900">
      <c r="A2900" t="inlineStr">
        <is>
          <t>G|FICO x ASSET_CLASS / SYS_FLAG|where Y|outcome_loans|band|1</t>
        </is>
      </c>
      <c r="C2900" t="n">
        <v>1.09505376344086</v>
      </c>
      <c r="E2900" t="n">
        <v>0.5977900552486188</v>
      </c>
      <c r="G2900" t="n">
        <v>0.9703862177682693</v>
      </c>
      <c r="I2900" t="n">
        <v>1.41005291005291</v>
      </c>
    </row>
    <row r="2901">
      <c r="A2901" t="inlineStr">
        <is>
          <t>G|FICO x ASSET_CLASS / SYS_FLAG|where Y|outcome_loans|rate|2</t>
        </is>
      </c>
      <c r="C2901" t="n">
        <v>0.106951871657754</v>
      </c>
      <c r="E2901" t="n">
        <v>0.1042944785276074</v>
      </c>
      <c r="G2901" t="n">
        <v>0.09326424870466321</v>
      </c>
      <c r="I2901" t="n">
        <v>0.1465968586387434</v>
      </c>
      <c r="J2901" t="n">
        <v>0.1130790190735695</v>
      </c>
    </row>
    <row r="2902">
      <c r="A2902" t="inlineStr">
        <is>
          <t>G|FICO x ASSET_CLASS / SYS_FLAG|where Y|outcome_loans|book|2</t>
        </is>
      </c>
      <c r="C2902" t="n">
        <v>1.382080810000605</v>
      </c>
      <c r="E2902" t="n">
        <v>1.347740765334945</v>
      </c>
      <c r="G2902" t="n">
        <v>1.205203110482393</v>
      </c>
      <c r="I2902" t="n">
        <v>1.894391392974651</v>
      </c>
      <c r="J2902" t="n">
        <v>1.4612586002738</v>
      </c>
    </row>
    <row r="2903">
      <c r="A2903" t="inlineStr">
        <is>
          <t>G|FICO x ASSET_CLASS / SYS_FLAG|where Y|outcome_loans|band|2</t>
        </is>
      </c>
      <c r="C2903" t="n">
        <v>0.9286138697903403</v>
      </c>
      <c r="E2903" t="n">
        <v>0.9023052612009667</v>
      </c>
      <c r="G2903" t="n">
        <v>0.7762455161418892</v>
      </c>
      <c r="I2903" t="n">
        <v>1.447310804378867</v>
      </c>
    </row>
    <row r="2904">
      <c r="A2904" t="inlineStr">
        <is>
          <t>G|FICO x ASSET_CLASS / SYS_FLAG|where Y|outcome_loans|rate|3</t>
        </is>
      </c>
      <c r="C2904" t="n">
        <v>0.05389221556886228</v>
      </c>
      <c r="E2904" t="n">
        <v>0.06145251396648044</v>
      </c>
      <c r="G2904" t="n">
        <v>0.08673469387755102</v>
      </c>
      <c r="I2904" t="n">
        <v>0.0872093023255814</v>
      </c>
      <c r="J2904" t="n">
        <v>0.07282913165266107</v>
      </c>
    </row>
    <row r="2905">
      <c r="A2905" t="inlineStr">
        <is>
          <t>G|FICO x ASSET_CLASS / SYS_FLAG|where Y|outcome_loans|book|3</t>
        </is>
      </c>
      <c r="E2905" t="n">
        <v>0.7941173816120792</v>
      </c>
      <c r="G2905" t="n">
        <v>1.120825228314266</v>
      </c>
      <c r="I2905" t="n">
        <v>1.126958334898749</v>
      </c>
      <c r="J2905" t="n">
        <v>0.9411312182385071</v>
      </c>
    </row>
    <row r="2906">
      <c r="A2906" t="inlineStr">
        <is>
          <t>G|FICO x ASSET_CLASS / SYS_FLAG|where Y|outcome_loans|band|3</t>
        </is>
      </c>
      <c r="E2906" t="n">
        <v>0.8018803651723667</v>
      </c>
      <c r="G2906" t="n">
        <v>1.283673469387755</v>
      </c>
      <c r="I2906" t="n">
        <v>1.277498428661219</v>
      </c>
    </row>
    <row r="2907">
      <c r="A2907" t="inlineStr">
        <is>
          <t>G|FICO x ASSET_CLASS / SYS_FLAG|where Y|outcome_loans|rate|4</t>
        </is>
      </c>
      <c r="C2907" t="n">
        <v>0.04790419161676647</v>
      </c>
      <c r="E2907" t="n">
        <v>0.05978260869565218</v>
      </c>
      <c r="G2907" t="n">
        <v>0.0650887573964497</v>
      </c>
      <c r="I2907" t="n">
        <v>0.106280193236715</v>
      </c>
      <c r="J2907" t="n">
        <v>0.07152682255845942</v>
      </c>
    </row>
    <row r="2908">
      <c r="A2908" t="inlineStr">
        <is>
          <t>G|FICO x ASSET_CLASS / SYS_FLAG|where Y|outcome_loans|book|4</t>
        </is>
      </c>
      <c r="E2908" t="n">
        <v>0.772538104937838</v>
      </c>
      <c r="G2908" t="n">
        <v>0.8411065757903088</v>
      </c>
      <c r="I2908" t="n">
        <v>1.373401075445045</v>
      </c>
      <c r="J2908" t="n">
        <v>0.9243021868257139</v>
      </c>
    </row>
    <row r="2909">
      <c r="A2909" t="inlineStr">
        <is>
          <t>G|FICO x ASSET_CLASS / SYS_FLAG|where Y|outcome_loans|band|4</t>
        </is>
      </c>
      <c r="E2909" t="n">
        <v>0.7917550371155886</v>
      </c>
      <c r="G2909" t="n">
        <v>0.8858421128589984</v>
      </c>
      <c r="I2909" t="n">
        <v>1.84219001610306</v>
      </c>
    </row>
    <row r="2910">
      <c r="A2910" t="inlineStr">
        <is>
          <t>G|FICO x ASSET_CLASS / SYS_FLAG|where Y|outcome_loans|rate|5</t>
        </is>
      </c>
      <c r="C2910" t="n">
        <v>0.06010928961748634</v>
      </c>
      <c r="E2910" t="n">
        <v>0.05</v>
      </c>
      <c r="G2910" t="n">
        <v>0.05172413793103448</v>
      </c>
      <c r="I2910" t="n">
        <v>0.04878048780487805</v>
      </c>
      <c r="J2910" t="n">
        <v>0.05278174037089872</v>
      </c>
    </row>
    <row r="2911">
      <c r="A2911" t="inlineStr">
        <is>
          <t>G|FICO x ASSET_CLASS / SYS_FLAG|where Y|outcome_loans|book|5</t>
        </is>
      </c>
      <c r="C2911" t="n">
        <v>0.7767596246369518</v>
      </c>
      <c r="J2911" t="n">
        <v>0.6820696950352485</v>
      </c>
    </row>
    <row r="2912">
      <c r="A2912" t="inlineStr">
        <is>
          <t>G|FICO x ASSET_CLASS / SYS_FLAG|where Y|outcome_loans|band|5</t>
        </is>
      </c>
      <c r="C2912" t="n">
        <v>1.197562000840689</v>
      </c>
    </row>
    <row r="2913">
      <c r="A2913" t="inlineStr">
        <is>
          <t>G|FICO x ASSET_CLASS / SYS_FLAG|where Y|outcome_loans|rate|6</t>
        </is>
      </c>
      <c r="E2913" t="n">
        <v>0</v>
      </c>
      <c r="J2913" t="n">
        <v>0</v>
      </c>
    </row>
    <row r="2914">
      <c r="A2914" t="inlineStr">
        <is>
          <t>G|FICO x ASSET_CLASS / SYS_FLAG|where Y|outcome_loans|book|6</t>
        </is>
      </c>
    </row>
    <row r="2915">
      <c r="A2915" t="inlineStr">
        <is>
          <t>G|FICO x ASSET_CLASS / SYS_FLAG|where Y|outcome_loans|band|6</t>
        </is>
      </c>
    </row>
    <row r="2916">
      <c r="A2916" t="inlineStr">
        <is>
          <t>G|FICO x ASSET_CLASS / SYS_FLAG|where Y|outcome_loans|rate|7</t>
        </is>
      </c>
      <c r="C2916" t="n">
        <v>0.06666666666666667</v>
      </c>
      <c r="E2916" t="n">
        <v>0.2222222222222222</v>
      </c>
      <c r="G2916" t="n">
        <v>0.09090909090909091</v>
      </c>
      <c r="I2916" t="n">
        <v>0.05882352941176471</v>
      </c>
      <c r="J2916" t="n">
        <v>0.1111111111111111</v>
      </c>
    </row>
    <row r="2917">
      <c r="A2917" t="inlineStr">
        <is>
          <t>G|FICO x ASSET_CLASS / SYS_FLAG|where Y|outcome_loans|book|7</t>
        </is>
      </c>
    </row>
    <row r="2918">
      <c r="A2918" t="inlineStr">
        <is>
          <t>G|FICO x ASSET_CLASS / SYS_FLAG|where Y|outcome_loans|band|7</t>
        </is>
      </c>
    </row>
    <row r="2919">
      <c r="A2919" t="inlineStr">
        <is>
          <t>G|FICO x ASSET_CLASS / SYS_FLAG|where Y|outcome_loans|rate|8</t>
        </is>
      </c>
      <c r="C2919" t="n">
        <v>0.09613259668508287</v>
      </c>
      <c r="E2919" t="n">
        <v>0.08278145695364239</v>
      </c>
      <c r="G2919" t="n">
        <v>0.09565217391304348</v>
      </c>
      <c r="I2919" t="n">
        <v>0.1276595744680851</v>
      </c>
      <c r="J2919" t="n">
        <v>0.1007899754835195</v>
      </c>
    </row>
    <row r="2920">
      <c r="A2920" t="inlineStr">
        <is>
          <t>G|FICO x ASSET_CLASS / SYS_FLAG|where Y|outcome_loans|book|8</t>
        </is>
      </c>
      <c r="C2920" t="n">
        <v>1.24226920982872</v>
      </c>
      <c r="E2920" t="n">
        <v>1.069739699793514</v>
      </c>
      <c r="G2920" t="n">
        <v>1.236060967900541</v>
      </c>
      <c r="I2920" t="n">
        <v>1.649675179596466</v>
      </c>
      <c r="J2920" t="n">
        <v>1.302453980440504</v>
      </c>
    </row>
    <row r="2921">
      <c r="A2921" t="inlineStr">
        <is>
          <t>G|FICO x ASSET_CLASS / SYS_FLAG|where Y|outcome_loans|band|8</t>
        </is>
      </c>
    </row>
    <row r="2922">
      <c r="A2922" t="inlineStr">
        <is>
          <t>G|FICO x ASSET_CLASS / SYS_FLAG|where Y|outcome_loans|meta</t>
        </is>
      </c>
      <c r="B2922" t="inlineStr">
        <is>
          <t>x</t>
        </is>
      </c>
      <c r="C2922" t="n">
        <v>3.145147917361164</v>
      </c>
      <c r="D2922" t="n">
        <v>10</v>
      </c>
      <c r="E2922" t="n">
        <v>0.07738467308413552</v>
      </c>
      <c r="F2922" t="n">
        <v>65</v>
      </c>
    </row>
    <row r="2923">
      <c r="A2923" t="inlineStr">
        <is>
          <t>G|FICO x ASSET_CLASS / SYS_FLAG|where Y|outcome_booked|rate|1</t>
        </is>
      </c>
      <c r="C2923" t="n">
        <v>0.1975596970180436</v>
      </c>
      <c r="E2923" t="n">
        <v>0.118633819960679</v>
      </c>
      <c r="G2923" t="n">
        <v>0.1798777485818013</v>
      </c>
      <c r="I2923" t="n">
        <v>0.2964275934057412</v>
      </c>
      <c r="J2923" t="n">
        <v>0.1965399453932198</v>
      </c>
    </row>
    <row r="2924">
      <c r="A2924" t="inlineStr">
        <is>
          <t>G|FICO x ASSET_CLASS / SYS_FLAG|where Y|outcome_booked|book|1</t>
        </is>
      </c>
      <c r="C2924" t="n">
        <v>2.640153469968149</v>
      </c>
      <c r="E2924" t="n">
        <v>1.585401760340607</v>
      </c>
      <c r="G2924" t="n">
        <v>2.403854982855773</v>
      </c>
      <c r="I2924" t="n">
        <v>3.961406861506764</v>
      </c>
      <c r="J2924" t="n">
        <v>2.626525686409955</v>
      </c>
    </row>
    <row r="2925">
      <c r="A2925" t="inlineStr">
        <is>
          <t>G|FICO x ASSET_CLASS / SYS_FLAG|where Y|outcome_booked|band|1</t>
        </is>
      </c>
      <c r="C2925" t="n">
        <v>1.007055392674375</v>
      </c>
      <c r="E2925" t="n">
        <v>0.5277563256847192</v>
      </c>
      <c r="G2925" t="n">
        <v>0.8928925076187745</v>
      </c>
      <c r="I2925" t="n">
        <v>1.801992169849558</v>
      </c>
    </row>
    <row r="2926">
      <c r="A2926" t="inlineStr">
        <is>
          <t>G|FICO x ASSET_CLASS / SYS_FLAG|where Y|outcome_booked|rate|2</t>
        </is>
      </c>
      <c r="C2926" t="n">
        <v>0.09162670190572685</v>
      </c>
      <c r="E2926" t="n">
        <v>0.1023998313868138</v>
      </c>
      <c r="G2926" t="n">
        <v>0.1033361338746842</v>
      </c>
      <c r="I2926" t="n">
        <v>0.1444515712899625</v>
      </c>
      <c r="J2926" t="n">
        <v>0.1112455416540537</v>
      </c>
    </row>
    <row r="2927">
      <c r="A2927" t="inlineStr">
        <is>
          <t>G|FICO x ASSET_CLASS / SYS_FLAG|where Y|outcome_booked|book|2</t>
        </is>
      </c>
      <c r="C2927" t="n">
        <v>1.224483326455233</v>
      </c>
      <c r="E2927" t="n">
        <v>1.368453557282779</v>
      </c>
      <c r="G2927" t="n">
        <v>1.380966141071897</v>
      </c>
      <c r="I2927" t="n">
        <v>1.930425703926414</v>
      </c>
      <c r="J2927" t="n">
        <v>1.486666092576621</v>
      </c>
    </row>
    <row r="2928">
      <c r="A2928" t="inlineStr">
        <is>
          <t>G|FICO x ASSET_CLASS / SYS_FLAG|where Y|outcome_booked|band|2</t>
        </is>
      </c>
      <c r="C2928" t="n">
        <v>0.7778935532408902</v>
      </c>
      <c r="E2928" t="n">
        <v>0.9001577200630291</v>
      </c>
      <c r="G2928" t="n">
        <v>0.9062506925027304</v>
      </c>
      <c r="I2928" t="n">
        <v>1.458385022732666</v>
      </c>
    </row>
    <row r="2929">
      <c r="A2929" t="inlineStr">
        <is>
          <t>G|FICO x ASSET_CLASS / SYS_FLAG|where Y|outcome_booked|rate|3</t>
        </is>
      </c>
      <c r="C2929" t="n">
        <v>0.06888557789339712</v>
      </c>
      <c r="E2929" t="n">
        <v>0.06370414070631102</v>
      </c>
      <c r="G2929" t="n">
        <v>0.08392400930325386</v>
      </c>
      <c r="I2929" t="n">
        <v>0.0745218093343394</v>
      </c>
      <c r="J2929" t="n">
        <v>0.07308318935570284</v>
      </c>
    </row>
    <row r="2930">
      <c r="A2930" t="inlineStr">
        <is>
          <t>G|FICO x ASSET_CLASS / SYS_FLAG|where Y|outcome_booked|book|3</t>
        </is>
      </c>
      <c r="E2930" t="n">
        <v>0.8513310694222475</v>
      </c>
      <c r="G2930" t="n">
        <v>1.121545880663039</v>
      </c>
      <c r="I2930" t="n">
        <v>0.9958965136719733</v>
      </c>
      <c r="J2930" t="n">
        <v>0.9766710462011666</v>
      </c>
    </row>
    <row r="2931">
      <c r="A2931" t="inlineStr">
        <is>
          <t>G|FICO x ASSET_CLASS / SYS_FLAG|where Y|outcome_booked|band|3</t>
        </is>
      </c>
      <c r="E2931" t="n">
        <v>0.8364920026200479</v>
      </c>
      <c r="G2931" t="n">
        <v>1.215242482775744</v>
      </c>
      <c r="I2931" t="n">
        <v>1.026397262858444</v>
      </c>
    </row>
    <row r="2932">
      <c r="A2932" t="inlineStr">
        <is>
          <t>G|FICO x ASSET_CLASS / SYS_FLAG|where Y|outcome_booked|rate|4</t>
        </is>
      </c>
      <c r="C2932" t="n">
        <v>0.05464694905043065</v>
      </c>
      <c r="E2932" t="n">
        <v>0.05604451517361919</v>
      </c>
      <c r="G2932" t="n">
        <v>0.05117970064176201</v>
      </c>
      <c r="I2932" t="n">
        <v>0.1219647873734382</v>
      </c>
      <c r="J2932" t="n">
        <v>0.07267976959797931</v>
      </c>
    </row>
    <row r="2933">
      <c r="A2933" t="inlineStr">
        <is>
          <t>G|FICO x ASSET_CLASS / SYS_FLAG|where Y|outcome_booked|book|4</t>
        </is>
      </c>
      <c r="E2933" t="n">
        <v>0.7489691644687995</v>
      </c>
      <c r="G2933" t="n">
        <v>0.6839566282030592</v>
      </c>
      <c r="I2933" t="n">
        <v>1.629916230173712</v>
      </c>
      <c r="J2933" t="n">
        <v>0.9712798146428888</v>
      </c>
    </row>
    <row r="2934">
      <c r="A2934" t="inlineStr">
        <is>
          <t>G|FICO x ASSET_CLASS / SYS_FLAG|where Y|outcome_booked|band|4</t>
        </is>
      </c>
      <c r="E2934" t="n">
        <v>0.7093079302987636</v>
      </c>
      <c r="G2934" t="n">
        <v>0.6498996361301214</v>
      </c>
      <c r="I2934" t="n">
        <v>2.253325232757716</v>
      </c>
    </row>
    <row r="2935">
      <c r="A2935" t="inlineStr">
        <is>
          <t>G|FICO x ASSET_CLASS / SYS_FLAG|where Y|outcome_booked|rate|5</t>
        </is>
      </c>
      <c r="C2935" t="n">
        <v>0.05289851606465854</v>
      </c>
      <c r="E2935" t="n">
        <v>0.05986134118029075</v>
      </c>
      <c r="G2935" t="n">
        <v>0.04374574016093979</v>
      </c>
      <c r="I2935" t="n">
        <v>0.0388062790600802</v>
      </c>
      <c r="J2935" t="n">
        <v>0.04945508218346732</v>
      </c>
    </row>
    <row r="2936">
      <c r="A2936" t="inlineStr">
        <is>
          <t>G|FICO x ASSET_CLASS / SYS_FLAG|where Y|outcome_booked|book|5</t>
        </is>
      </c>
      <c r="C2936" t="n">
        <v>0.7069265789141124</v>
      </c>
      <c r="J2936" t="n">
        <v>0.6609091267350752</v>
      </c>
    </row>
    <row r="2937">
      <c r="A2937" t="inlineStr">
        <is>
          <t>G|FICO x ASSET_CLASS / SYS_FLAG|where Y|outcome_booked|band|5</t>
        </is>
      </c>
      <c r="C2937" t="n">
        <v>1.097181514823739</v>
      </c>
    </row>
    <row r="2938">
      <c r="A2938" t="inlineStr">
        <is>
          <t>G|FICO x ASSET_CLASS / SYS_FLAG|where Y|outcome_booked|rate|6</t>
        </is>
      </c>
      <c r="E2938" t="n">
        <v>0</v>
      </c>
      <c r="J2938" t="n">
        <v>0</v>
      </c>
    </row>
    <row r="2939">
      <c r="A2939" t="inlineStr">
        <is>
          <t>G|FICO x ASSET_CLASS / SYS_FLAG|where Y|outcome_booked|book|6</t>
        </is>
      </c>
    </row>
    <row r="2940">
      <c r="A2940" t="inlineStr">
        <is>
          <t>G|FICO x ASSET_CLASS / SYS_FLAG|where Y|outcome_booked|band|6</t>
        </is>
      </c>
    </row>
    <row r="2941">
      <c r="A2941" t="inlineStr">
        <is>
          <t>G|FICO x ASSET_CLASS / SYS_FLAG|where Y|outcome_booked|rate|7</t>
        </is>
      </c>
      <c r="C2941" t="n">
        <v>0.02767746886327854</v>
      </c>
      <c r="E2941" t="n">
        <v>0.189353195601807</v>
      </c>
      <c r="G2941" t="n">
        <v>0.06685551877571001</v>
      </c>
      <c r="I2941" t="n">
        <v>0.05894574594996555</v>
      </c>
      <c r="J2941" t="n">
        <v>0.08559977389867067</v>
      </c>
    </row>
    <row r="2942">
      <c r="A2942" t="inlineStr">
        <is>
          <t>G|FICO x ASSET_CLASS / SYS_FLAG|where Y|outcome_booked|book|7</t>
        </is>
      </c>
    </row>
    <row r="2943">
      <c r="A2943" t="inlineStr">
        <is>
          <t>G|FICO x ASSET_CLASS / SYS_FLAG|where Y|outcome_booked|band|7</t>
        </is>
      </c>
    </row>
    <row r="2944">
      <c r="A2944" t="inlineStr">
        <is>
          <t>G|FICO x ASSET_CLASS / SYS_FLAG|where Y|outcome_booked|rate|8</t>
        </is>
      </c>
      <c r="C2944" t="n">
        <v>0.09391781030789158</v>
      </c>
      <c r="E2944" t="n">
        <v>0.08143078150540617</v>
      </c>
      <c r="G2944" t="n">
        <v>0.09169079542439569</v>
      </c>
      <c r="I2944" t="n">
        <v>0.1358979596343107</v>
      </c>
      <c r="J2944" t="n">
        <v>0.1006690692129982</v>
      </c>
    </row>
    <row r="2945">
      <c r="A2945" t="inlineStr">
        <is>
          <t>G|FICO x ASSET_CLASS / SYS_FLAG|where Y|outcome_booked|book|8</t>
        </is>
      </c>
      <c r="C2945" t="n">
        <v>1.255101301119852</v>
      </c>
      <c r="E2945" t="n">
        <v>1.088226817507625</v>
      </c>
      <c r="G2945" t="n">
        <v>1.225339861104102</v>
      </c>
      <c r="I2945" t="n">
        <v>1.816116723733119</v>
      </c>
      <c r="J2945" t="n">
        <v>1.345323952267889</v>
      </c>
    </row>
    <row r="2946">
      <c r="A2946" t="inlineStr">
        <is>
          <t>G|FICO x ASSET_CLASS / SYS_FLAG|where Y|outcome_booked|band|8</t>
        </is>
      </c>
    </row>
    <row r="2947">
      <c r="A2947" t="inlineStr">
        <is>
          <t>G|FICO x ASSET_CLASS / SYS_FLAG|where Y|outcome_booked|meta</t>
        </is>
      </c>
      <c r="B2947" t="inlineStr">
        <is>
          <t>x</t>
        </is>
      </c>
      <c r="C2947" t="n">
        <v>3.961406861506764</v>
      </c>
      <c r="D2947" t="n">
        <v>10</v>
      </c>
      <c r="E2947" t="n">
        <v>0.07482886857347235</v>
      </c>
      <c r="F2947" t="n">
        <v>65</v>
      </c>
    </row>
    <row r="2948">
      <c r="A2948" t="inlineStr">
        <is>
          <t>G|FICO x ASSET_CLASS / SYS_FLAG|where Y|gco_rate|rate|1</t>
        </is>
      </c>
      <c r="C2948" t="n">
        <v>0.1104503655102678</v>
      </c>
      <c r="E2948" t="n">
        <v>0.06118025984938478</v>
      </c>
      <c r="G2948" t="n">
        <v>0.1031387884963628</v>
      </c>
      <c r="I2948" t="n">
        <v>0.1516244739842235</v>
      </c>
      <c r="J2948" t="n">
        <v>0.1056730912674188</v>
      </c>
    </row>
    <row r="2949">
      <c r="A2949" t="inlineStr">
        <is>
          <t>G|FICO x ASSET_CLASS / SYS_FLAG|where Y|gco_rate|book|1</t>
        </is>
      </c>
      <c r="C2949" t="n">
        <v>2.654720853847578</v>
      </c>
      <c r="E2949" t="n">
        <v>1.470493202223732</v>
      </c>
      <c r="G2949" t="n">
        <v>2.478984034112726</v>
      </c>
      <c r="I2949" t="n">
        <v>3.6443578179211</v>
      </c>
      <c r="J2949" t="n">
        <v>2.539897064008138</v>
      </c>
    </row>
    <row r="2950">
      <c r="A2950" t="inlineStr">
        <is>
          <t>G|FICO x ASSET_CLASS / SYS_FLAG|where Y|gco_rate|band|1</t>
        </is>
      </c>
      <c r="C2950" t="n">
        <v>1.06236768796116</v>
      </c>
      <c r="E2950" t="n">
        <v>0.5022747440111719</v>
      </c>
      <c r="G2950" t="n">
        <v>0.9691611396226035</v>
      </c>
      <c r="I2950" t="n">
        <v>1.667417786691833</v>
      </c>
    </row>
    <row r="2951">
      <c r="A2951" t="inlineStr">
        <is>
          <t>G|FICO x ASSET_CLASS / SYS_FLAG|where Y|gco_rate|rate|2</t>
        </is>
      </c>
      <c r="C2951" t="n">
        <v>0.04928305428421943</v>
      </c>
      <c r="E2951" t="n">
        <v>0.05615619283090746</v>
      </c>
      <c r="G2951" t="n">
        <v>0.05745304546875105</v>
      </c>
      <c r="I2951" t="n">
        <v>0.08856833403639801</v>
      </c>
      <c r="J2951" t="n">
        <v>0.06348152741940742</v>
      </c>
    </row>
    <row r="2952">
      <c r="A2952" t="inlineStr">
        <is>
          <t>G|FICO x ASSET_CLASS / SYS_FLAG|where Y|gco_rate|book|2</t>
        </is>
      </c>
      <c r="C2952" t="n">
        <v>1.18453887721591</v>
      </c>
      <c r="E2952" t="n">
        <v>1.349737644526283</v>
      </c>
      <c r="G2952" t="n">
        <v>1.380908041529003</v>
      </c>
      <c r="I2952" t="n">
        <v>2.128777050856442</v>
      </c>
      <c r="J2952" t="n">
        <v>1.525805133335941</v>
      </c>
    </row>
    <row r="2953">
      <c r="A2953" t="inlineStr">
        <is>
          <t>G|FICO x ASSET_CLASS / SYS_FLAG|where Y|gco_rate|band|2</t>
        </is>
      </c>
      <c r="C2953" t="n">
        <v>0.7224498525130796</v>
      </c>
      <c r="E2953" t="n">
        <v>0.8565374415096368</v>
      </c>
      <c r="G2953" t="n">
        <v>0.8757984434371527</v>
      </c>
      <c r="I2953" t="n">
        <v>1.63207962708588</v>
      </c>
    </row>
    <row r="2954">
      <c r="A2954" t="inlineStr">
        <is>
          <t>G|FICO x ASSET_CLASS / SYS_FLAG|where Y|gco_rate|rate|3</t>
        </is>
      </c>
      <c r="C2954" t="n">
        <v>0.03718135585647276</v>
      </c>
      <c r="E2954" t="n">
        <v>0.03072773407944593</v>
      </c>
      <c r="G2954" t="n">
        <v>0.04378049404469063</v>
      </c>
      <c r="I2954" t="n">
        <v>0.04589130358382132</v>
      </c>
      <c r="J2954" t="n">
        <v>0.03954707714671374</v>
      </c>
    </row>
    <row r="2955">
      <c r="A2955" t="inlineStr">
        <is>
          <t>G|FICO x ASSET_CLASS / SYS_FLAG|where Y|gco_rate|book|3</t>
        </is>
      </c>
      <c r="E2955" t="n">
        <v>0.7385539746774733</v>
      </c>
      <c r="G2955" t="n">
        <v>1.052282534288085</v>
      </c>
      <c r="I2955" t="n">
        <v>1.103016726756734</v>
      </c>
      <c r="J2955" t="n">
        <v>0.9505305838063527</v>
      </c>
    </row>
    <row r="2956">
      <c r="A2956" t="inlineStr">
        <is>
          <t>G|FICO x ASSET_CLASS / SYS_FLAG|where Y|gco_rate|band|3</t>
        </is>
      </c>
      <c r="E2956" t="n">
        <v>0.7240822306222701</v>
      </c>
      <c r="G2956" t="n">
        <v>1.152852792846912</v>
      </c>
      <c r="I2956" t="n">
        <v>1.225752000182147</v>
      </c>
    </row>
    <row r="2957">
      <c r="A2957" t="inlineStr">
        <is>
          <t>G|FICO x ASSET_CLASS / SYS_FLAG|where Y|gco_rate|rate|4</t>
        </is>
      </c>
      <c r="C2957" t="n">
        <v>0.03104911737830068</v>
      </c>
      <c r="E2957" t="n">
        <v>0.02944005210152369</v>
      </c>
      <c r="G2957" t="n">
        <v>0.02993234682536851</v>
      </c>
      <c r="I2957" t="n">
        <v>0.06623856033178828</v>
      </c>
      <c r="J2957" t="n">
        <v>0.03998357770819432</v>
      </c>
    </row>
    <row r="2958">
      <c r="A2958" t="inlineStr">
        <is>
          <t>G|FICO x ASSET_CLASS / SYS_FLAG|where Y|gco_rate|book|4</t>
        </is>
      </c>
      <c r="E2958" t="n">
        <v>0.7076039983317991</v>
      </c>
      <c r="G2958" t="n">
        <v>0.7194365084696535</v>
      </c>
      <c r="I2958" t="n">
        <v>1.5920715755829</v>
      </c>
      <c r="J2958" t="n">
        <v>0.9610220578537694</v>
      </c>
    </row>
    <row r="2959">
      <c r="A2959" t="inlineStr">
        <is>
          <t>G|FICO x ASSET_CLASS / SYS_FLAG|where Y|gco_rate|band|4</t>
        </is>
      </c>
      <c r="E2959" t="n">
        <v>0.6691287608554165</v>
      </c>
      <c r="G2959" t="n">
        <v>0.6990032374826688</v>
      </c>
      <c r="I2959" t="n">
        <v>2.200618669925067</v>
      </c>
    </row>
    <row r="2960">
      <c r="A2960" t="inlineStr">
        <is>
          <t>G|FICO x ASSET_CLASS / SYS_FLAG|where Y|gco_rate|rate|5</t>
        </is>
      </c>
      <c r="C2960" t="n">
        <v>0.02540911544089303</v>
      </c>
      <c r="E2960" t="n">
        <v>0.03031117300941493</v>
      </c>
      <c r="G2960" t="n">
        <v>0.02435615853851757</v>
      </c>
      <c r="I2960" t="n">
        <v>0.01993195480213301</v>
      </c>
      <c r="J2960" t="n">
        <v>0.02527923250680246</v>
      </c>
    </row>
    <row r="2961">
      <c r="A2961" t="inlineStr">
        <is>
          <t>G|FICO x ASSET_CLASS / SYS_FLAG|where Y|gco_rate|book|5</t>
        </is>
      </c>
      <c r="C2961" t="n">
        <v>0.6107187452674246</v>
      </c>
      <c r="J2961" t="n">
        <v>0.6075969544784474</v>
      </c>
    </row>
    <row r="2962">
      <c r="A2962" t="inlineStr">
        <is>
          <t>G|FICO x ASSET_CLASS / SYS_FLAG|where Y|gco_rate|band|5</t>
        </is>
      </c>
      <c r="C2962" t="n">
        <v>1.007004073502552</v>
      </c>
    </row>
    <row r="2963">
      <c r="A2963" t="inlineStr">
        <is>
          <t>G|FICO x ASSET_CLASS / SYS_FLAG|where Y|gco_rate|rate|6</t>
        </is>
      </c>
      <c r="E2963" t="n">
        <v>0</v>
      </c>
      <c r="J2963" t="n">
        <v>0</v>
      </c>
    </row>
    <row r="2964">
      <c r="A2964" t="inlineStr">
        <is>
          <t>G|FICO x ASSET_CLASS / SYS_FLAG|where Y|gco_rate|book|6</t>
        </is>
      </c>
    </row>
    <row r="2965">
      <c r="A2965" t="inlineStr">
        <is>
          <t>G|FICO x ASSET_CLASS / SYS_FLAG|where Y|gco_rate|band|6</t>
        </is>
      </c>
    </row>
    <row r="2966">
      <c r="A2966" t="inlineStr">
        <is>
          <t>G|FICO x ASSET_CLASS / SYS_FLAG|where Y|gco_rate|rate|7</t>
        </is>
      </c>
      <c r="C2966" t="n">
        <v>0.01191651997047521</v>
      </c>
      <c r="E2966" t="n">
        <v>0.09282250525441747</v>
      </c>
      <c r="G2966" t="n">
        <v>0.04450000008599227</v>
      </c>
      <c r="I2966" t="n">
        <v>0.02966701988812969</v>
      </c>
      <c r="J2966" t="n">
        <v>0.04569581498027084</v>
      </c>
    </row>
    <row r="2967">
      <c r="A2967" t="inlineStr">
        <is>
          <t>G|FICO x ASSET_CLASS / SYS_FLAG|where Y|gco_rate|book|7</t>
        </is>
      </c>
    </row>
    <row r="2968">
      <c r="A2968" t="inlineStr">
        <is>
          <t>G|FICO x ASSET_CLASS / SYS_FLAG|where Y|gco_rate|band|7</t>
        </is>
      </c>
    </row>
    <row r="2969">
      <c r="A2969" t="inlineStr">
        <is>
          <t>G|FICO x ASSET_CLASS / SYS_FLAG|where Y|gco_rate|rate|8</t>
        </is>
      </c>
      <c r="C2969" t="n">
        <v>0.05105761588999549</v>
      </c>
      <c r="E2969" t="n">
        <v>0.04205486969531598</v>
      </c>
      <c r="G2969" t="n">
        <v>0.05138794933615651</v>
      </c>
      <c r="I2969" t="n">
        <v>0.07495703613824992</v>
      </c>
      <c r="J2969" t="n">
        <v>0.05481054765254322</v>
      </c>
    </row>
    <row r="2970">
      <c r="A2970" t="inlineStr">
        <is>
          <t>G|FICO x ASSET_CLASS / SYS_FLAG|where Y|gco_rate|book|8</t>
        </is>
      </c>
      <c r="C2970" t="n">
        <v>1.227191209596404</v>
      </c>
      <c r="E2970" t="n">
        <v>1.010806429387679</v>
      </c>
      <c r="G2970" t="n">
        <v>1.235130912504544</v>
      </c>
      <c r="I2970" t="n">
        <v>1.801623797798295</v>
      </c>
      <c r="J2970" t="n">
        <v>1.317394498350357</v>
      </c>
    </row>
    <row r="2971">
      <c r="A2971" t="inlineStr">
        <is>
          <t>G|FICO x ASSET_CLASS / SYS_FLAG|where Y|gco_rate|band|8</t>
        </is>
      </c>
    </row>
    <row r="2972">
      <c r="A2972" t="inlineStr">
        <is>
          <t>G|FICO x ASSET_CLASS / SYS_FLAG|where Y|gco_rate|meta</t>
        </is>
      </c>
      <c r="B2972" t="inlineStr">
        <is>
          <t>x</t>
        </is>
      </c>
      <c r="C2972" t="n">
        <v>3.6443578179211</v>
      </c>
      <c r="D2972" t="n">
        <v>10</v>
      </c>
      <c r="E2972" t="n">
        <v>0.04160526533333565</v>
      </c>
      <c r="F2972" t="n">
        <v>65</v>
      </c>
    </row>
    <row r="2973">
      <c r="A2973" t="inlineStr">
        <is>
          <t>G|FICO x ASSET_CLASS / SYS_FLAG|where Y|ranr_rate|rate|1</t>
        </is>
      </c>
      <c r="C2973" t="n">
        <v>0.1704928055551581</v>
      </c>
      <c r="E2973" t="n">
        <v>0.1953761637795907</v>
      </c>
      <c r="G2973" t="n">
        <v>0.1765216392524634</v>
      </c>
      <c r="I2973" t="n">
        <v>0.1218269892165544</v>
      </c>
      <c r="J2973" t="n">
        <v>0.1666688599176505</v>
      </c>
    </row>
    <row r="2974">
      <c r="A2974" t="inlineStr">
        <is>
          <t>G|FICO x ASSET_CLASS / SYS_FLAG|where Y|ranr_rate|book|1</t>
        </is>
      </c>
      <c r="C2974" t="n">
        <v>4.250275591</v>
      </c>
      <c r="E2974" t="n">
        <v>6.738611413</v>
      </c>
      <c r="G2974" t="n">
        <v>4.85315896</v>
      </c>
      <c r="I2974" t="n">
        <v>-0.616306043</v>
      </c>
      <c r="J2974" t="n">
        <v>3.867881027</v>
      </c>
    </row>
    <row r="2975">
      <c r="A2975" t="inlineStr">
        <is>
          <t>G|FICO x ASSET_CLASS / SYS_FLAG|where Y|ranr_rate|band|1</t>
        </is>
      </c>
      <c r="C2975" t="n">
        <v>0.519019274</v>
      </c>
      <c r="E2975" t="n">
        <v>3.911668268</v>
      </c>
      <c r="G2975" t="n">
        <v>1.27592343</v>
      </c>
      <c r="I2975" t="n">
        <v>-5.922537123</v>
      </c>
    </row>
    <row r="2976">
      <c r="A2976" t="inlineStr">
        <is>
          <t>G|FICO x ASSET_CLASS / SYS_FLAG|where Y|ranr_rate|rate|2</t>
        </is>
      </c>
      <c r="C2976" t="n">
        <v>0.1718519111925623</v>
      </c>
      <c r="E2976" t="n">
        <v>0.149797089369544</v>
      </c>
      <c r="G2976" t="n">
        <v>0.1382416062362677</v>
      </c>
      <c r="I2976" t="n">
        <v>0.1135734087775936</v>
      </c>
      <c r="J2976" t="n">
        <v>0.1425763271144025</v>
      </c>
    </row>
    <row r="2977">
      <c r="A2977" t="inlineStr">
        <is>
          <t>G|FICO x ASSET_CLASS / SYS_FLAG|where Y|ranr_rate|book|2</t>
        </is>
      </c>
      <c r="C2977" t="n">
        <v>4.386186154</v>
      </c>
      <c r="E2977" t="n">
        <v>2.180703972</v>
      </c>
      <c r="G2977" t="n">
        <v>1.025155659</v>
      </c>
      <c r="I2977" t="n">
        <v>-1.441664087</v>
      </c>
      <c r="J2977" t="n">
        <v>1.458627747</v>
      </c>
    </row>
    <row r="2978">
      <c r="A2978" t="inlineStr">
        <is>
          <t>G|FICO x ASSET_CLASS / SYS_FLAG|where Y|ranr_rate|band|2</t>
        </is>
      </c>
      <c r="C2978" t="n">
        <v>3.903869533</v>
      </c>
      <c r="E2978" t="n">
        <v>0.9271402949999999</v>
      </c>
      <c r="G2978" t="n">
        <v>-0.585853592</v>
      </c>
      <c r="I2978" t="n">
        <v>-3.965566548</v>
      </c>
    </row>
    <row r="2979">
      <c r="A2979" t="inlineStr">
        <is>
          <t>G|FICO x ASSET_CLASS / SYS_FLAG|where Y|ranr_rate|rate|3</t>
        </is>
      </c>
      <c r="C2979" t="n">
        <v>0.1372645588105658</v>
      </c>
      <c r="E2979" t="n">
        <v>0.128090415910965</v>
      </c>
      <c r="G2979" t="n">
        <v>0.1210020904254947</v>
      </c>
      <c r="I2979" t="n">
        <v>0.1264103059262016</v>
      </c>
      <c r="J2979" t="n">
        <v>0.1278914649482825</v>
      </c>
    </row>
    <row r="2980">
      <c r="A2980" t="inlineStr">
        <is>
          <t>G|FICO x ASSET_CLASS / SYS_FLAG|where Y|ranr_rate|book|3</t>
        </is>
      </c>
      <c r="C2980" t="n">
        <v>0.927450916</v>
      </c>
      <c r="E2980" t="n">
        <v>0.010036626</v>
      </c>
      <c r="G2980" t="n">
        <v>-0.698795922</v>
      </c>
      <c r="I2980" t="n">
        <v>-0.157974372</v>
      </c>
      <c r="J2980" t="n">
        <v>-0.009858469999999999</v>
      </c>
    </row>
    <row r="2981">
      <c r="A2981" t="inlineStr">
        <is>
          <t>G|FICO x ASSET_CLASS / SYS_FLAG|where Y|ranr_rate|band|3</t>
        </is>
      </c>
      <c r="C2981" t="n">
        <v>1.222257434</v>
      </c>
      <c r="E2981" t="n">
        <v>0.026413875</v>
      </c>
      <c r="G2981" t="n">
        <v>-0.944645665</v>
      </c>
      <c r="I2981" t="n">
        <v>-0.197325133</v>
      </c>
    </row>
    <row r="2982">
      <c r="A2982" t="inlineStr">
        <is>
          <t>G|FICO x ASSET_CLASS / SYS_FLAG|where Y|ranr_rate|rate|4</t>
        </is>
      </c>
      <c r="C2982" t="n">
        <v>0.09100720125843952</v>
      </c>
      <c r="E2982" t="n">
        <v>0.09760033895202101</v>
      </c>
      <c r="G2982" t="n">
        <v>0.08989942273379853</v>
      </c>
      <c r="I2982" t="n">
        <v>0.0761927270428582</v>
      </c>
      <c r="J2982" t="n">
        <v>0.0885296107794703</v>
      </c>
    </row>
    <row r="2983">
      <c r="A2983" t="inlineStr">
        <is>
          <t>G|FICO x ASSET_CLASS / SYS_FLAG|where Y|ranr_rate|book|4</t>
        </is>
      </c>
      <c r="C2983" t="n">
        <v>-3.698284839</v>
      </c>
      <c r="E2983" t="n">
        <v>-3.03897107</v>
      </c>
      <c r="G2983" t="n">
        <v>-3.809062691</v>
      </c>
      <c r="I2983" t="n">
        <v>-5.179732261</v>
      </c>
      <c r="J2983" t="n">
        <v>-3.946043887</v>
      </c>
    </row>
    <row r="2984">
      <c r="A2984" t="inlineStr">
        <is>
          <t>G|FICO x ASSET_CLASS / SYS_FLAG|where Y|ranr_rate|band|4</t>
        </is>
      </c>
      <c r="C2984" t="n">
        <v>0.322014526</v>
      </c>
      <c r="E2984" t="n">
        <v>1.252403262</v>
      </c>
      <c r="G2984" t="n">
        <v>0.175656857</v>
      </c>
      <c r="I2984" t="n">
        <v>-1.698106486</v>
      </c>
    </row>
    <row r="2985">
      <c r="A2985" t="inlineStr">
        <is>
          <t>G|FICO x ASSET_CLASS / SYS_FLAG|where Y|ranr_rate|rate|5</t>
        </is>
      </c>
      <c r="C2985" t="n">
        <v>0.04062459446519969</v>
      </c>
      <c r="E2985" t="n">
        <v>0.03068785019354794</v>
      </c>
      <c r="G2985" t="n">
        <v>0.04388813123858536</v>
      </c>
      <c r="I2985" t="n">
        <v>0.04565220580820405</v>
      </c>
      <c r="J2985" t="n">
        <v>0.03983403616126589</v>
      </c>
    </row>
    <row r="2986">
      <c r="A2986" t="inlineStr">
        <is>
          <t>G|FICO x ASSET_CLASS / SYS_FLAG|where Y|ranr_rate|book|5</t>
        </is>
      </c>
      <c r="C2986" t="n">
        <v>-8.736545518</v>
      </c>
      <c r="E2986" t="n">
        <v>-9.730219945</v>
      </c>
      <c r="G2986" t="n">
        <v>-8.410191841</v>
      </c>
      <c r="I2986" t="n">
        <v>-8.233784384</v>
      </c>
      <c r="J2986" t="n">
        <v>-8.815601349</v>
      </c>
    </row>
    <row r="2987">
      <c r="A2987" t="inlineStr">
        <is>
          <t>G|FICO x ASSET_CLASS / SYS_FLAG|where Y|ranr_rate|band|5</t>
        </is>
      </c>
      <c r="C2987" t="n">
        <v>0.107569916</v>
      </c>
      <c r="E2987" t="n">
        <v>-1.254374018</v>
      </c>
      <c r="G2987" t="n">
        <v>0.537000108</v>
      </c>
      <c r="I2987" t="n">
        <v>0.744984058</v>
      </c>
    </row>
    <row r="2988">
      <c r="A2988" t="inlineStr">
        <is>
          <t>G|FICO x ASSET_CLASS / SYS_FLAG|where Y|ranr_rate|rate|6</t>
        </is>
      </c>
      <c r="E2988" t="n">
        <v>0.140296941334961</v>
      </c>
      <c r="J2988" t="n">
        <v>0.140296941334961</v>
      </c>
    </row>
    <row r="2989">
      <c r="A2989" t="inlineStr">
        <is>
          <t>G|FICO x ASSET_CLASS / SYS_FLAG|where Y|ranr_rate|book|6</t>
        </is>
      </c>
      <c r="E2989" t="n">
        <v>1.230689169</v>
      </c>
      <c r="J2989" t="n">
        <v>1.230689169</v>
      </c>
    </row>
    <row r="2990">
      <c r="A2990" t="inlineStr">
        <is>
          <t>G|FICO x ASSET_CLASS / SYS_FLAG|where Y|ranr_rate|band|6</t>
        </is>
      </c>
    </row>
    <row r="2991">
      <c r="A2991" t="inlineStr">
        <is>
          <t>G|FICO x ASSET_CLASS / SYS_FLAG|where Y|ranr_rate|rate|7</t>
        </is>
      </c>
      <c r="C2991" t="n">
        <v>0.1721265348902237</v>
      </c>
      <c r="E2991" t="n">
        <v>0.08542287512955458</v>
      </c>
      <c r="G2991" t="n">
        <v>0.09236315750512079</v>
      </c>
      <c r="I2991" t="n">
        <v>0.1747242082274332</v>
      </c>
      <c r="J2991" t="n">
        <v>0.1255292967897276</v>
      </c>
    </row>
    <row r="2992">
      <c r="A2992" t="inlineStr">
        <is>
          <t>G|FICO x ASSET_CLASS / SYS_FLAG|where Y|ranr_rate|book|7</t>
        </is>
      </c>
      <c r="C2992" t="n">
        <v>4.413648524</v>
      </c>
      <c r="E2992" t="n">
        <v>-4.256717452</v>
      </c>
      <c r="G2992" t="n">
        <v>-3.562689214</v>
      </c>
      <c r="I2992" t="n">
        <v>4.673415858</v>
      </c>
      <c r="J2992" t="n">
        <v>-0.246075286</v>
      </c>
    </row>
    <row r="2993">
      <c r="A2993" t="inlineStr">
        <is>
          <t>G|FICO x ASSET_CLASS / SYS_FLAG|where Y|ranr_rate|band|7</t>
        </is>
      </c>
      <c r="C2993" t="n">
        <v>5.942634579</v>
      </c>
      <c r="E2993" t="n">
        <v>-5.248484951</v>
      </c>
      <c r="G2993" t="n">
        <v>-4.985719755</v>
      </c>
      <c r="I2993" t="n">
        <v>6.254856478</v>
      </c>
    </row>
    <row r="2994">
      <c r="A2994" t="inlineStr">
        <is>
          <t>G|FICO x ASSET_CLASS / SYS_FLAG|where Y|ranr_rate|rate|8</t>
        </is>
      </c>
      <c r="C2994" t="n">
        <v>0.1235529127423794</v>
      </c>
      <c r="E2994" t="n">
        <v>0.1188036462606205</v>
      </c>
      <c r="G2994" t="n">
        <v>0.1139107040211186</v>
      </c>
      <c r="I2994" t="n">
        <v>0.09945745884195699</v>
      </c>
      <c r="J2994" t="n">
        <v>0.1139361498721039</v>
      </c>
    </row>
    <row r="2995">
      <c r="A2995" t="inlineStr">
        <is>
          <t>G|FICO x ASSET_CLASS / SYS_FLAG|where Y|ranr_rate|book|8</t>
        </is>
      </c>
      <c r="C2995" t="n">
        <v>-0.443713691</v>
      </c>
      <c r="E2995" t="n">
        <v>-0.918640339</v>
      </c>
      <c r="G2995" t="n">
        <v>-1.407934563</v>
      </c>
      <c r="I2995" t="n">
        <v>-2.853259081</v>
      </c>
      <c r="J2995" t="n">
        <v>-1.405389978</v>
      </c>
    </row>
    <row r="2996">
      <c r="A2996" t="inlineStr">
        <is>
          <t>G|FICO x ASSET_CLASS / SYS_FLAG|where Y|ranr_rate|band|8</t>
        </is>
      </c>
    </row>
    <row r="2997">
      <c r="A2997" t="inlineStr">
        <is>
          <t>G|FICO x ASSET_CLASS / SYS_FLAG|where Y|ranr_rate|meta</t>
        </is>
      </c>
      <c r="B2997" t="inlineStr">
        <is>
          <t>pts</t>
        </is>
      </c>
      <c r="C2997" t="n">
        <v>9.730219945</v>
      </c>
      <c r="D2997" t="n">
        <v>10</v>
      </c>
      <c r="E2997" t="n">
        <v>0.1279900496481481</v>
      </c>
      <c r="F2997" t="n">
        <v>65</v>
      </c>
    </row>
    <row r="2998">
      <c r="A2998" t="inlineStr">
        <is>
          <t>G|FICO x ASSET_CLASS / SYS_FLAG|where Y|contribution_rate|rate|1</t>
        </is>
      </c>
      <c r="C2998" t="n">
        <v>0.280943171065426</v>
      </c>
      <c r="E2998" t="n">
        <v>0.2565564236289755</v>
      </c>
      <c r="G2998" t="n">
        <v>0.2796604277488262</v>
      </c>
      <c r="I2998" t="n">
        <v>0.2734514632007779</v>
      </c>
      <c r="J2998" t="n">
        <v>0.2723419511850693</v>
      </c>
    </row>
    <row r="2999">
      <c r="A2999" t="inlineStr">
        <is>
          <t>G|FICO x ASSET_CLASS / SYS_FLAG|where Y|contribution_rate|book|1</t>
        </is>
      </c>
      <c r="C2999" t="n">
        <v>11.135071533</v>
      </c>
      <c r="E2999" t="n">
        <v>8.696396789</v>
      </c>
      <c r="G2999" t="n">
        <v>11.006797201</v>
      </c>
      <c r="I2999" t="n">
        <v>10.385900747</v>
      </c>
      <c r="J2999" t="n">
        <v>10.274949545</v>
      </c>
    </row>
    <row r="3000">
      <c r="A3000" t="inlineStr">
        <is>
          <t>G|FICO x ASSET_CLASS / SYS_FLAG|where Y|contribution_rate|band|1</t>
        </is>
      </c>
      <c r="C3000" t="n">
        <v>1.167432625</v>
      </c>
      <c r="E3000" t="n">
        <v>-2.150942058</v>
      </c>
      <c r="G3000" t="n">
        <v>0.947734177</v>
      </c>
      <c r="I3000" t="n">
        <v>0.146539964</v>
      </c>
    </row>
    <row r="3001">
      <c r="A3001" t="inlineStr">
        <is>
          <t>G|FICO x ASSET_CLASS / SYS_FLAG|where Y|contribution_rate|rate|2</t>
        </is>
      </c>
      <c r="C3001" t="n">
        <v>0.2211349654767817</v>
      </c>
      <c r="E3001" t="n">
        <v>0.2059532822004514</v>
      </c>
      <c r="G3001" t="n">
        <v>0.1956946517050188</v>
      </c>
      <c r="I3001" t="n">
        <v>0.2021417428139917</v>
      </c>
      <c r="J3001" t="n">
        <v>0.20605785453381</v>
      </c>
    </row>
    <row r="3002">
      <c r="A3002" t="inlineStr">
        <is>
          <t>G|FICO x ASSET_CLASS / SYS_FLAG|where Y|contribution_rate|book|2</t>
        </is>
      </c>
      <c r="C3002" t="n">
        <v>5.154250974</v>
      </c>
      <c r="E3002" t="n">
        <v>3.636082647</v>
      </c>
      <c r="G3002" t="n">
        <v>2.610219597</v>
      </c>
      <c r="I3002" t="n">
        <v>3.254928708</v>
      </c>
      <c r="J3002" t="n">
        <v>3.64653988</v>
      </c>
    </row>
    <row r="3003">
      <c r="A3003" t="inlineStr">
        <is>
          <t>G|FICO x ASSET_CLASS / SYS_FLAG|where Y|contribution_rate|band|2</t>
        </is>
      </c>
      <c r="C3003" t="n">
        <v>2.010517498</v>
      </c>
      <c r="E3003" t="n">
        <v>-0.013427007</v>
      </c>
      <c r="G3003" t="n">
        <v>-1.40062527</v>
      </c>
      <c r="I3003" t="n">
        <v>-0.535449621</v>
      </c>
    </row>
    <row r="3004">
      <c r="A3004" t="inlineStr">
        <is>
          <t>G|FICO x ASSET_CLASS / SYS_FLAG|where Y|contribution_rate|rate|3</t>
        </is>
      </c>
      <c r="C3004" t="n">
        <v>0.1744459146670386</v>
      </c>
      <c r="E3004" t="n">
        <v>0.1588181499904109</v>
      </c>
      <c r="G3004" t="n">
        <v>0.1647825844701854</v>
      </c>
      <c r="I3004" t="n">
        <v>0.1723016095100228</v>
      </c>
      <c r="J3004" t="n">
        <v>0.1674385420949962</v>
      </c>
    </row>
    <row r="3005">
      <c r="A3005" t="inlineStr">
        <is>
          <t>G|FICO x ASSET_CLASS / SYS_FLAG|where Y|contribution_rate|book|3</t>
        </is>
      </c>
      <c r="C3005" t="n">
        <v>0.485345893</v>
      </c>
      <c r="E3005" t="n">
        <v>-1.077430574</v>
      </c>
      <c r="G3005" t="n">
        <v>-0.480987126</v>
      </c>
      <c r="I3005" t="n">
        <v>0.270915378</v>
      </c>
      <c r="J3005" t="n">
        <v>-0.215391364</v>
      </c>
    </row>
    <row r="3006">
      <c r="A3006" t="inlineStr">
        <is>
          <t>G|FICO x ASSET_CLASS / SYS_FLAG|where Y|contribution_rate|band|3</t>
        </is>
      </c>
      <c r="C3006" t="n">
        <v>0.913765865</v>
      </c>
      <c r="E3006" t="n">
        <v>-1.144492893</v>
      </c>
      <c r="G3006" t="n">
        <v>-0.364175129</v>
      </c>
      <c r="I3006" t="n">
        <v>0.647874677</v>
      </c>
    </row>
    <row r="3007">
      <c r="A3007" t="inlineStr">
        <is>
          <t>G|FICO x ASSET_CLASS / SYS_FLAG|where Y|contribution_rate|rate|4</t>
        </is>
      </c>
      <c r="C3007" t="n">
        <v>0.1220563186367403</v>
      </c>
      <c r="E3007" t="n">
        <v>0.1270403910535447</v>
      </c>
      <c r="G3007" t="n">
        <v>0.1198317695591671</v>
      </c>
      <c r="I3007" t="n">
        <v>0.1424312873746464</v>
      </c>
      <c r="J3007" t="n">
        <v>0.1285131884876646</v>
      </c>
    </row>
    <row r="3008">
      <c r="A3008" t="inlineStr">
        <is>
          <t>G|FICO x ASSET_CLASS / SYS_FLAG|where Y|contribution_rate|book|4</t>
        </is>
      </c>
      <c r="C3008" t="n">
        <v>-4.75361371</v>
      </c>
      <c r="E3008" t="n">
        <v>-4.255206468</v>
      </c>
      <c r="G3008" t="n">
        <v>-4.976068618</v>
      </c>
      <c r="I3008" t="n">
        <v>-2.716116836</v>
      </c>
      <c r="J3008" t="n">
        <v>-4.107926725</v>
      </c>
    </row>
    <row r="3009">
      <c r="A3009" t="inlineStr">
        <is>
          <t>G|FICO x ASSET_CLASS / SYS_FLAG|where Y|contribution_rate|band|4</t>
        </is>
      </c>
      <c r="C3009" t="n">
        <v>-0.839204824</v>
      </c>
      <c r="E3009" t="n">
        <v>-0.203350412</v>
      </c>
      <c r="G3009" t="n">
        <v>-1.113255555</v>
      </c>
      <c r="I3009" t="n">
        <v>1.915752348</v>
      </c>
    </row>
    <row r="3010">
      <c r="A3010" t="inlineStr">
        <is>
          <t>G|FICO x ASSET_CLASS / SYS_FLAG|where Y|contribution_rate|rate|5</t>
        </is>
      </c>
      <c r="C3010" t="n">
        <v>0.0660337099060927</v>
      </c>
      <c r="E3010" t="n">
        <v>0.06099902320296288</v>
      </c>
      <c r="G3010" t="n">
        <v>0.06824428977710294</v>
      </c>
      <c r="I3010" t="n">
        <v>0.06558416061033709</v>
      </c>
      <c r="J3010" t="n">
        <v>0.06511326866806837</v>
      </c>
    </row>
    <row r="3011">
      <c r="A3011" t="inlineStr">
        <is>
          <t>G|FICO x ASSET_CLASS / SYS_FLAG|where Y|contribution_rate|book|5</t>
        </is>
      </c>
      <c r="C3011" t="n">
        <v>-10.355874583</v>
      </c>
      <c r="E3011" t="n">
        <v>-10.859343253</v>
      </c>
      <c r="G3011" t="n">
        <v>-10.134816596</v>
      </c>
      <c r="I3011" t="n">
        <v>-10.400829512</v>
      </c>
      <c r="J3011" t="n">
        <v>-10.447918707</v>
      </c>
    </row>
    <row r="3012">
      <c r="A3012" t="inlineStr">
        <is>
          <t>G|FICO x ASSET_CLASS / SYS_FLAG|where Y|contribution_rate|band|5</t>
        </is>
      </c>
      <c r="C3012" t="n">
        <v>0.125242864</v>
      </c>
      <c r="E3012" t="n">
        <v>-0.564257346</v>
      </c>
      <c r="G3012" t="n">
        <v>0.414730943</v>
      </c>
      <c r="I3012" t="n">
        <v>0.060295078</v>
      </c>
    </row>
    <row r="3013">
      <c r="A3013" t="inlineStr">
        <is>
          <t>G|FICO x ASSET_CLASS / SYS_FLAG|where Y|contribution_rate|rate|6</t>
        </is>
      </c>
      <c r="E3013" t="n">
        <v>0.140296941334961</v>
      </c>
      <c r="J3013" t="n">
        <v>0.140296941334961</v>
      </c>
    </row>
    <row r="3014">
      <c r="A3014" t="inlineStr">
        <is>
          <t>G|FICO x ASSET_CLASS / SYS_FLAG|where Y|contribution_rate|book|6</t>
        </is>
      </c>
      <c r="E3014" t="n">
        <v>-2.92955144</v>
      </c>
      <c r="J3014" t="n">
        <v>-2.92955144</v>
      </c>
    </row>
    <row r="3015">
      <c r="A3015" t="inlineStr">
        <is>
          <t>G|FICO x ASSET_CLASS / SYS_FLAG|where Y|contribution_rate|band|6</t>
        </is>
      </c>
    </row>
    <row r="3016">
      <c r="A3016" t="inlineStr">
        <is>
          <t>G|FICO x ASSET_CLASS / SYS_FLAG|where Y|contribution_rate|rate|7</t>
        </is>
      </c>
      <c r="C3016" t="n">
        <v>0.1840430548606989</v>
      </c>
      <c r="E3016" t="n">
        <v>0.178245380383972</v>
      </c>
      <c r="G3016" t="n">
        <v>0.1368631575911131</v>
      </c>
      <c r="I3016" t="n">
        <v>0.2043912281155629</v>
      </c>
      <c r="J3016" t="n">
        <v>0.1712251117699985</v>
      </c>
    </row>
    <row r="3017">
      <c r="A3017" t="inlineStr">
        <is>
          <t>G|FICO x ASSET_CLASS / SYS_FLAG|where Y|contribution_rate|book|7</t>
        </is>
      </c>
      <c r="C3017" t="n">
        <v>1.445059913</v>
      </c>
      <c r="E3017" t="n">
        <v>0.865292465</v>
      </c>
      <c r="G3017" t="n">
        <v>-3.272929814</v>
      </c>
      <c r="I3017" t="n">
        <v>3.479877238</v>
      </c>
      <c r="J3017" t="n">
        <v>0.163265604</v>
      </c>
    </row>
    <row r="3018">
      <c r="A3018" t="inlineStr">
        <is>
          <t>G|FICO x ASSET_CLASS / SYS_FLAG|where Y|contribution_rate|band|7</t>
        </is>
      </c>
      <c r="C3018" t="n">
        <v>1.634696711</v>
      </c>
      <c r="E3018" t="n">
        <v>0.918700114</v>
      </c>
      <c r="G3018" t="n">
        <v>-5.165481345</v>
      </c>
      <c r="I3018" t="n">
        <v>4.216885275</v>
      </c>
    </row>
    <row r="3019">
      <c r="A3019" t="inlineStr">
        <is>
          <t>G|FICO x ASSET_CLASS / SYS_FLAG|where Y|contribution_rate|rate|8</t>
        </is>
      </c>
      <c r="C3019" t="n">
        <v>0.1746105286323749</v>
      </c>
      <c r="E3019" t="n">
        <v>0.1608585159559364</v>
      </c>
      <c r="G3019" t="n">
        <v>0.1652986533572751</v>
      </c>
      <c r="I3019" t="n">
        <v>0.1744144949802069</v>
      </c>
      <c r="J3019" t="n">
        <v>0.1687466975246472</v>
      </c>
    </row>
    <row r="3020">
      <c r="A3020" t="inlineStr">
        <is>
          <t>G|FICO x ASSET_CLASS / SYS_FLAG|where Y|contribution_rate|book|8</t>
        </is>
      </c>
      <c r="C3020" t="n">
        <v>0.50180729</v>
      </c>
      <c r="E3020" t="n">
        <v>-0.873393978</v>
      </c>
      <c r="G3020" t="n">
        <v>-0.429380238</v>
      </c>
      <c r="I3020" t="n">
        <v>0.482203925</v>
      </c>
      <c r="J3020" t="n">
        <v>-0.084575821</v>
      </c>
    </row>
    <row r="3021">
      <c r="A3021" t="inlineStr">
        <is>
          <t>G|FICO x ASSET_CLASS / SYS_FLAG|where Y|contribution_rate|band|8</t>
        </is>
      </c>
    </row>
    <row r="3022">
      <c r="A3022" t="inlineStr">
        <is>
          <t>G|FICO x ASSET_CLASS / SYS_FLAG|where Y|contribution_rate|meta</t>
        </is>
      </c>
      <c r="B3022" t="inlineStr">
        <is>
          <t>pts</t>
        </is>
      </c>
      <c r="C3022" t="n">
        <v>11.135071533</v>
      </c>
      <c r="D3022" t="n">
        <v>10</v>
      </c>
      <c r="E3022" t="n">
        <v>0.1695924557349815</v>
      </c>
      <c r="F3022" t="n">
        <v>65</v>
      </c>
    </row>
    <row r="3023">
      <c r="A3023" t="inlineStr">
        <is>
          <t>G|FICO x ASSET_CLASS / SYS_FLAG|where Y|loan_size|rate|1</t>
        </is>
      </c>
      <c r="C3023" t="n">
        <v>33538.14112903226</v>
      </c>
      <c r="E3023" t="n">
        <v>34840.98198895028</v>
      </c>
      <c r="G3023" t="n">
        <v>32518.99102409638</v>
      </c>
      <c r="I3023" t="n">
        <v>30450.97222222222</v>
      </c>
      <c r="J3023" t="n">
        <v>32822.29674515236</v>
      </c>
    </row>
    <row r="3024">
      <c r="A3024" t="inlineStr">
        <is>
          <t>G|FICO x ASSET_CLASS / SYS_FLAG|where Y|loan_size|median|1</t>
        </is>
      </c>
      <c r="C3024" t="n">
        <v>34434.94</v>
      </c>
      <c r="E3024" t="n">
        <v>36473.8</v>
      </c>
      <c r="G3024" t="n">
        <v>31368.665</v>
      </c>
      <c r="I3024" t="n">
        <v>30177.78</v>
      </c>
      <c r="J3024" t="n">
        <v>33096.61500000001</v>
      </c>
    </row>
    <row r="3025">
      <c r="A3025" t="inlineStr">
        <is>
          <t>G|FICO x ASSET_CLASS / SYS_FLAG|where Y|loan_size|book|1</t>
        </is>
      </c>
      <c r="C3025" t="n">
        <v>1.03953658425929</v>
      </c>
      <c r="E3025" t="n">
        <v>1.07991898745039</v>
      </c>
      <c r="G3025" t="n">
        <v>1.007947361265191</v>
      </c>
      <c r="I3025" t="n">
        <v>0.9438477681120306</v>
      </c>
      <c r="J3025" t="n">
        <v>1.017348520143967</v>
      </c>
    </row>
    <row r="3026">
      <c r="A3026" t="inlineStr">
        <is>
          <t>G|FICO x ASSET_CLASS / SYS_FLAG|where Y|loan_size|band|1</t>
        </is>
      </c>
      <c r="C3026" t="n">
        <v>1.029602025633645</v>
      </c>
      <c r="E3026" t="n">
        <v>1.083804869009516</v>
      </c>
      <c r="G3026" t="n">
        <v>0.9880332149380221</v>
      </c>
      <c r="I3026" t="n">
        <v>0.9045785318089634</v>
      </c>
    </row>
    <row r="3027">
      <c r="A3027" t="inlineStr">
        <is>
          <t>G|FICO x ASSET_CLASS / SYS_FLAG|where Y|loan_size|rate|2</t>
        </is>
      </c>
      <c r="C3027" t="n">
        <v>30901.37668449198</v>
      </c>
      <c r="E3027" t="n">
        <v>31353.28147239264</v>
      </c>
      <c r="G3027" t="n">
        <v>31139.55067357513</v>
      </c>
      <c r="I3027" t="n">
        <v>32497.46617801047</v>
      </c>
      <c r="J3027" t="n">
        <v>31479.68888283379</v>
      </c>
    </row>
    <row r="3028">
      <c r="A3028" t="inlineStr">
        <is>
          <t>G|FICO x ASSET_CLASS / SYS_FLAG|where Y|loan_size|median|2</t>
        </is>
      </c>
      <c r="C3028" t="n">
        <v>30643.61</v>
      </c>
      <c r="E3028" t="n">
        <v>30875.06</v>
      </c>
      <c r="G3028" t="n">
        <v>33777.04</v>
      </c>
      <c r="I3028" t="n">
        <v>32424.21</v>
      </c>
      <c r="J3028" t="n">
        <v>31595.505</v>
      </c>
    </row>
    <row r="3029">
      <c r="A3029" t="inlineStr">
        <is>
          <t>G|FICO x ASSET_CLASS / SYS_FLAG|where Y|loan_size|book|2</t>
        </is>
      </c>
      <c r="C3029" t="n">
        <v>0.9578083485282702</v>
      </c>
      <c r="E3029" t="n">
        <v>0.9718154325171324</v>
      </c>
      <c r="G3029" t="n">
        <v>0.9651907068443839</v>
      </c>
      <c r="I3029" t="n">
        <v>1.007280184605317</v>
      </c>
      <c r="J3029" t="n">
        <v>0.9757335127461318</v>
      </c>
    </row>
    <row r="3030">
      <c r="A3030" t="inlineStr">
        <is>
          <t>G|FICO x ASSET_CLASS / SYS_FLAG|where Y|loan_size|band|2</t>
        </is>
      </c>
      <c r="C3030" t="n">
        <v>0.9755025066646307</v>
      </c>
      <c r="E3030" t="n">
        <v>0.9948440996688106</v>
      </c>
      <c r="G3030" t="n">
        <v>0.9853966347094685</v>
      </c>
      <c r="I3030" t="n">
        <v>1.044206473320924</v>
      </c>
    </row>
    <row r="3031">
      <c r="A3031" t="inlineStr">
        <is>
          <t>G|FICO x ASSET_CLASS / SYS_FLAG|where Y|loan_size|rate|3</t>
        </is>
      </c>
      <c r="C3031" t="n">
        <v>33398.38520958084</v>
      </c>
      <c r="E3031" t="n">
        <v>32985.27067039106</v>
      </c>
      <c r="G3031" t="n">
        <v>33041.41306122449</v>
      </c>
      <c r="I3031" t="n">
        <v>34687.63302325581</v>
      </c>
      <c r="J3031" t="n">
        <v>33507.40002801121</v>
      </c>
    </row>
    <row r="3032">
      <c r="A3032" t="inlineStr">
        <is>
          <t>G|FICO x ASSET_CLASS / SYS_FLAG|where Y|loan_size|median|3</t>
        </is>
      </c>
      <c r="C3032" t="n">
        <v>34707.1</v>
      </c>
      <c r="E3032" t="n">
        <v>34772.23</v>
      </c>
      <c r="G3032" t="n">
        <v>33538.355</v>
      </c>
      <c r="I3032" t="n">
        <v>37858.72</v>
      </c>
      <c r="J3032" t="n">
        <v>34821.65</v>
      </c>
    </row>
    <row r="3033">
      <c r="A3033" t="inlineStr">
        <is>
          <t>G|FICO x ASSET_CLASS / SYS_FLAG|where Y|loan_size|book|3</t>
        </is>
      </c>
      <c r="C3033" t="n">
        <v>1.035204758277116</v>
      </c>
      <c r="E3033" t="n">
        <v>1.02240000337657</v>
      </c>
      <c r="G3033" t="n">
        <v>1.024140173440695</v>
      </c>
      <c r="I3033" t="n">
        <v>1.075165836123833</v>
      </c>
      <c r="J3033" t="n">
        <v>1.038583743759607</v>
      </c>
    </row>
    <row r="3034">
      <c r="A3034" t="inlineStr">
        <is>
          <t>G|FICO x ASSET_CLASS / SYS_FLAG|where Y|loan_size|band|3</t>
        </is>
      </c>
      <c r="C3034" t="n">
        <v>0.9957574738631436</v>
      </c>
      <c r="E3034" t="n">
        <v>0.9793117639909731</v>
      </c>
      <c r="G3034" t="n">
        <v>0.9809312519321322</v>
      </c>
      <c r="I3034" t="n">
        <v>1.046925373350381</v>
      </c>
    </row>
    <row r="3035">
      <c r="A3035" t="inlineStr">
        <is>
          <t>G|FICO x ASSET_CLASS / SYS_FLAG|where Y|loan_size|rate|4</t>
        </is>
      </c>
      <c r="C3035" t="n">
        <v>32448.43700598802</v>
      </c>
      <c r="E3035" t="n">
        <v>35407.62584699454</v>
      </c>
      <c r="G3035" t="n">
        <v>30615.62727810651</v>
      </c>
      <c r="I3035" t="n">
        <v>31047.81927536232</v>
      </c>
      <c r="J3035" t="n">
        <v>32368.35276859504</v>
      </c>
    </row>
    <row r="3036">
      <c r="A3036" t="inlineStr">
        <is>
          <t>G|FICO x ASSET_CLASS / SYS_FLAG|where Y|loan_size|median|4</t>
        </is>
      </c>
      <c r="C3036" t="n">
        <v>32225.4</v>
      </c>
      <c r="E3036" t="n">
        <v>37736.99</v>
      </c>
      <c r="G3036" t="n">
        <v>31284.93</v>
      </c>
      <c r="I3036" t="n">
        <v>29755.38</v>
      </c>
      <c r="J3036" t="n">
        <v>32576.985</v>
      </c>
    </row>
    <row r="3037">
      <c r="A3037" t="inlineStr">
        <is>
          <t>G|FICO x ASSET_CLASS / SYS_FLAG|where Y|loan_size|book|4</t>
        </is>
      </c>
      <c r="C3037" t="n">
        <v>1.005760493403077</v>
      </c>
      <c r="E3037" t="n">
        <v>1.097482483841457</v>
      </c>
      <c r="G3037" t="n">
        <v>0.9489513590867494</v>
      </c>
      <c r="I3037" t="n">
        <v>0.9623474322573816</v>
      </c>
      <c r="J3037" t="n">
        <v>1.003278230171128</v>
      </c>
    </row>
    <row r="3038">
      <c r="A3038" t="inlineStr">
        <is>
          <t>G|FICO x ASSET_CLASS / SYS_FLAG|where Y|loan_size|band|4</t>
        </is>
      </c>
      <c r="C3038" t="n">
        <v>1.003215676744591</v>
      </c>
      <c r="E3038" t="n">
        <v>1.129643623879439</v>
      </c>
      <c r="G3038" t="n">
        <v>0.9305619588332275</v>
      </c>
      <c r="I3038" t="n">
        <v>0.943845020763691</v>
      </c>
    </row>
    <row r="3039">
      <c r="A3039" t="inlineStr">
        <is>
          <t>G|FICO x ASSET_CLASS / SYS_FLAG|where Y|loan_size|rate|5</t>
        </is>
      </c>
      <c r="C3039" t="n">
        <v>32784.07169398907</v>
      </c>
      <c r="E3039" t="n">
        <v>34057.45611111111</v>
      </c>
      <c r="G3039" t="n">
        <v>31874.73706896552</v>
      </c>
      <c r="I3039" t="n">
        <v>30226.44798780488</v>
      </c>
      <c r="J3039" t="n">
        <v>32286.97423680457</v>
      </c>
    </row>
    <row r="3040">
      <c r="A3040" t="inlineStr">
        <is>
          <t>G|FICO x ASSET_CLASS / SYS_FLAG|where Y|loan_size|median|5</t>
        </is>
      </c>
      <c r="C3040" t="n">
        <v>33431.25</v>
      </c>
      <c r="E3040" t="n">
        <v>34205.94</v>
      </c>
      <c r="G3040" t="n">
        <v>30448.165</v>
      </c>
      <c r="I3040" t="n">
        <v>30033.935</v>
      </c>
      <c r="J3040" t="n">
        <v>32112.83</v>
      </c>
    </row>
    <row r="3041">
      <c r="A3041" t="inlineStr">
        <is>
          <t>G|FICO x ASSET_CLASS / SYS_FLAG|where Y|loan_size|book|5</t>
        </is>
      </c>
      <c r="C3041" t="n">
        <v>1.016163709722705</v>
      </c>
      <c r="E3041" t="n">
        <v>1.055633091234675</v>
      </c>
      <c r="G3041" t="n">
        <v>0.9879782892365532</v>
      </c>
      <c r="I3041" t="n">
        <v>0.9368884928548937</v>
      </c>
      <c r="J3041" t="n">
        <v>1.000755849439172</v>
      </c>
    </row>
    <row r="3042">
      <c r="A3042" t="inlineStr">
        <is>
          <t>G|FICO x ASSET_CLASS / SYS_FLAG|where Y|loan_size|band|5</t>
        </is>
      </c>
      <c r="C3042" t="n">
        <v>1.020949377255046</v>
      </c>
      <c r="E3042" t="n">
        <v>1.075205769649152</v>
      </c>
      <c r="G3042" t="n">
        <v>0.9830877947079568</v>
      </c>
      <c r="I3042" t="n">
        <v>0.9182831902624587</v>
      </c>
    </row>
    <row r="3043">
      <c r="A3043" t="inlineStr">
        <is>
          <t>G|FICO x ASSET_CLASS / SYS_FLAG|where Y|loan_size|rate|6</t>
        </is>
      </c>
      <c r="E3043" t="n">
        <v>27999.47</v>
      </c>
      <c r="J3043" t="n">
        <v>27999.47</v>
      </c>
    </row>
    <row r="3044">
      <c r="A3044" t="inlineStr">
        <is>
          <t>G|FICO x ASSET_CLASS / SYS_FLAG|where Y|loan_size|median|6</t>
        </is>
      </c>
      <c r="E3044" t="n">
        <v>27999.47</v>
      </c>
      <c r="J3044" t="n">
        <v>27999.47</v>
      </c>
    </row>
    <row r="3045">
      <c r="A3045" t="inlineStr">
        <is>
          <t>G|FICO x ASSET_CLASS / SYS_FLAG|where Y|loan_size|book|6</t>
        </is>
      </c>
      <c r="E3045" t="n">
        <v>0.8678618559355534</v>
      </c>
      <c r="J3045" t="n">
        <v>0.8678618559355534</v>
      </c>
    </row>
    <row r="3046">
      <c r="A3046" t="inlineStr">
        <is>
          <t>G|FICO x ASSET_CLASS / SYS_FLAG|where Y|loan_size|band|6</t>
        </is>
      </c>
    </row>
    <row r="3047">
      <c r="A3047" t="inlineStr">
        <is>
          <t>G|FICO x ASSET_CLASS / SYS_FLAG|where Y|loan_size|rate|7</t>
        </is>
      </c>
      <c r="C3047" t="n">
        <v>34995.228</v>
      </c>
      <c r="E3047" t="n">
        <v>31859.70055555556</v>
      </c>
      <c r="G3047" t="n">
        <v>37001.21545454545</v>
      </c>
      <c r="I3047" t="n">
        <v>30536.30529411765</v>
      </c>
      <c r="J3047" t="n">
        <v>33771.48555555556</v>
      </c>
    </row>
    <row r="3048">
      <c r="A3048" t="inlineStr">
        <is>
          <t>G|FICO x ASSET_CLASS / SYS_FLAG|where Y|loan_size|median|7</t>
        </is>
      </c>
      <c r="C3048" t="n">
        <v>36279.01</v>
      </c>
      <c r="E3048" t="n">
        <v>30762.21</v>
      </c>
      <c r="G3048" t="n">
        <v>39658.815</v>
      </c>
      <c r="I3048" t="n">
        <v>30017.95</v>
      </c>
      <c r="J3048" t="n">
        <v>35774.8</v>
      </c>
    </row>
    <row r="3049">
      <c r="A3049" t="inlineStr">
        <is>
          <t>G|FICO x ASSET_CLASS / SYS_FLAG|where Y|loan_size|book|7</t>
        </is>
      </c>
      <c r="C3049" t="n">
        <v>1.084699943283492</v>
      </c>
      <c r="E3049" t="n">
        <v>0.987512222684766</v>
      </c>
      <c r="G3049" t="n">
        <v>1.146876834320546</v>
      </c>
      <c r="I3049" t="n">
        <v>0.9464927223968027</v>
      </c>
      <c r="J3049" t="n">
        <v>1.04676924713022</v>
      </c>
    </row>
    <row r="3050">
      <c r="A3050" t="inlineStr">
        <is>
          <t>G|FICO x ASSET_CLASS / SYS_FLAG|where Y|loan_size|band|7</t>
        </is>
      </c>
      <c r="C3050" t="n">
        <v>1.046212419606494</v>
      </c>
      <c r="E3050" t="n">
        <v>0.9259186435878022</v>
      </c>
      <c r="G3050" t="n">
        <v>1.143763614112516</v>
      </c>
      <c r="I3050" t="n">
        <v>0.8782005057244379</v>
      </c>
    </row>
    <row r="3051">
      <c r="A3051" t="inlineStr">
        <is>
          <t>G|FICO x ASSET_CLASS / SYS_FLAG|where Y|loan_size|rate|8</t>
        </is>
      </c>
      <c r="C3051" t="n">
        <v>32638.1044640884</v>
      </c>
      <c r="E3051" t="n">
        <v>33737.65500552487</v>
      </c>
      <c r="G3051" t="n">
        <v>31976.60298913044</v>
      </c>
      <c r="I3051" t="n">
        <v>31735.82544680851</v>
      </c>
      <c r="J3051" t="n">
        <v>32512.31961580381</v>
      </c>
    </row>
    <row r="3052">
      <c r="A3052" t="inlineStr">
        <is>
          <t>G|FICO x ASSET_CLASS / SYS_FLAG|where Y|loan_size|median|8</t>
        </is>
      </c>
      <c r="C3052" t="n">
        <v>32843.59</v>
      </c>
      <c r="E3052" t="n">
        <v>34831.73</v>
      </c>
      <c r="G3052" t="n">
        <v>32062.34</v>
      </c>
      <c r="I3052" t="n">
        <v>31537.565</v>
      </c>
      <c r="J3052" t="n">
        <v>32864.335</v>
      </c>
    </row>
    <row r="3053">
      <c r="A3053" t="inlineStr">
        <is>
          <t>G|FICO x ASSET_CLASS / SYS_FLAG|where Y|loan_size|book|8</t>
        </is>
      </c>
      <c r="C3053" t="n">
        <v>1.011639360117253</v>
      </c>
      <c r="E3053" t="n">
        <v>1.045720647141114</v>
      </c>
      <c r="G3053" t="n">
        <v>0.9911356899491706</v>
      </c>
      <c r="I3053" t="n">
        <v>0.9836726328003351</v>
      </c>
      <c r="J3053" t="n">
        <v>1.007740576608821</v>
      </c>
    </row>
    <row r="3054">
      <c r="A3054" t="inlineStr">
        <is>
          <t>G|FICO x ASSET_CLASS / SYS_FLAG|where Y|loan_size|band|8</t>
        </is>
      </c>
    </row>
    <row r="3055">
      <c r="A3055" t="inlineStr">
        <is>
          <t>G|FICO x ASSET_CLASS / SYS_FLAG|where Y|loan_size|meta</t>
        </is>
      </c>
      <c r="B3055" t="inlineStr">
        <is>
          <t>size</t>
        </is>
      </c>
      <c r="C3055" t="n">
        <v>1</v>
      </c>
      <c r="E3055" t="n">
        <v>32262.58857732217</v>
      </c>
      <c r="F3055" t="n">
        <v>65</v>
      </c>
    </row>
    <row r="3056">
      <c r="A3056" t="inlineStr">
        <is>
          <t>G|ORIG_BAL x CHANNEL / SYS_FLAG|cols</t>
        </is>
      </c>
      <c r="B3056" t="inlineStr">
        <is>
          <t>Branch · N</t>
        </is>
      </c>
      <c r="C3056" t="inlineStr">
        <is>
          <t>Branch · Y</t>
        </is>
      </c>
      <c r="D3056" t="inlineStr">
        <is>
          <t>Broker · N</t>
        </is>
      </c>
      <c r="E3056" t="inlineStr">
        <is>
          <t>Broker · Y</t>
        </is>
      </c>
      <c r="F3056" t="inlineStr">
        <is>
          <t>Online · N</t>
        </is>
      </c>
      <c r="G3056" t="inlineStr">
        <is>
          <t>Online · Y</t>
        </is>
      </c>
      <c r="H3056" t="inlineStr">
        <is>
          <t>All</t>
        </is>
      </c>
    </row>
    <row r="3057">
      <c r="A3057" t="inlineStr">
        <is>
          <t>G|ORIG_BAL x CHANNEL / SYS_FLAG|heads</t>
        </is>
      </c>
      <c r="B3057" t="inlineStr">
        <is>
          <t>N</t>
        </is>
      </c>
      <c r="C3057" t="inlineStr">
        <is>
          <t>Y</t>
        </is>
      </c>
      <c r="D3057" t="inlineStr">
        <is>
          <t>N</t>
        </is>
      </c>
      <c r="E3057" t="inlineStr">
        <is>
          <t>Y</t>
        </is>
      </c>
      <c r="F3057" t="inlineStr">
        <is>
          <t>N</t>
        </is>
      </c>
      <c r="G3057" t="inlineStr">
        <is>
          <t>Y</t>
        </is>
      </c>
      <c r="H3057" t="inlineStr">
        <is>
          <t>All</t>
        </is>
      </c>
    </row>
    <row r="3058">
      <c r="A3058" t="inlineStr">
        <is>
          <t>G|ORIG_BAL x CHANNEL / SYS_FLAG|segs</t>
        </is>
      </c>
      <c r="B3058" t="inlineStr">
        <is>
          <t>Branch</t>
        </is>
      </c>
      <c r="C3058" t="inlineStr">
        <is>
          <t>Broker</t>
        </is>
      </c>
      <c r="D3058" t="inlineStr">
        <is>
          <t>Online</t>
        </is>
      </c>
    </row>
    <row r="3059">
      <c r="A3059" t="inlineStr">
        <is>
          <t>G|ORIG_BAL x CHANNEL / SYS_FLAG|rows</t>
        </is>
      </c>
      <c r="B3059" t="inlineStr">
        <is>
          <t>5,005 - 15,448</t>
        </is>
      </c>
      <c r="C3059" t="inlineStr">
        <is>
          <t>15,449 - 26,323</t>
        </is>
      </c>
      <c r="D3059" t="inlineStr">
        <is>
          <t>26,324 - 37,950</t>
        </is>
      </c>
      <c r="E3059" t="inlineStr">
        <is>
          <t>37,951 - 49,151</t>
        </is>
      </c>
      <c r="F3059" t="inlineStr">
        <is>
          <t>49,152 - 59,984</t>
        </is>
      </c>
      <c r="G3059" t="inlineStr">
        <is>
          <t>(blank)</t>
        </is>
      </c>
      <c r="H3059" t="inlineStr">
        <is>
          <t>All</t>
        </is>
      </c>
    </row>
    <row r="3060">
      <c r="A3060" t="inlineStr">
        <is>
          <t>G|ORIG_BAL x CHANNEL / SYS_FLAG|names</t>
        </is>
      </c>
      <c r="B3060" t="inlineStr">
        <is>
          <t>ORIG_BAL</t>
        </is>
      </c>
      <c r="C3060" t="inlineStr">
        <is>
          <t>CHANNEL / SYS_FLAG</t>
        </is>
      </c>
    </row>
    <row r="3061">
      <c r="A3061" t="inlineStr">
        <is>
          <t>G|ORIG_BAL x CHANNEL / SYS_FLAG|total</t>
        </is>
      </c>
      <c r="B3061" t="n">
        <v>8000</v>
      </c>
    </row>
    <row r="3062">
      <c r="A3062" t="inlineStr">
        <is>
          <t>G|ORIG_BAL x CHANNEL / SYS_FLAG|loans|1</t>
        </is>
      </c>
      <c r="B3062" t="n">
        <v>301</v>
      </c>
      <c r="C3062" t="n">
        <v>241</v>
      </c>
      <c r="D3062" t="n">
        <v>277</v>
      </c>
      <c r="E3062" t="n">
        <v>237</v>
      </c>
      <c r="F3062" t="n">
        <v>302</v>
      </c>
      <c r="G3062" t="n">
        <v>242</v>
      </c>
      <c r="H3062" t="n">
        <v>1600</v>
      </c>
    </row>
    <row r="3063">
      <c r="A3063" t="inlineStr">
        <is>
          <t>G|ORIG_BAL x CHANNEL / SYS_FLAG|loans|2</t>
        </is>
      </c>
      <c r="B3063" t="n">
        <v>274</v>
      </c>
      <c r="C3063" t="n">
        <v>251</v>
      </c>
      <c r="D3063" t="n">
        <v>293</v>
      </c>
      <c r="E3063" t="n">
        <v>244</v>
      </c>
      <c r="F3063" t="n">
        <v>300</v>
      </c>
      <c r="G3063" t="n">
        <v>238</v>
      </c>
      <c r="H3063" t="n">
        <v>1600</v>
      </c>
    </row>
    <row r="3064">
      <c r="A3064" t="inlineStr">
        <is>
          <t>G|ORIG_BAL x CHANNEL / SYS_FLAG|loans|3</t>
        </is>
      </c>
      <c r="B3064" t="n">
        <v>282</v>
      </c>
      <c r="C3064" t="n">
        <v>236</v>
      </c>
      <c r="D3064" t="n">
        <v>305</v>
      </c>
      <c r="E3064" t="n">
        <v>248</v>
      </c>
      <c r="F3064" t="n">
        <v>297</v>
      </c>
      <c r="G3064" t="n">
        <v>231</v>
      </c>
      <c r="H3064" t="n">
        <v>1599</v>
      </c>
    </row>
    <row r="3065">
      <c r="A3065" t="inlineStr">
        <is>
          <t>G|ORIG_BAL x CHANNEL / SYS_FLAG|loans|4</t>
        </is>
      </c>
      <c r="B3065" t="n">
        <v>269</v>
      </c>
      <c r="C3065" t="n">
        <v>257</v>
      </c>
      <c r="D3065" t="n">
        <v>282</v>
      </c>
      <c r="E3065" t="n">
        <v>249</v>
      </c>
      <c r="F3065" t="n">
        <v>289</v>
      </c>
      <c r="G3065" t="n">
        <v>254</v>
      </c>
      <c r="H3065" t="n">
        <v>1600</v>
      </c>
    </row>
    <row r="3066">
      <c r="A3066" t="inlineStr">
        <is>
          <t>G|ORIG_BAL x CHANNEL / SYS_FLAG|loans|5</t>
        </is>
      </c>
      <c r="B3066" t="n">
        <v>289</v>
      </c>
      <c r="C3066" t="n">
        <v>226</v>
      </c>
      <c r="D3066" t="n">
        <v>278</v>
      </c>
      <c r="E3066" t="n">
        <v>242</v>
      </c>
      <c r="F3066" t="n">
        <v>291</v>
      </c>
      <c r="G3066" t="n">
        <v>274</v>
      </c>
      <c r="H3066" t="n">
        <v>1600</v>
      </c>
    </row>
    <row r="3067">
      <c r="A3067" t="inlineStr">
        <is>
          <t>G|ORIG_BAL x CHANNEL / SYS_FLAG|loans|6</t>
        </is>
      </c>
      <c r="C3067" t="n">
        <v>1</v>
      </c>
      <c r="H3067" t="n">
        <v>1</v>
      </c>
    </row>
    <row r="3068">
      <c r="A3068" t="inlineStr">
        <is>
          <t>G|ORIG_BAL x CHANNEL / SYS_FLAG|loans|7</t>
        </is>
      </c>
      <c r="B3068" t="n">
        <v>1415</v>
      </c>
      <c r="C3068" t="n">
        <v>1212</v>
      </c>
      <c r="D3068" t="n">
        <v>1435</v>
      </c>
      <c r="E3068" t="n">
        <v>1220</v>
      </c>
      <c r="F3068" t="n">
        <v>1479</v>
      </c>
      <c r="G3068" t="n">
        <v>1239</v>
      </c>
      <c r="H3068" t="n">
        <v>8000</v>
      </c>
    </row>
    <row r="3069">
      <c r="A3069" t="inlineStr">
        <is>
          <t>G|ORIG_BAL x CHANNEL / SYS_FLAG|outcome_loans|rate|1</t>
        </is>
      </c>
      <c r="B3069" t="n">
        <v>0.05647840531561462</v>
      </c>
      <c r="C3069" t="n">
        <v>0.07468879668049792</v>
      </c>
      <c r="D3069" t="n">
        <v>0.06137184115523465</v>
      </c>
      <c r="E3069" t="n">
        <v>0.109704641350211</v>
      </c>
      <c r="F3069" t="n">
        <v>0.05629139072847682</v>
      </c>
      <c r="G3069" t="n">
        <v>0.115702479338843</v>
      </c>
      <c r="H3069" t="n">
        <v>0.076875</v>
      </c>
    </row>
    <row r="3070">
      <c r="A3070" t="inlineStr">
        <is>
          <t>G|ORIG_BAL x CHANNEL / SYS_FLAG|outcome_loans|book|1</t>
        </is>
      </c>
      <c r="B3070" t="n">
        <v>0.7298396835534755</v>
      </c>
      <c r="C3070" t="n">
        <v>0.9651626569423309</v>
      </c>
      <c r="D3070" t="n">
        <v>0.7930748907927657</v>
      </c>
      <c r="E3070" t="n">
        <v>1.417653354055473</v>
      </c>
      <c r="F3070" t="n">
        <v>0.7274229958595898</v>
      </c>
      <c r="G3070" t="n">
        <v>1.495160149000654</v>
      </c>
      <c r="H3070" t="n">
        <v>0.9934137722132471</v>
      </c>
    </row>
    <row r="3071">
      <c r="A3071" t="inlineStr">
        <is>
          <t>G|ORIG_BAL x CHANNEL / SYS_FLAG|outcome_loans|band|1</t>
        </is>
      </c>
      <c r="B3071" t="n">
        <v>0.6921268726885225</v>
      </c>
      <c r="C3071" t="n">
        <v>0.9666864256075873</v>
      </c>
      <c r="D3071" t="n">
        <v>0.7659900551733533</v>
      </c>
      <c r="E3071" t="n">
        <v>1.541519857323068</v>
      </c>
      <c r="F3071" t="n">
        <v>0.6893040109958767</v>
      </c>
      <c r="G3071" t="n">
        <v>1.653936494127882</v>
      </c>
    </row>
    <row r="3072">
      <c r="A3072" t="inlineStr">
        <is>
          <t>G|ORIG_BAL x CHANNEL / SYS_FLAG|outcome_loans|rate|2</t>
        </is>
      </c>
      <c r="B3072" t="n">
        <v>0.072992700729927</v>
      </c>
      <c r="C3072" t="n">
        <v>0.06772908366533864</v>
      </c>
      <c r="D3072" t="n">
        <v>0.09556313993174062</v>
      </c>
      <c r="E3072" t="n">
        <v>0.1434426229508197</v>
      </c>
      <c r="F3072" t="n">
        <v>0.09333333333333334</v>
      </c>
      <c r="G3072" t="n">
        <v>0.08823529411764706</v>
      </c>
      <c r="H3072" t="n">
        <v>0.093125</v>
      </c>
    </row>
    <row r="3073">
      <c r="A3073" t="inlineStr">
        <is>
          <t>G|ORIG_BAL x CHANNEL / SYS_FLAG|outcome_loans|book|2</t>
        </is>
      </c>
      <c r="B3073" t="n">
        <v>0.9432449323726754</v>
      </c>
      <c r="C3073" t="n">
        <v>0.875226074699586</v>
      </c>
      <c r="D3073" t="n">
        <v>1.234910430232622</v>
      </c>
      <c r="E3073" t="n">
        <v>1.85363092242909</v>
      </c>
      <c r="F3073" t="n">
        <v>1.206095853527194</v>
      </c>
      <c r="G3073" t="n">
        <v>1.140216668250499</v>
      </c>
      <c r="H3073" t="n">
        <v>1.203403675282714</v>
      </c>
    </row>
    <row r="3074">
      <c r="A3074" t="inlineStr">
        <is>
          <t>G|ORIG_BAL x CHANNEL / SYS_FLAG|outcome_loans|band|2</t>
        </is>
      </c>
      <c r="B3074" t="n">
        <v>0.750297063316924</v>
      </c>
      <c r="C3074" t="n">
        <v>0.6921707110950138</v>
      </c>
      <c r="D3074" t="n">
        <v>1.032239866865992</v>
      </c>
      <c r="E3074" t="n">
        <v>1.706212251941329</v>
      </c>
      <c r="F3074" t="n">
        <v>1.002754820936639</v>
      </c>
      <c r="G3074" t="n">
        <v>0.9388786764705883</v>
      </c>
    </row>
    <row r="3075">
      <c r="A3075" t="inlineStr">
        <is>
          <t>G|ORIG_BAL x CHANNEL / SYS_FLAG|outcome_loans|rate|3</t>
        </is>
      </c>
      <c r="B3075" t="n">
        <v>0.0498220640569395</v>
      </c>
      <c r="C3075" t="n">
        <v>0.08050847457627118</v>
      </c>
      <c r="D3075" t="n">
        <v>0.06557377049180328</v>
      </c>
      <c r="E3075" t="n">
        <v>0.0846774193548387</v>
      </c>
      <c r="F3075" t="n">
        <v>0.04040404040404041</v>
      </c>
      <c r="G3075" t="n">
        <v>0.1038961038961039</v>
      </c>
      <c r="H3075" t="n">
        <v>0.06883604505632041</v>
      </c>
    </row>
    <row r="3076">
      <c r="A3076" t="inlineStr">
        <is>
          <t>G|ORIG_BAL x CHANNEL / SYS_FLAG|outcome_loans|book|3</t>
        </is>
      </c>
      <c r="B3076" t="n">
        <v>0.6438234093561536</v>
      </c>
      <c r="C3076" t="n">
        <v>1.040367186002574</v>
      </c>
      <c r="D3076" t="n">
        <v>0.8473741359675839</v>
      </c>
      <c r="E3076" t="n">
        <v>1.094240189692011</v>
      </c>
      <c r="F3076" t="n">
        <v>0.5221194171113396</v>
      </c>
      <c r="G3076" t="n">
        <v>1.34259278685773</v>
      </c>
      <c r="H3076" t="n">
        <v>0.8895307340961339</v>
      </c>
    </row>
    <row r="3077">
      <c r="A3077" t="inlineStr">
        <is>
          <t>G|ORIG_BAL x CHANNEL / SYS_FLAG|outcome_loans|band|3</t>
        </is>
      </c>
      <c r="B3077" t="n">
        <v>0.6834964412811388</v>
      </c>
      <c r="C3077" t="n">
        <v>1.204972993108586</v>
      </c>
      <c r="D3077" t="n">
        <v>0.9420765027322405</v>
      </c>
      <c r="E3077" t="n">
        <v>1.284432765494744</v>
      </c>
      <c r="F3077" t="n">
        <v>0.536384250669965</v>
      </c>
      <c r="G3077" t="n">
        <v>1.651464814255512</v>
      </c>
    </row>
    <row r="3078">
      <c r="A3078" t="inlineStr">
        <is>
          <t>G|ORIG_BAL x CHANNEL / SYS_FLAG|outcome_loans|rate|4</t>
        </is>
      </c>
      <c r="B3078" t="n">
        <v>0.07063197026022305</v>
      </c>
      <c r="C3078" t="n">
        <v>0.08949416342412451</v>
      </c>
      <c r="D3078" t="n">
        <v>0.04964539007092199</v>
      </c>
      <c r="E3078" t="n">
        <v>0.1405622489959839</v>
      </c>
      <c r="F3078" t="n">
        <v>0.03460207612456748</v>
      </c>
      <c r="G3078" t="n">
        <v>0.1299212598425197</v>
      </c>
      <c r="H3078" t="n">
        <v>0.08375</v>
      </c>
    </row>
    <row r="3079">
      <c r="A3079" t="inlineStr">
        <is>
          <t>G|ORIG_BAL x CHANNEL / SYS_FLAG|outcome_loans|book|4</t>
        </is>
      </c>
      <c r="B3079" t="n">
        <v>0.912738497756905</v>
      </c>
      <c r="C3079" t="n">
        <v>1.156484350936304</v>
      </c>
      <c r="D3079" t="n">
        <v>0.6415403476208481</v>
      </c>
      <c r="E3079" t="n">
        <v>1.816409417962642</v>
      </c>
      <c r="F3079" t="n">
        <v>0.4471437914707839</v>
      </c>
      <c r="G3079" t="n">
        <v>1.678901708368845</v>
      </c>
      <c r="H3079" t="n">
        <v>1.082255654281099</v>
      </c>
    </row>
    <row r="3080">
      <c r="A3080" t="inlineStr">
        <is>
          <t>G|ORIG_BAL x CHANNEL / SYS_FLAG|outcome_loans|band|4</t>
        </is>
      </c>
      <c r="B3080" t="n">
        <v>0.8174882818813641</v>
      </c>
      <c r="C3080" t="n">
        <v>1.082798752059452</v>
      </c>
      <c r="D3080" t="n">
        <v>0.5452718676122932</v>
      </c>
      <c r="E3080" t="n">
        <v>1.918177761551255</v>
      </c>
      <c r="F3080" t="n">
        <v>0.3658332403169997</v>
      </c>
      <c r="G3080" t="n">
        <v>1.731425898495361</v>
      </c>
    </row>
    <row r="3081">
      <c r="A3081" t="inlineStr">
        <is>
          <t>G|ORIG_BAL x CHANNEL / SYS_FLAG|outcome_loans|rate|5</t>
        </is>
      </c>
      <c r="B3081" t="n">
        <v>0.01730103806228374</v>
      </c>
      <c r="C3081" t="n">
        <v>0.07964601769911504</v>
      </c>
      <c r="D3081" t="n">
        <v>0.0683453237410072</v>
      </c>
      <c r="E3081" t="n">
        <v>0.1033057851239669</v>
      </c>
      <c r="F3081" t="n">
        <v>0.03092783505154639</v>
      </c>
      <c r="G3081" t="n">
        <v>0.09854014598540146</v>
      </c>
      <c r="H3081" t="n">
        <v>0.064375</v>
      </c>
    </row>
    <row r="3082">
      <c r="A3082" t="inlineStr">
        <is>
          <t>G|ORIG_BAL x CHANNEL / SYS_FLAG|outcome_loans|book|5</t>
        </is>
      </c>
      <c r="C3082" t="n">
        <v>1.029222125323459</v>
      </c>
      <c r="D3082" t="n">
        <v>0.8831894097000268</v>
      </c>
      <c r="E3082" t="n">
        <v>1.334964418750584</v>
      </c>
      <c r="G3082" t="n">
        <v>1.273380658703112</v>
      </c>
      <c r="H3082" t="n">
        <v>0.8318830775444265</v>
      </c>
    </row>
    <row r="3083">
      <c r="A3083" t="inlineStr">
        <is>
          <t>G|ORIG_BAL x CHANNEL / SYS_FLAG|outcome_loans|band|5</t>
        </is>
      </c>
      <c r="C3083" t="n">
        <v>1.287454450806871</v>
      </c>
      <c r="D3083" t="n">
        <v>1.075625214114423</v>
      </c>
      <c r="E3083" t="n">
        <v>1.798580207671117</v>
      </c>
      <c r="G3083" t="n">
        <v>1.71926623127161</v>
      </c>
    </row>
    <row r="3084">
      <c r="A3084" t="inlineStr">
        <is>
          <t>G|ORIG_BAL x CHANNEL / SYS_FLAG|outcome_loans|rate|6</t>
        </is>
      </c>
      <c r="C3084" t="n">
        <v>0</v>
      </c>
      <c r="H3084" t="n">
        <v>0</v>
      </c>
    </row>
    <row r="3085">
      <c r="A3085" t="inlineStr">
        <is>
          <t>G|ORIG_BAL x CHANNEL / SYS_FLAG|outcome_loans|book|6</t>
        </is>
      </c>
    </row>
    <row r="3086">
      <c r="A3086" t="inlineStr">
        <is>
          <t>G|ORIG_BAL x CHANNEL / SYS_FLAG|outcome_loans|band|6</t>
        </is>
      </c>
    </row>
    <row r="3087">
      <c r="A3087" t="inlineStr">
        <is>
          <t>G|ORIG_BAL x CHANNEL / SYS_FLAG|outcome_loans|rate|7</t>
        </is>
      </c>
      <c r="B3087" t="n">
        <v>0.05304101838755304</v>
      </c>
      <c r="C3087" t="n">
        <v>0.07838283828382839</v>
      </c>
      <c r="D3087" t="n">
        <v>0.06829268292682927</v>
      </c>
      <c r="E3087" t="n">
        <v>0.1163934426229508</v>
      </c>
      <c r="F3087" t="n">
        <v>0.05138607167004733</v>
      </c>
      <c r="G3087" t="n">
        <v>0.1073446327683616</v>
      </c>
      <c r="H3087" t="n">
        <v>0.07738467308413552</v>
      </c>
    </row>
    <row r="3088">
      <c r="A3088" t="inlineStr">
        <is>
          <t>G|ORIG_BAL x CHANNEL / SYS_FLAG|outcome_loans|book|7</t>
        </is>
      </c>
      <c r="B3088" t="n">
        <v>0.6854202036866507</v>
      </c>
      <c r="C3088" t="n">
        <v>1.01289874544805</v>
      </c>
      <c r="D3088" t="n">
        <v>0.8825091611174594</v>
      </c>
      <c r="E3088" t="n">
        <v>1.504089091342461</v>
      </c>
      <c r="F3088" t="n">
        <v>0.664034228253164</v>
      </c>
      <c r="G3088" t="n">
        <v>1.387156248003432</v>
      </c>
      <c r="H3088" t="n">
        <v>1</v>
      </c>
    </row>
    <row r="3089">
      <c r="A3089" t="inlineStr">
        <is>
          <t>G|ORIG_BAL x CHANNEL / SYS_FLAG|outcome_loans|band|7</t>
        </is>
      </c>
    </row>
    <row r="3090">
      <c r="A3090" t="inlineStr">
        <is>
          <t>G|ORIG_BAL x CHANNEL / SYS_FLAG|outcome_loans|meta</t>
        </is>
      </c>
      <c r="B3090" t="inlineStr">
        <is>
          <t>x</t>
        </is>
      </c>
      <c r="C3090" t="n">
        <v>1.918177761551255</v>
      </c>
      <c r="D3090" t="n">
        <v>10</v>
      </c>
      <c r="E3090" t="n">
        <v>0.07738467308413552</v>
      </c>
      <c r="F3090" t="n">
        <v>65</v>
      </c>
    </row>
    <row r="3091">
      <c r="A3091" t="inlineStr">
        <is>
          <t>G|ORIG_BAL x CHANNEL / SYS_FLAG|outcome_booked|rate|1</t>
        </is>
      </c>
      <c r="B3091" t="n">
        <v>0.0576191782683389</v>
      </c>
      <c r="C3091" t="n">
        <v>0.07948539311439064</v>
      </c>
      <c r="D3091" t="n">
        <v>0.06443311502925256</v>
      </c>
      <c r="E3091" t="n">
        <v>0.0986991994820951</v>
      </c>
      <c r="F3091" t="n">
        <v>0.04875440299822736</v>
      </c>
      <c r="G3091" t="n">
        <v>0.1167251086094073</v>
      </c>
      <c r="H3091" t="n">
        <v>0.07557453391360712</v>
      </c>
    </row>
    <row r="3092">
      <c r="A3092" t="inlineStr">
        <is>
          <t>G|ORIG_BAL x CHANNEL / SYS_FLAG|outcome_booked|book|1</t>
        </is>
      </c>
      <c r="B3092" t="n">
        <v>0.7700126885089043</v>
      </c>
      <c r="C3092" t="n">
        <v>1.06222898501193</v>
      </c>
      <c r="D3092" t="n">
        <v>0.8610729556332595</v>
      </c>
      <c r="E3092" t="n">
        <v>1.318998955398947</v>
      </c>
      <c r="F3092" t="n">
        <v>0.6515453718287454</v>
      </c>
      <c r="G3092" t="n">
        <v>1.559894073432344</v>
      </c>
      <c r="H3092" t="n">
        <v>1.009964942065142</v>
      </c>
    </row>
    <row r="3093">
      <c r="A3093" t="inlineStr">
        <is>
          <t>G|ORIG_BAL x CHANNEL / SYS_FLAG|outcome_booked|band|1</t>
        </is>
      </c>
      <c r="B3093" t="n">
        <v>0.7220178946610468</v>
      </c>
      <c r="C3093" t="n">
        <v>1.061168310229191</v>
      </c>
      <c r="D3093" t="n">
        <v>0.8269923751813483</v>
      </c>
      <c r="E3093" t="n">
        <v>1.380509353887142</v>
      </c>
      <c r="F3093" t="n">
        <v>0.596659463068807</v>
      </c>
      <c r="G3093" t="n">
        <v>1.713447224331679</v>
      </c>
    </row>
    <row r="3094">
      <c r="A3094" t="inlineStr">
        <is>
          <t>G|ORIG_BAL x CHANNEL / SYS_FLAG|outcome_booked|rate|2</t>
        </is>
      </c>
      <c r="B3094" t="n">
        <v>0.06787981773915373</v>
      </c>
      <c r="C3094" t="n">
        <v>0.0701261461165415</v>
      </c>
      <c r="D3094" t="n">
        <v>0.0980017326642951</v>
      </c>
      <c r="E3094" t="n">
        <v>0.1388411823720672</v>
      </c>
      <c r="F3094" t="n">
        <v>0.09691563345514322</v>
      </c>
      <c r="G3094" t="n">
        <v>0.0930022032076228</v>
      </c>
      <c r="H3094" t="n">
        <v>0.09377887022910675</v>
      </c>
    </row>
    <row r="3095">
      <c r="A3095" t="inlineStr">
        <is>
          <t>G|ORIG_BAL x CHANNEL / SYS_FLAG|outcome_booked|book|2</t>
        </is>
      </c>
      <c r="B3095" t="n">
        <v>0.9071340918713005</v>
      </c>
      <c r="C3095" t="n">
        <v>0.9371536340641931</v>
      </c>
      <c r="D3095" t="n">
        <v>1.309678130013017</v>
      </c>
      <c r="E3095" t="n">
        <v>1.855449441090278</v>
      </c>
      <c r="F3095" t="n">
        <v>1.295163688864071</v>
      </c>
      <c r="G3095" t="n">
        <v>1.242865286895345</v>
      </c>
      <c r="H3095" t="n">
        <v>1.253244530044283</v>
      </c>
    </row>
    <row r="3096">
      <c r="A3096" t="inlineStr">
        <is>
          <t>G|ORIG_BAL x CHANNEL / SYS_FLAG|outcome_booked|band|2</t>
        </is>
      </c>
      <c r="B3096" t="n">
        <v>0.6849040686662522</v>
      </c>
      <c r="C3096" t="n">
        <v>0.7138269499595352</v>
      </c>
      <c r="D3096" t="n">
        <v>1.055673858115572</v>
      </c>
      <c r="E3096" t="n">
        <v>1.622100679267581</v>
      </c>
      <c r="F3096" t="n">
        <v>1.041474420110449</v>
      </c>
      <c r="G3096" t="n">
        <v>0.9903075753207488</v>
      </c>
    </row>
    <row r="3097">
      <c r="A3097" t="inlineStr">
        <is>
          <t>G|ORIG_BAL x CHANNEL / SYS_FLAG|outcome_booked|rate|3</t>
        </is>
      </c>
      <c r="B3097" t="n">
        <v>0.05020839155998448</v>
      </c>
      <c r="C3097" t="n">
        <v>0.07679229604285816</v>
      </c>
      <c r="D3097" t="n">
        <v>0.06599328325014893</v>
      </c>
      <c r="E3097" t="n">
        <v>0.08351121065616678</v>
      </c>
      <c r="F3097" t="n">
        <v>0.04078920321890393</v>
      </c>
      <c r="G3097" t="n">
        <v>0.1023946957505104</v>
      </c>
      <c r="H3097" t="n">
        <v>0.06822026696935882</v>
      </c>
    </row>
    <row r="3098">
      <c r="A3098" t="inlineStr">
        <is>
          <t>G|ORIG_BAL x CHANNEL / SYS_FLAG|outcome_booked|book|3</t>
        </is>
      </c>
      <c r="B3098" t="n">
        <v>0.6709762223744742</v>
      </c>
      <c r="C3098" t="n">
        <v>1.026238903605204</v>
      </c>
      <c r="D3098" t="n">
        <v>0.8819227726977055</v>
      </c>
      <c r="E3098" t="n">
        <v>1.116029311256651</v>
      </c>
      <c r="F3098" t="n">
        <v>0.5450998257290789</v>
      </c>
      <c r="G3098" t="n">
        <v>1.368384925531407</v>
      </c>
      <c r="H3098" t="n">
        <v>0.911683796239352</v>
      </c>
    </row>
    <row r="3099">
      <c r="A3099" t="inlineStr">
        <is>
          <t>G|ORIG_BAL x CHANNEL / SYS_FLAG|outcome_booked|band|3</t>
        </is>
      </c>
      <c r="B3099" t="n">
        <v>0.6970494253319716</v>
      </c>
      <c r="C3099" t="n">
        <v>1.150745468830766</v>
      </c>
      <c r="D3099" t="n">
        <v>0.9600173972912874</v>
      </c>
      <c r="E3099" t="n">
        <v>1.278055599734882</v>
      </c>
      <c r="F3099" t="n">
        <v>0.5479811425668315</v>
      </c>
      <c r="G3099" t="n">
        <v>1.639906230989024</v>
      </c>
    </row>
    <row r="3100">
      <c r="A3100" t="inlineStr">
        <is>
          <t>G|ORIG_BAL x CHANNEL / SYS_FLAG|outcome_booked|rate|4</t>
        </is>
      </c>
      <c r="B3100" t="n">
        <v>0.07060647153692301</v>
      </c>
      <c r="C3100" t="n">
        <v>0.08613032467895225</v>
      </c>
      <c r="D3100" t="n">
        <v>0.05130960799187668</v>
      </c>
      <c r="E3100" t="n">
        <v>0.1362010577104414</v>
      </c>
      <c r="F3100" t="n">
        <v>0.03415494612532452</v>
      </c>
      <c r="G3100" t="n">
        <v>0.1320577537898996</v>
      </c>
      <c r="H3100" t="n">
        <v>0.08308928618120669</v>
      </c>
    </row>
    <row r="3101">
      <c r="A3101" t="inlineStr">
        <is>
          <t>G|ORIG_BAL x CHANNEL / SYS_FLAG|outcome_booked|book|4</t>
        </is>
      </c>
      <c r="B3101" t="n">
        <v>0.943572619537826</v>
      </c>
      <c r="C3101" t="n">
        <v>1.151030696052598</v>
      </c>
      <c r="D3101" t="n">
        <v>0.6856926874618882</v>
      </c>
      <c r="E3101" t="n">
        <v>1.820167273766934</v>
      </c>
      <c r="F3101" t="n">
        <v>0.4564407664641988</v>
      </c>
      <c r="G3101" t="n">
        <v>1.764796879966665</v>
      </c>
      <c r="H3101" t="n">
        <v>1.110390785871948</v>
      </c>
    </row>
    <row r="3102">
      <c r="A3102" t="inlineStr">
        <is>
          <t>G|ORIG_BAL x CHANNEL / SYS_FLAG|outcome_booked|band|4</t>
        </is>
      </c>
      <c r="B3102" t="n">
        <v>0.8246190263516815</v>
      </c>
      <c r="C3102" t="n">
        <v>1.04391121631503</v>
      </c>
      <c r="D3102" t="n">
        <v>0.5709885995395644</v>
      </c>
      <c r="E3102" t="n">
        <v>1.85781287340994</v>
      </c>
      <c r="F3102" t="n">
        <v>0.3638319809342351</v>
      </c>
      <c r="G3102" t="n">
        <v>1.788486021729654</v>
      </c>
    </row>
    <row r="3103">
      <c r="A3103" t="inlineStr">
        <is>
          <t>G|ORIG_BAL x CHANNEL / SYS_FLAG|outcome_booked|rate|5</t>
        </is>
      </c>
      <c r="B3103" t="n">
        <v>0.01738211717332663</v>
      </c>
      <c r="C3103" t="n">
        <v>0.08057358264485796</v>
      </c>
      <c r="D3103" t="n">
        <v>0.06890092444847121</v>
      </c>
      <c r="E3103" t="n">
        <v>0.1044077966445302</v>
      </c>
      <c r="F3103" t="n">
        <v>0.03165735523392776</v>
      </c>
      <c r="G3103" t="n">
        <v>0.09761271814640037</v>
      </c>
      <c r="H3103" t="n">
        <v>0.06473600628619963</v>
      </c>
    </row>
    <row r="3104">
      <c r="A3104" t="inlineStr">
        <is>
          <t>G|ORIG_BAL x CHANNEL / SYS_FLAG|outcome_booked|book|5</t>
        </is>
      </c>
      <c r="C3104" t="n">
        <v>1.076771360851795</v>
      </c>
      <c r="D3104" t="n">
        <v>0.920779984543256</v>
      </c>
      <c r="E3104" t="n">
        <v>1.395287656153924</v>
      </c>
      <c r="G3104" t="n">
        <v>1.304479407577267</v>
      </c>
      <c r="H3104" t="n">
        <v>0.8651207417714352</v>
      </c>
    </row>
    <row r="3105">
      <c r="A3105" t="inlineStr">
        <is>
          <t>G|ORIG_BAL x CHANNEL / SYS_FLAG|outcome_booked|band|5</t>
        </is>
      </c>
      <c r="C3105" t="n">
        <v>1.296674616775764</v>
      </c>
      <c r="D3105" t="n">
        <v>1.079026362333243</v>
      </c>
      <c r="E3105" t="n">
        <v>1.811065135173555</v>
      </c>
      <c r="G3105" t="n">
        <v>1.683340468164825</v>
      </c>
    </row>
    <row r="3106">
      <c r="A3106" t="inlineStr">
        <is>
          <t>G|ORIG_BAL x CHANNEL / SYS_FLAG|outcome_booked|rate|6</t>
        </is>
      </c>
    </row>
    <row r="3107">
      <c r="A3107" t="inlineStr">
        <is>
          <t>G|ORIG_BAL x CHANNEL / SYS_FLAG|outcome_booked|book|6</t>
        </is>
      </c>
    </row>
    <row r="3108">
      <c r="A3108" t="inlineStr">
        <is>
          <t>G|ORIG_BAL x CHANNEL / SYS_FLAG|outcome_booked|band|6</t>
        </is>
      </c>
    </row>
    <row r="3109">
      <c r="A3109" t="inlineStr">
        <is>
          <t>G|ORIG_BAL x CHANNEL / SYS_FLAG|outcome_booked|rate|7</t>
        </is>
      </c>
      <c r="B3109" t="n">
        <v>0.04681040497767673</v>
      </c>
      <c r="C3109" t="n">
        <v>0.07994273280547269</v>
      </c>
      <c r="D3109" t="n">
        <v>0.06720288771668041</v>
      </c>
      <c r="E3109" t="n">
        <v>0.1128943071960848</v>
      </c>
      <c r="F3109" t="n">
        <v>0.04388565607070748</v>
      </c>
      <c r="G3109" t="n">
        <v>0.1084527276536025</v>
      </c>
      <c r="H3109" t="n">
        <v>0.07482886857347223</v>
      </c>
    </row>
    <row r="3110">
      <c r="A3110" t="inlineStr">
        <is>
          <t>G|ORIG_BAL x CHANNEL / SYS_FLAG|outcome_booked|book|7</t>
        </is>
      </c>
      <c r="B3110" t="n">
        <v>0.6255661200024015</v>
      </c>
      <c r="C3110" t="n">
        <v>1.068340793192392</v>
      </c>
      <c r="D3110" t="n">
        <v>0.89808771665037</v>
      </c>
      <c r="E3110" t="n">
        <v>1.508699908849178</v>
      </c>
      <c r="F3110" t="n">
        <v>0.5864802837105227</v>
      </c>
      <c r="G3110" t="n">
        <v>1.44934341145511</v>
      </c>
      <c r="H3110" t="n">
        <v>0.9999999999999986</v>
      </c>
    </row>
    <row r="3111">
      <c r="A3111" t="inlineStr">
        <is>
          <t>G|ORIG_BAL x CHANNEL / SYS_FLAG|outcome_booked|band|7</t>
        </is>
      </c>
    </row>
    <row r="3112">
      <c r="A3112" t="inlineStr">
        <is>
          <t>G|ORIG_BAL x CHANNEL / SYS_FLAG|outcome_booked|meta</t>
        </is>
      </c>
      <c r="B3112" t="inlineStr">
        <is>
          <t>x</t>
        </is>
      </c>
      <c r="C3112" t="n">
        <v>1.85781287340994</v>
      </c>
      <c r="D3112" t="n">
        <v>10</v>
      </c>
      <c r="E3112" t="n">
        <v>0.07482886857347235</v>
      </c>
      <c r="F3112" t="n">
        <v>65</v>
      </c>
    </row>
    <row r="3113">
      <c r="A3113" t="inlineStr">
        <is>
          <t>G|ORIG_BAL x CHANNEL / SYS_FLAG|gco_rate|rate|1</t>
        </is>
      </c>
      <c r="B3113" t="n">
        <v>0.02836902486661352</v>
      </c>
      <c r="C3113" t="n">
        <v>0.0446512583618181</v>
      </c>
      <c r="D3113" t="n">
        <v>0.03707134104682022</v>
      </c>
      <c r="E3113" t="n">
        <v>0.05593211782335367</v>
      </c>
      <c r="F3113" t="n">
        <v>0.02593608923806244</v>
      </c>
      <c r="G3113" t="n">
        <v>0.06394499241639874</v>
      </c>
      <c r="H3113" t="n">
        <v>0.04139745179629655</v>
      </c>
    </row>
    <row r="3114">
      <c r="A3114" t="inlineStr">
        <is>
          <t>G|ORIG_BAL x CHANNEL / SYS_FLAG|gco_rate|book|1</t>
        </is>
      </c>
      <c r="B3114" t="n">
        <v>0.6818614095914256</v>
      </c>
      <c r="C3114" t="n">
        <v>1.073211719816672</v>
      </c>
      <c r="D3114" t="n">
        <v>0.8910252284130324</v>
      </c>
      <c r="E3114" t="n">
        <v>1.344351907750936</v>
      </c>
      <c r="F3114" t="n">
        <v>0.6233847814757596</v>
      </c>
      <c r="G3114" t="n">
        <v>1.536944708898748</v>
      </c>
      <c r="H3114" t="n">
        <v>0.995005114487935</v>
      </c>
    </row>
    <row r="3115">
      <c r="A3115" t="inlineStr">
        <is>
          <t>G|ORIG_BAL x CHANNEL / SYS_FLAG|gco_rate|band|1</t>
        </is>
      </c>
      <c r="B3115" t="n">
        <v>0.637999144427607</v>
      </c>
      <c r="C3115" t="n">
        <v>1.093340664062522</v>
      </c>
      <c r="D3115" t="n">
        <v>0.8762813259515931</v>
      </c>
      <c r="E3115" t="n">
        <v>1.440317846982329</v>
      </c>
      <c r="F3115" t="n">
        <v>0.5771815099473148</v>
      </c>
      <c r="G3115" t="n">
        <v>1.713675330573663</v>
      </c>
    </row>
    <row r="3116">
      <c r="A3116" t="inlineStr">
        <is>
          <t>G|ORIG_BAL x CHANNEL / SYS_FLAG|gco_rate|rate|2</t>
        </is>
      </c>
      <c r="B3116" t="n">
        <v>0.04069753541928629</v>
      </c>
      <c r="C3116" t="n">
        <v>0.04026062976799067</v>
      </c>
      <c r="D3116" t="n">
        <v>0.05937571387039377</v>
      </c>
      <c r="E3116" t="n">
        <v>0.07822796693460864</v>
      </c>
      <c r="F3116" t="n">
        <v>0.05040860340592498</v>
      </c>
      <c r="G3116" t="n">
        <v>0.05110463775075075</v>
      </c>
      <c r="H3116" t="n">
        <v>0.05316017920478748</v>
      </c>
    </row>
    <row r="3117">
      <c r="A3117" t="inlineStr">
        <is>
          <t>G|ORIG_BAL x CHANNEL / SYS_FLAG|gco_rate|book|2</t>
        </is>
      </c>
      <c r="B3117" t="n">
        <v>0.9781823308473878</v>
      </c>
      <c r="C3117" t="n">
        <v>0.967681120296387</v>
      </c>
      <c r="D3117" t="n">
        <v>1.427120182858678</v>
      </c>
      <c r="E3117" t="n">
        <v>1.880241991196474</v>
      </c>
      <c r="F3117" t="n">
        <v>1.211591922369878</v>
      </c>
      <c r="G3117" t="n">
        <v>1.22832139973889</v>
      </c>
      <c r="H3117" t="n">
        <v>1.277727200604911</v>
      </c>
    </row>
    <row r="3118">
      <c r="A3118" t="inlineStr">
        <is>
          <t>G|ORIG_BAL x CHANNEL / SYS_FLAG|gco_rate|band|2</t>
        </is>
      </c>
      <c r="B3118" t="n">
        <v>0.7303307171362801</v>
      </c>
      <c r="C3118" t="n">
        <v>0.7242032956974487</v>
      </c>
      <c r="D3118" t="n">
        <v>1.146947250565406</v>
      </c>
      <c r="E3118" t="n">
        <v>1.609407256833963</v>
      </c>
      <c r="F3118" t="n">
        <v>0.9370652563834073</v>
      </c>
      <c r="G3118" t="n">
        <v>0.954982433546816</v>
      </c>
    </row>
    <row r="3119">
      <c r="A3119" t="inlineStr">
        <is>
          <t>G|ORIG_BAL x CHANNEL / SYS_FLAG|gco_rate|rate|3</t>
        </is>
      </c>
      <c r="B3119" t="n">
        <v>0.02780156573220761</v>
      </c>
      <c r="C3119" t="n">
        <v>0.04394095981399322</v>
      </c>
      <c r="D3119" t="n">
        <v>0.04006128756035378</v>
      </c>
      <c r="E3119" t="n">
        <v>0.04122141030323061</v>
      </c>
      <c r="F3119" t="n">
        <v>0.02245761987566448</v>
      </c>
      <c r="G3119" t="n">
        <v>0.05409866833363711</v>
      </c>
      <c r="H3119" t="n">
        <v>0.0374507298379668</v>
      </c>
    </row>
    <row r="3120">
      <c r="A3120" t="inlineStr">
        <is>
          <t>G|ORIG_BAL x CHANNEL / SYS_FLAG|gco_rate|book|3</t>
        </is>
      </c>
      <c r="B3120" t="n">
        <v>0.6682222913245548</v>
      </c>
      <c r="C3120" t="n">
        <v>1.056139396346696</v>
      </c>
      <c r="D3120" t="n">
        <v>0.962889846739067</v>
      </c>
      <c r="E3120" t="n">
        <v>0.9907738833767878</v>
      </c>
      <c r="F3120" t="n">
        <v>0.5397783116088102</v>
      </c>
      <c r="G3120" t="n">
        <v>1.300284180384527</v>
      </c>
      <c r="H3120" t="n">
        <v>0.9001439971099023</v>
      </c>
    </row>
    <row r="3121">
      <c r="A3121" t="inlineStr">
        <is>
          <t>G|ORIG_BAL x CHANNEL / SYS_FLAG|gco_rate|band|3</t>
        </is>
      </c>
      <c r="B3121" t="n">
        <v>0.7038369148504119</v>
      </c>
      <c r="C3121" t="n">
        <v>1.209650086485404</v>
      </c>
      <c r="D3121" t="n">
        <v>1.087441088806463</v>
      </c>
      <c r="E3121" t="n">
        <v>1.121925465097013</v>
      </c>
      <c r="F3121" t="n">
        <v>0.5498285531261965</v>
      </c>
      <c r="G3121" t="n">
        <v>1.561877160962331</v>
      </c>
    </row>
    <row r="3122">
      <c r="A3122" t="inlineStr">
        <is>
          <t>G|ORIG_BAL x CHANNEL / SYS_FLAG|gco_rate|rate|4</t>
        </is>
      </c>
      <c r="B3122" t="n">
        <v>0.04062206664674996</v>
      </c>
      <c r="C3122" t="n">
        <v>0.04647524182237373</v>
      </c>
      <c r="D3122" t="n">
        <v>0.03102035847511591</v>
      </c>
      <c r="E3122" t="n">
        <v>0.07424717789214945</v>
      </c>
      <c r="F3122" t="n">
        <v>0.02041115727663371</v>
      </c>
      <c r="G3122" t="n">
        <v>0.07403579170375833</v>
      </c>
      <c r="H3122" t="n">
        <v>0.04676588351390013</v>
      </c>
    </row>
    <row r="3123">
      <c r="A3123" t="inlineStr">
        <is>
          <t>G|ORIG_BAL x CHANNEL / SYS_FLAG|gco_rate|book|4</t>
        </is>
      </c>
      <c r="B3123" t="n">
        <v>0.9763684072506584</v>
      </c>
      <c r="C3123" t="n">
        <v>1.117051927202495</v>
      </c>
      <c r="D3123" t="n">
        <v>0.7455873247432765</v>
      </c>
      <c r="E3123" t="n">
        <v>1.784562057164912</v>
      </c>
      <c r="F3123" t="n">
        <v>0.4905907248301947</v>
      </c>
      <c r="G3123" t="n">
        <v>1.779481301479363</v>
      </c>
      <c r="H3123" t="n">
        <v>1.124037622142734</v>
      </c>
    </row>
    <row r="3124">
      <c r="A3124" t="inlineStr">
        <is>
          <t>G|ORIG_BAL x CHANNEL / SYS_FLAG|gco_rate|band|4</t>
        </is>
      </c>
      <c r="B3124" t="n">
        <v>0.8461380484466625</v>
      </c>
      <c r="C3124" t="n">
        <v>0.9926038513658585</v>
      </c>
      <c r="D3124" t="n">
        <v>0.6188808882850518</v>
      </c>
      <c r="E3124" t="n">
        <v>1.780346860606634</v>
      </c>
      <c r="F3124" t="n">
        <v>0.3881987368463066</v>
      </c>
      <c r="G3124" t="n">
        <v>1.779265011748837</v>
      </c>
    </row>
    <row r="3125">
      <c r="A3125" t="inlineStr">
        <is>
          <t>G|ORIG_BAL x CHANNEL / SYS_FLAG|gco_rate|rate|5</t>
        </is>
      </c>
      <c r="B3125" t="n">
        <v>0.008950978443230468</v>
      </c>
      <c r="C3125" t="n">
        <v>0.04060840296759337</v>
      </c>
      <c r="D3125" t="n">
        <v>0.04179838331936418</v>
      </c>
      <c r="E3125" t="n">
        <v>0.05761656365268954</v>
      </c>
      <c r="F3125" t="n">
        <v>0.01693749139905862</v>
      </c>
      <c r="G3125" t="n">
        <v>0.05342817172843498</v>
      </c>
      <c r="H3125" t="n">
        <v>0.03555289463498782</v>
      </c>
    </row>
    <row r="3126">
      <c r="A3126" t="inlineStr">
        <is>
          <t>G|ORIG_BAL x CHANNEL / SYS_FLAG|gco_rate|book|5</t>
        </is>
      </c>
      <c r="C3126" t="n">
        <v>0.9760399949920868</v>
      </c>
      <c r="D3126" t="n">
        <v>1.004641671780754</v>
      </c>
      <c r="E3126" t="n">
        <v>1.384838269653458</v>
      </c>
      <c r="G3126" t="n">
        <v>1.284168513296955</v>
      </c>
      <c r="H3126" t="n">
        <v>0.854528732124238</v>
      </c>
    </row>
    <row r="3127">
      <c r="A3127" t="inlineStr">
        <is>
          <t>G|ORIG_BAL x CHANNEL / SYS_FLAG|gco_rate|band|5</t>
        </is>
      </c>
      <c r="C3127" t="n">
        <v>1.16946932008331</v>
      </c>
      <c r="D3127" t="n">
        <v>1.221055209985458</v>
      </c>
      <c r="E3127" t="n">
        <v>1.822620145550827</v>
      </c>
      <c r="G3127" t="n">
        <v>1.675720930609563</v>
      </c>
    </row>
    <row r="3128">
      <c r="A3128" t="inlineStr">
        <is>
          <t>G|ORIG_BAL x CHANNEL / SYS_FLAG|gco_rate|rate|6</t>
        </is>
      </c>
    </row>
    <row r="3129">
      <c r="A3129" t="inlineStr">
        <is>
          <t>G|ORIG_BAL x CHANNEL / SYS_FLAG|gco_rate|book|6</t>
        </is>
      </c>
    </row>
    <row r="3130">
      <c r="A3130" t="inlineStr">
        <is>
          <t>G|ORIG_BAL x CHANNEL / SYS_FLAG|gco_rate|band|6</t>
        </is>
      </c>
    </row>
    <row r="3131">
      <c r="A3131" t="inlineStr">
        <is>
          <t>G|ORIG_BAL x CHANNEL / SYS_FLAG|gco_rate|rate|7</t>
        </is>
      </c>
      <c r="B3131" t="n">
        <v>0.02622043264014381</v>
      </c>
      <c r="C3131" t="n">
        <v>0.04315508300661359</v>
      </c>
      <c r="D3131" t="n">
        <v>0.04061260621028653</v>
      </c>
      <c r="E3131" t="n">
        <v>0.06135421166542902</v>
      </c>
      <c r="F3131" t="n">
        <v>0.02397584956285052</v>
      </c>
      <c r="G3131" t="n">
        <v>0.05951080006595517</v>
      </c>
      <c r="H3131" t="n">
        <v>0.04160526533333562</v>
      </c>
    </row>
    <row r="3132">
      <c r="A3132" t="inlineStr">
        <is>
          <t>G|ORIG_BAL x CHANNEL / SYS_FLAG|gco_rate|book|7</t>
        </is>
      </c>
      <c r="B3132" t="n">
        <v>0.6302190943879177</v>
      </c>
      <c r="C3132" t="n">
        <v>1.037250517713588</v>
      </c>
      <c r="D3132" t="n">
        <v>0.9761410216929018</v>
      </c>
      <c r="E3132" t="n">
        <v>1.474674207071329</v>
      </c>
      <c r="F3132" t="n">
        <v>0.5762695988298432</v>
      </c>
      <c r="G3132" t="n">
        <v>1.430367036219162</v>
      </c>
      <c r="H3132" t="n">
        <v>0.9999999999999993</v>
      </c>
    </row>
    <row r="3133">
      <c r="A3133" t="inlineStr">
        <is>
          <t>G|ORIG_BAL x CHANNEL / SYS_FLAG|gco_rate|band|7</t>
        </is>
      </c>
    </row>
    <row r="3134">
      <c r="A3134" t="inlineStr">
        <is>
          <t>G|ORIG_BAL x CHANNEL / SYS_FLAG|gco_rate|meta</t>
        </is>
      </c>
      <c r="B3134" t="inlineStr">
        <is>
          <t>x</t>
        </is>
      </c>
      <c r="C3134" t="n">
        <v>1.880241991196474</v>
      </c>
      <c r="D3134" t="n">
        <v>10</v>
      </c>
      <c r="E3134" t="n">
        <v>0.04160526533333565</v>
      </c>
      <c r="F3134" t="n">
        <v>65</v>
      </c>
    </row>
    <row r="3135">
      <c r="A3135" t="inlineStr">
        <is>
          <t>G|ORIG_BAL x CHANNEL / SYS_FLAG|ranr_rate|rate|1</t>
        </is>
      </c>
      <c r="B3135" t="n">
        <v>0.1512430821446127</v>
      </c>
      <c r="C3135" t="n">
        <v>0.1296814501304714</v>
      </c>
      <c r="D3135" t="n">
        <v>0.1580647120713854</v>
      </c>
      <c r="E3135" t="n">
        <v>0.1246036885932769</v>
      </c>
      <c r="F3135" t="n">
        <v>0.1697418945470505</v>
      </c>
      <c r="G3135" t="n">
        <v>0.1379419349644898</v>
      </c>
      <c r="H3135" t="n">
        <v>0.1466798967561383</v>
      </c>
    </row>
    <row r="3136">
      <c r="A3136" t="inlineStr">
        <is>
          <t>G|ORIG_BAL x CHANNEL / SYS_FLAG|ranr_rate|book|1</t>
        </is>
      </c>
      <c r="B3136" t="n">
        <v>2.32530325</v>
      </c>
      <c r="C3136" t="n">
        <v>0.169140048</v>
      </c>
      <c r="D3136" t="n">
        <v>3.007466242</v>
      </c>
      <c r="E3136" t="n">
        <v>-0.338636105</v>
      </c>
      <c r="F3136" t="n">
        <v>4.17518449</v>
      </c>
      <c r="G3136" t="n">
        <v>0.995188532</v>
      </c>
      <c r="H3136" t="n">
        <v>1.868984711</v>
      </c>
    </row>
    <row r="3137">
      <c r="A3137" t="inlineStr">
        <is>
          <t>G|ORIG_BAL x CHANNEL / SYS_FLAG|ranr_rate|band|1</t>
        </is>
      </c>
      <c r="B3137" t="n">
        <v>0.5637804870000001</v>
      </c>
      <c r="C3137" t="n">
        <v>-1.991437096</v>
      </c>
      <c r="D3137" t="n">
        <v>1.377394528</v>
      </c>
      <c r="E3137" t="n">
        <v>-2.59709977</v>
      </c>
      <c r="F3137" t="n">
        <v>2.833969779</v>
      </c>
      <c r="G3137" t="n">
        <v>-1.032023635</v>
      </c>
    </row>
    <row r="3138">
      <c r="A3138" t="inlineStr">
        <is>
          <t>G|ORIG_BAL x CHANNEL / SYS_FLAG|ranr_rate|rate|2</t>
        </is>
      </c>
      <c r="B3138" t="n">
        <v>0.1252487975432854</v>
      </c>
      <c r="C3138" t="n">
        <v>0.1237755866697224</v>
      </c>
      <c r="D3138" t="n">
        <v>0.09975052222437722</v>
      </c>
      <c r="E3138" t="n">
        <v>0.08821259636861455</v>
      </c>
      <c r="F3138" t="n">
        <v>0.1388874121401195</v>
      </c>
      <c r="G3138" t="n">
        <v>0.1378485182642591</v>
      </c>
      <c r="H3138" t="n">
        <v>0.1190597270318928</v>
      </c>
    </row>
    <row r="3139">
      <c r="A3139" t="inlineStr">
        <is>
          <t>G|ORIG_BAL x CHANNEL / SYS_FLAG|ranr_rate|book|2</t>
        </is>
      </c>
      <c r="B3139" t="n">
        <v>-0.27412521</v>
      </c>
      <c r="C3139" t="n">
        <v>-0.421446298</v>
      </c>
      <c r="D3139" t="n">
        <v>-2.823952742</v>
      </c>
      <c r="E3139" t="n">
        <v>-3.977745328</v>
      </c>
      <c r="F3139" t="n">
        <v>1.089736249</v>
      </c>
      <c r="G3139" t="n">
        <v>0.985846862</v>
      </c>
      <c r="H3139" t="n">
        <v>-0.893032262</v>
      </c>
    </row>
    <row r="3140">
      <c r="A3140" t="inlineStr">
        <is>
          <t>G|ORIG_BAL x CHANNEL / SYS_FLAG|ranr_rate|band|2</t>
        </is>
      </c>
      <c r="B3140" t="n">
        <v>0.746268777</v>
      </c>
      <c r="C3140" t="n">
        <v>0.560525621</v>
      </c>
      <c r="D3140" t="n">
        <v>-2.363266835</v>
      </c>
      <c r="E3140" t="n">
        <v>-3.645041476</v>
      </c>
      <c r="F3140" t="n">
        <v>2.439584295</v>
      </c>
      <c r="G3140" t="n">
        <v>2.202011318</v>
      </c>
    </row>
    <row r="3141">
      <c r="A3141" t="inlineStr">
        <is>
          <t>G|ORIG_BAL x CHANNEL / SYS_FLAG|ranr_rate|rate|3</t>
        </is>
      </c>
      <c r="B3141" t="n">
        <v>0.1343767775113544</v>
      </c>
      <c r="C3141" t="n">
        <v>0.1140203172239735</v>
      </c>
      <c r="D3141" t="n">
        <v>0.1161497697930944</v>
      </c>
      <c r="E3141" t="n">
        <v>0.1218673990813496</v>
      </c>
      <c r="F3141" t="n">
        <v>0.1596787203529977</v>
      </c>
      <c r="G3141" t="n">
        <v>0.1391925332347572</v>
      </c>
      <c r="H3141" t="n">
        <v>0.1312994440713134</v>
      </c>
    </row>
    <row r="3142">
      <c r="A3142" t="inlineStr">
        <is>
          <t>G|ORIG_BAL x CHANNEL / SYS_FLAG|ranr_rate|book|3</t>
        </is>
      </c>
      <c r="B3142" t="n">
        <v>0.638672786</v>
      </c>
      <c r="C3142" t="n">
        <v>-1.396973242</v>
      </c>
      <c r="D3142" t="n">
        <v>-1.184027986</v>
      </c>
      <c r="E3142" t="n">
        <v>-0.612265057</v>
      </c>
      <c r="F3142" t="n">
        <v>3.16886707</v>
      </c>
      <c r="G3142" t="n">
        <v>1.120248359</v>
      </c>
      <c r="H3142" t="n">
        <v>0.330939442</v>
      </c>
    </row>
    <row r="3143">
      <c r="A3143" t="inlineStr">
        <is>
          <t>G|ORIG_BAL x CHANNEL / SYS_FLAG|ranr_rate|band|3</t>
        </is>
      </c>
      <c r="B3143" t="n">
        <v>0.37308948</v>
      </c>
      <c r="C3143" t="n">
        <v>-2.027526462</v>
      </c>
      <c r="D3143" t="n">
        <v>-1.869410667</v>
      </c>
      <c r="E3143" t="n">
        <v>-1.120571039</v>
      </c>
      <c r="F3143" t="n">
        <v>3.480358428</v>
      </c>
      <c r="G3143" t="n">
        <v>0.922715096</v>
      </c>
    </row>
    <row r="3144">
      <c r="A3144" t="inlineStr">
        <is>
          <t>G|ORIG_BAL x CHANNEL / SYS_FLAG|ranr_rate|rate|4</t>
        </is>
      </c>
      <c r="B3144" t="n">
        <v>0.1124705631844439</v>
      </c>
      <c r="C3144" t="n">
        <v>0.107366918661601</v>
      </c>
      <c r="D3144" t="n">
        <v>0.1357025276997594</v>
      </c>
      <c r="E3144" t="n">
        <v>0.09230560204538017</v>
      </c>
      <c r="F3144" t="n">
        <v>0.1740001585913756</v>
      </c>
      <c r="G3144" t="n">
        <v>0.1044076098268792</v>
      </c>
      <c r="H3144" t="n">
        <v>0.1224284738147316</v>
      </c>
    </row>
    <row r="3145">
      <c r="A3145" t="inlineStr">
        <is>
          <t>G|ORIG_BAL x CHANNEL / SYS_FLAG|ranr_rate|book|4</t>
        </is>
      </c>
      <c r="B3145" t="n">
        <v>-1.551948646</v>
      </c>
      <c r="C3145" t="n">
        <v>-2.062313099</v>
      </c>
      <c r="D3145" t="n">
        <v>0.771247805</v>
      </c>
      <c r="E3145" t="n">
        <v>-3.56844476</v>
      </c>
      <c r="F3145" t="n">
        <v>4.601010894</v>
      </c>
      <c r="G3145" t="n">
        <v>-2.358243982</v>
      </c>
      <c r="H3145" t="n">
        <v>-0.556157583</v>
      </c>
    </row>
    <row r="3146">
      <c r="A3146" t="inlineStr">
        <is>
          <t>G|ORIG_BAL x CHANNEL / SYS_FLAG|ranr_rate|band|4</t>
        </is>
      </c>
      <c r="B3146" t="n">
        <v>-1.197924196</v>
      </c>
      <c r="C3146" t="n">
        <v>-1.794386056</v>
      </c>
      <c r="D3146" t="n">
        <v>1.610253211</v>
      </c>
      <c r="E3146" t="n">
        <v>-3.566782749</v>
      </c>
      <c r="F3146" t="n">
        <v>6.293933504</v>
      </c>
      <c r="G3146" t="n">
        <v>-2.142552387</v>
      </c>
    </row>
    <row r="3147">
      <c r="A3147" t="inlineStr">
        <is>
          <t>G|ORIG_BAL x CHANNEL / SYS_FLAG|ranr_rate|rate|5</t>
        </is>
      </c>
      <c r="B3147" t="n">
        <v>0.1475275042045397</v>
      </c>
      <c r="C3147" t="n">
        <v>0.122059684195831</v>
      </c>
      <c r="D3147" t="n">
        <v>0.117631177967876</v>
      </c>
      <c r="E3147" t="n">
        <v>0.1000757888598914</v>
      </c>
      <c r="F3147" t="n">
        <v>0.1676053356710171</v>
      </c>
      <c r="G3147" t="n">
        <v>0.119573307791757</v>
      </c>
      <c r="H3147" t="n">
        <v>0.1304237269597045</v>
      </c>
    </row>
    <row r="3148">
      <c r="A3148" t="inlineStr">
        <is>
          <t>G|ORIG_BAL x CHANNEL / SYS_FLAG|ranr_rate|book|5</t>
        </is>
      </c>
      <c r="B3148" t="n">
        <v>1.953745456</v>
      </c>
      <c r="C3148" t="n">
        <v>-0.593036545</v>
      </c>
      <c r="D3148" t="n">
        <v>-1.035887168</v>
      </c>
      <c r="E3148" t="n">
        <v>-2.791426079</v>
      </c>
      <c r="F3148" t="n">
        <v>3.961528602</v>
      </c>
      <c r="G3148" t="n">
        <v>-0.841674186</v>
      </c>
      <c r="H3148" t="n">
        <v>0.243367731</v>
      </c>
    </row>
    <row r="3149">
      <c r="A3149" t="inlineStr">
        <is>
          <t>G|ORIG_BAL x CHANNEL / SYS_FLAG|ranr_rate|band|5</t>
        </is>
      </c>
      <c r="B3149" t="n">
        <v>2.08691486</v>
      </c>
      <c r="C3149" t="n">
        <v>-0.9735753700000001</v>
      </c>
      <c r="D3149" t="n">
        <v>-1.549942552</v>
      </c>
      <c r="E3149" t="n">
        <v>-3.576860338</v>
      </c>
      <c r="F3149" t="n">
        <v>4.546419181</v>
      </c>
      <c r="G3149" t="n">
        <v>-1.307765041</v>
      </c>
    </row>
    <row r="3150">
      <c r="A3150" t="inlineStr">
        <is>
          <t>G|ORIG_BAL x CHANNEL / SYS_FLAG|ranr_rate|rate|6</t>
        </is>
      </c>
    </row>
    <row r="3151">
      <c r="A3151" t="inlineStr">
        <is>
          <t>G|ORIG_BAL x CHANNEL / SYS_FLAG|ranr_rate|book|6</t>
        </is>
      </c>
    </row>
    <row r="3152">
      <c r="A3152" t="inlineStr">
        <is>
          <t>G|ORIG_BAL x CHANNEL / SYS_FLAG|ranr_rate|band|6</t>
        </is>
      </c>
    </row>
    <row r="3153">
      <c r="A3153" t="inlineStr">
        <is>
          <t>G|ORIG_BAL x CHANNEL / SYS_FLAG|ranr_rate|rate|7</t>
        </is>
      </c>
      <c r="B3153" t="n">
        <v>0.1332692091964859</v>
      </c>
      <c r="C3153" t="n">
        <v>0.1169453091003141</v>
      </c>
      <c r="D3153" t="n">
        <v>0.1222096812820414</v>
      </c>
      <c r="E3153" t="n">
        <v>0.1023825193760781</v>
      </c>
      <c r="F3153" t="n">
        <v>0.1640539804937369</v>
      </c>
      <c r="G3153" t="n">
        <v>0.1223457649562408</v>
      </c>
      <c r="H3153" t="n">
        <v>0.1279900496481476</v>
      </c>
    </row>
    <row r="3154">
      <c r="A3154" t="inlineStr">
        <is>
          <t>G|ORIG_BAL x CHANNEL / SYS_FLAG|ranr_rate|book|7</t>
        </is>
      </c>
      <c r="B3154" t="n">
        <v>0.527915955</v>
      </c>
      <c r="C3154" t="n">
        <v>-1.104474055</v>
      </c>
      <c r="D3154" t="n">
        <v>-0.578036837</v>
      </c>
      <c r="E3154" t="n">
        <v>-2.560753027</v>
      </c>
      <c r="F3154" t="n">
        <v>3.606393085</v>
      </c>
      <c r="G3154" t="n">
        <v>-0.564428469</v>
      </c>
      <c r="H3154" t="n">
        <v>0</v>
      </c>
    </row>
    <row r="3155">
      <c r="A3155" t="inlineStr">
        <is>
          <t>G|ORIG_BAL x CHANNEL / SYS_FLAG|ranr_rate|band|7</t>
        </is>
      </c>
    </row>
    <row r="3156">
      <c r="A3156" t="inlineStr">
        <is>
          <t>G|ORIG_BAL x CHANNEL / SYS_FLAG|ranr_rate|meta</t>
        </is>
      </c>
      <c r="B3156" t="inlineStr">
        <is>
          <t>pts</t>
        </is>
      </c>
      <c r="C3156" t="n">
        <v>6.293933504</v>
      </c>
      <c r="D3156" t="n">
        <v>10</v>
      </c>
      <c r="E3156" t="n">
        <v>0.1279900496481481</v>
      </c>
      <c r="F3156" t="n">
        <v>65</v>
      </c>
    </row>
    <row r="3157">
      <c r="A3157" t="inlineStr">
        <is>
          <t>G|ORIG_BAL x CHANNEL / SYS_FLAG|contribution_rate|rate|1</t>
        </is>
      </c>
      <c r="B3157" t="n">
        <v>0.1796121070112261</v>
      </c>
      <c r="C3157" t="n">
        <v>0.1743327084922897</v>
      </c>
      <c r="D3157" t="n">
        <v>0.1951360531182056</v>
      </c>
      <c r="E3157" t="n">
        <v>0.1805358064166306</v>
      </c>
      <c r="F3157" t="n">
        <v>0.1956779837851131</v>
      </c>
      <c r="G3157" t="n">
        <v>0.2018869273808885</v>
      </c>
      <c r="H3157" t="n">
        <v>0.1880773485524349</v>
      </c>
    </row>
    <row r="3158">
      <c r="A3158" t="inlineStr">
        <is>
          <t>G|ORIG_BAL x CHANNEL / SYS_FLAG|contribution_rate|book|1</t>
        </is>
      </c>
      <c r="B3158" t="n">
        <v>1.001965128</v>
      </c>
      <c r="C3158" t="n">
        <v>0.474025276</v>
      </c>
      <c r="D3158" t="n">
        <v>2.554359738</v>
      </c>
      <c r="E3158" t="n">
        <v>1.094335068</v>
      </c>
      <c r="F3158" t="n">
        <v>2.608552805</v>
      </c>
      <c r="G3158" t="n">
        <v>3.229447165</v>
      </c>
      <c r="H3158" t="n">
        <v>1.848489282</v>
      </c>
    </row>
    <row r="3159">
      <c r="A3159" t="inlineStr">
        <is>
          <t>G|ORIG_BAL x CHANNEL / SYS_FLAG|contribution_rate|band|1</t>
        </is>
      </c>
      <c r="B3159" t="n">
        <v>-1.045878611</v>
      </c>
      <c r="C3159" t="n">
        <v>-1.610240435</v>
      </c>
      <c r="D3159" t="n">
        <v>0.853999013</v>
      </c>
      <c r="E3159" t="n">
        <v>-0.887205683</v>
      </c>
      <c r="F3159" t="n">
        <v>0.934002802</v>
      </c>
      <c r="G3159" t="n">
        <v>1.631022438</v>
      </c>
    </row>
    <row r="3160">
      <c r="A3160" t="inlineStr">
        <is>
          <t>G|ORIG_BAL x CHANNEL / SYS_FLAG|contribution_rate|rate|2</t>
        </is>
      </c>
      <c r="B3160" t="n">
        <v>0.1659463329625717</v>
      </c>
      <c r="C3160" t="n">
        <v>0.164036216437713</v>
      </c>
      <c r="D3160" t="n">
        <v>0.159126236094771</v>
      </c>
      <c r="E3160" t="n">
        <v>0.1664405633032231</v>
      </c>
      <c r="F3160" t="n">
        <v>0.1892960155460444</v>
      </c>
      <c r="G3160" t="n">
        <v>0.1889531560150098</v>
      </c>
      <c r="H3160" t="n">
        <v>0.1722199062366802</v>
      </c>
    </row>
    <row r="3161">
      <c r="A3161" t="inlineStr">
        <is>
          <t>G|ORIG_BAL x CHANNEL / SYS_FLAG|contribution_rate|book|2</t>
        </is>
      </c>
      <c r="B3161" t="n">
        <v>-0.364612277</v>
      </c>
      <c r="C3161" t="n">
        <v>-0.55562393</v>
      </c>
      <c r="D3161" t="n">
        <v>-1.046621964</v>
      </c>
      <c r="E3161" t="n">
        <v>-0.315189243</v>
      </c>
      <c r="F3161" t="n">
        <v>1.970355981</v>
      </c>
      <c r="G3161" t="n">
        <v>1.936070028</v>
      </c>
      <c r="H3161" t="n">
        <v>0.26274505</v>
      </c>
    </row>
    <row r="3162">
      <c r="A3162" t="inlineStr">
        <is>
          <t>G|ORIG_BAL x CHANNEL / SYS_FLAG|contribution_rate|band|2</t>
        </is>
      </c>
      <c r="B3162" t="n">
        <v>-0.756457992</v>
      </c>
      <c r="C3162" t="n">
        <v>-0.972710843</v>
      </c>
      <c r="D3162" t="n">
        <v>-1.602543279</v>
      </c>
      <c r="E3162" t="n">
        <v>-0.682914237</v>
      </c>
      <c r="F3162" t="n">
        <v>2.101032362</v>
      </c>
      <c r="G3162" t="n">
        <v>1.96110569</v>
      </c>
    </row>
    <row r="3163">
      <c r="A3163" t="inlineStr">
        <is>
          <t>G|ORIG_BAL x CHANNEL / SYS_FLAG|contribution_rate|rate|3</t>
        </is>
      </c>
      <c r="B3163" t="n">
        <v>0.162178343243562</v>
      </c>
      <c r="C3163" t="n">
        <v>0.1579612770379667</v>
      </c>
      <c r="D3163" t="n">
        <v>0.1562110573534481</v>
      </c>
      <c r="E3163" t="n">
        <v>0.1630888093845802</v>
      </c>
      <c r="F3163" t="n">
        <v>0.1821363402286622</v>
      </c>
      <c r="G3163" t="n">
        <v>0.1932912015683944</v>
      </c>
      <c r="H3163" t="n">
        <v>0.1687501739092802</v>
      </c>
    </row>
    <row r="3164">
      <c r="A3164" t="inlineStr">
        <is>
          <t>G|ORIG_BAL x CHANNEL / SYS_FLAG|contribution_rate|book|3</t>
        </is>
      </c>
      <c r="B3164" t="n">
        <v>-0.741411249</v>
      </c>
      <c r="C3164" t="n">
        <v>-1.16311787</v>
      </c>
      <c r="D3164" t="n">
        <v>-1.338139838</v>
      </c>
      <c r="E3164" t="n">
        <v>-0.650364635</v>
      </c>
      <c r="F3164" t="n">
        <v>1.254388449</v>
      </c>
      <c r="G3164" t="n">
        <v>2.369874583</v>
      </c>
      <c r="H3164" t="n">
        <v>-0.084228183</v>
      </c>
    </row>
    <row r="3165">
      <c r="A3165" t="inlineStr">
        <is>
          <t>G|ORIG_BAL x CHANNEL / SYS_FLAG|contribution_rate|band|3</t>
        </is>
      </c>
      <c r="B3165" t="n">
        <v>-0.796755026</v>
      </c>
      <c r="C3165" t="n">
        <v>-1.265965236</v>
      </c>
      <c r="D3165" t="n">
        <v>-1.547278035</v>
      </c>
      <c r="E3165" t="n">
        <v>-0.672596572</v>
      </c>
      <c r="F3165" t="n">
        <v>1.641643582</v>
      </c>
      <c r="G3165" t="n">
        <v>2.868886468</v>
      </c>
    </row>
    <row r="3166">
      <c r="A3166" t="inlineStr">
        <is>
          <t>G|ORIG_BAL x CHANNEL / SYS_FLAG|contribution_rate|rate|4</t>
        </is>
      </c>
      <c r="B3166" t="n">
        <v>0.1529771392248319</v>
      </c>
      <c r="C3166" t="n">
        <v>0.1538421604839745</v>
      </c>
      <c r="D3166" t="n">
        <v>0.1667228861748754</v>
      </c>
      <c r="E3166" t="n">
        <v>0.1665527799375296</v>
      </c>
      <c r="F3166" t="n">
        <v>0.1944113158680096</v>
      </c>
      <c r="G3166" t="n">
        <v>0.1784434015306375</v>
      </c>
      <c r="H3166" t="n">
        <v>0.1691805976256634</v>
      </c>
    </row>
    <row r="3167">
      <c r="A3167" t="inlineStr">
        <is>
          <t>G|ORIG_BAL x CHANNEL / SYS_FLAG|contribution_rate|book|4</t>
        </is>
      </c>
      <c r="B3167" t="n">
        <v>-1.661531651</v>
      </c>
      <c r="C3167" t="n">
        <v>-1.575029525</v>
      </c>
      <c r="D3167" t="n">
        <v>-0.286956956</v>
      </c>
      <c r="E3167" t="n">
        <v>-0.30396758</v>
      </c>
      <c r="F3167" t="n">
        <v>2.481886013</v>
      </c>
      <c r="G3167" t="n">
        <v>0.88509458</v>
      </c>
      <c r="H3167" t="n">
        <v>-0.041185811</v>
      </c>
    </row>
    <row r="3168">
      <c r="A3168" t="inlineStr">
        <is>
          <t>G|ORIG_BAL x CHANNEL / SYS_FLAG|contribution_rate|band|4</t>
        </is>
      </c>
      <c r="B3168" t="n">
        <v>-1.948145919</v>
      </c>
      <c r="C3168" t="n">
        <v>-1.827572148</v>
      </c>
      <c r="D3168" t="n">
        <v>-0.29817705</v>
      </c>
      <c r="E3168" t="n">
        <v>-0.311186725</v>
      </c>
      <c r="F3168" t="n">
        <v>3.07960478</v>
      </c>
      <c r="G3168" t="n">
        <v>1.101399963</v>
      </c>
    </row>
    <row r="3169">
      <c r="A3169" t="inlineStr">
        <is>
          <t>G|ORIG_BAL x CHANNEL / SYS_FLAG|contribution_rate|rate|5</t>
        </is>
      </c>
      <c r="B3169" t="n">
        <v>0.1564784826477702</v>
      </c>
      <c r="C3169" t="n">
        <v>0.1626680871634243</v>
      </c>
      <c r="D3169" t="n">
        <v>0.1594295612872402</v>
      </c>
      <c r="E3169" t="n">
        <v>0.1576923525125809</v>
      </c>
      <c r="F3169" t="n">
        <v>0.1845428270700758</v>
      </c>
      <c r="G3169" t="n">
        <v>0.173001479520192</v>
      </c>
      <c r="H3169" t="n">
        <v>0.1659766215946923</v>
      </c>
    </row>
    <row r="3170">
      <c r="A3170" t="inlineStr">
        <is>
          <t>G|ORIG_BAL x CHANNEL / SYS_FLAG|contribution_rate|book|5</t>
        </is>
      </c>
      <c r="B3170" t="n">
        <v>-1.311397309</v>
      </c>
      <c r="C3170" t="n">
        <v>-0.692436857</v>
      </c>
      <c r="D3170" t="n">
        <v>-1.016289445</v>
      </c>
      <c r="E3170" t="n">
        <v>-1.190010322</v>
      </c>
      <c r="F3170" t="n">
        <v>1.495037134</v>
      </c>
      <c r="G3170" t="n">
        <v>0.340902379</v>
      </c>
      <c r="H3170" t="n">
        <v>-0.361583414</v>
      </c>
    </row>
    <row r="3171">
      <c r="A3171" t="inlineStr">
        <is>
          <t>G|ORIG_BAL x CHANNEL / SYS_FLAG|contribution_rate|band|5</t>
        </is>
      </c>
      <c r="B3171" t="n">
        <v>-1.158914024</v>
      </c>
      <c r="C3171" t="n">
        <v>-0.385113721</v>
      </c>
      <c r="D3171" t="n">
        <v>-0.793240453</v>
      </c>
      <c r="E3171" t="n">
        <v>-0.9763982450000001</v>
      </c>
      <c r="F3171" t="n">
        <v>2.270201737</v>
      </c>
      <c r="G3171" t="n">
        <v>0.84668283</v>
      </c>
    </row>
    <row r="3172">
      <c r="A3172" t="inlineStr">
        <is>
          <t>G|ORIG_BAL x CHANNEL / SYS_FLAG|contribution_rate|rate|6</t>
        </is>
      </c>
    </row>
    <row r="3173">
      <c r="A3173" t="inlineStr">
        <is>
          <t>G|ORIG_BAL x CHANNEL / SYS_FLAG|contribution_rate|book|6</t>
        </is>
      </c>
    </row>
    <row r="3174">
      <c r="A3174" t="inlineStr">
        <is>
          <t>G|ORIG_BAL x CHANNEL / SYS_FLAG|contribution_rate|band|6</t>
        </is>
      </c>
    </row>
    <row r="3175">
      <c r="A3175" t="inlineStr">
        <is>
          <t>G|ORIG_BAL x CHANNEL / SYS_FLAG|contribution_rate|rate|7</t>
        </is>
      </c>
      <c r="B3175" t="n">
        <v>0.159477974501621</v>
      </c>
      <c r="C3175" t="n">
        <v>0.1601003921069276</v>
      </c>
      <c r="D3175" t="n">
        <v>0.1628222874923279</v>
      </c>
      <c r="E3175" t="n">
        <v>0.1637367310415071</v>
      </c>
      <c r="F3175" t="n">
        <v>0.1880298300565875</v>
      </c>
      <c r="G3175" t="n">
        <v>0.1818565650221959</v>
      </c>
      <c r="H3175" t="n">
        <v>0.1695924557349812</v>
      </c>
    </row>
    <row r="3176">
      <c r="A3176" t="inlineStr">
        <is>
          <t>G|ORIG_BAL x CHANNEL / SYS_FLAG|contribution_rate|book|7</t>
        </is>
      </c>
      <c r="B3176" t="n">
        <v>-1.011448123</v>
      </c>
      <c r="C3176" t="n">
        <v>-0.9492063630000001</v>
      </c>
      <c r="D3176" t="n">
        <v>-0.677016824</v>
      </c>
      <c r="E3176" t="n">
        <v>-0.585572469</v>
      </c>
      <c r="F3176" t="n">
        <v>1.843737432</v>
      </c>
      <c r="G3176" t="n">
        <v>1.226410929</v>
      </c>
      <c r="H3176" t="n">
        <v>0</v>
      </c>
    </row>
    <row r="3177">
      <c r="A3177" t="inlineStr">
        <is>
          <t>G|ORIG_BAL x CHANNEL / SYS_FLAG|contribution_rate|band|7</t>
        </is>
      </c>
    </row>
    <row r="3178">
      <c r="A3178" t="inlineStr">
        <is>
          <t>G|ORIG_BAL x CHANNEL / SYS_FLAG|contribution_rate|meta</t>
        </is>
      </c>
      <c r="B3178" t="inlineStr">
        <is>
          <t>pts</t>
        </is>
      </c>
      <c r="C3178" t="n">
        <v>3.229447165</v>
      </c>
      <c r="D3178" t="n">
        <v>10</v>
      </c>
      <c r="E3178" t="n">
        <v>0.1695924557349815</v>
      </c>
      <c r="F3178" t="n">
        <v>65</v>
      </c>
    </row>
    <row r="3179">
      <c r="A3179" t="inlineStr">
        <is>
          <t>G|ORIG_BAL x CHANNEL / SYS_FLAG|loan_size|rate|1</t>
        </is>
      </c>
      <c r="B3179" t="n">
        <v>10279.66667774086</v>
      </c>
      <c r="C3179" t="n">
        <v>9862.646680497926</v>
      </c>
      <c r="D3179" t="n">
        <v>10164.88602888087</v>
      </c>
      <c r="E3179" t="n">
        <v>10271.83122362869</v>
      </c>
      <c r="F3179" t="n">
        <v>10010.21493377483</v>
      </c>
      <c r="G3179" t="n">
        <v>10284.37008264463</v>
      </c>
      <c r="H3179" t="n">
        <v>10145.6733875</v>
      </c>
    </row>
    <row r="3180">
      <c r="A3180" t="inlineStr">
        <is>
          <t>G|ORIG_BAL x CHANNEL / SYS_FLAG|loan_size|median|1</t>
        </is>
      </c>
      <c r="B3180" t="n">
        <v>10359.55</v>
      </c>
      <c r="C3180" t="n">
        <v>9779.91</v>
      </c>
      <c r="D3180" t="n">
        <v>10055.78</v>
      </c>
      <c r="E3180" t="n">
        <v>10387.69</v>
      </c>
      <c r="F3180" t="n">
        <v>10006.43</v>
      </c>
      <c r="G3180" t="n">
        <v>10416.175</v>
      </c>
      <c r="H3180" t="n">
        <v>10109.435</v>
      </c>
    </row>
    <row r="3181">
      <c r="A3181" t="inlineStr">
        <is>
          <t>G|ORIG_BAL x CHANNEL / SYS_FLAG|loan_size|book|1</t>
        </is>
      </c>
      <c r="B3181" t="n">
        <v>0.3186249811636809</v>
      </c>
      <c r="C3181" t="n">
        <v>0.3056991740405642</v>
      </c>
      <c r="D3181" t="n">
        <v>0.3150672800020117</v>
      </c>
      <c r="E3181" t="n">
        <v>0.3183821161470257</v>
      </c>
      <c r="F3181" t="n">
        <v>0.3102731484110099</v>
      </c>
      <c r="G3181" t="n">
        <v>0.3187707662699346</v>
      </c>
      <c r="H3181" t="n">
        <v>0.3144717716368096</v>
      </c>
    </row>
    <row r="3182">
      <c r="A3182" t="inlineStr">
        <is>
          <t>G|ORIG_BAL x CHANNEL / SYS_FLAG|loan_size|band|1</t>
        </is>
      </c>
      <c r="B3182" t="n">
        <v>1.016317142310159</v>
      </c>
      <c r="C3182" t="n">
        <v>0.9673183557620914</v>
      </c>
      <c r="D3182" t="n">
        <v>1.002291071076961</v>
      </c>
      <c r="E3182" t="n">
        <v>1.014628422909248</v>
      </c>
      <c r="F3182" t="n">
        <v>0.9835932135619155</v>
      </c>
      <c r="G3182" t="n">
        <v>1.01614599218087</v>
      </c>
    </row>
    <row r="3183">
      <c r="A3183" t="inlineStr">
        <is>
          <t>G|ORIG_BAL x CHANNEL / SYS_FLAG|loan_size|rate|2</t>
        </is>
      </c>
      <c r="B3183" t="n">
        <v>20809.79956204379</v>
      </c>
      <c r="C3183" t="n">
        <v>21120.34737051793</v>
      </c>
      <c r="D3183" t="n">
        <v>20860.57218430034</v>
      </c>
      <c r="E3183" t="n">
        <v>21048.69319672131</v>
      </c>
      <c r="F3183" t="n">
        <v>20853.49316666667</v>
      </c>
      <c r="G3183" t="n">
        <v>20599.58743697479</v>
      </c>
      <c r="H3183" t="n">
        <v>20881.1692625</v>
      </c>
    </row>
    <row r="3184">
      <c r="A3184" t="inlineStr">
        <is>
          <t>G|ORIG_BAL x CHANNEL / SYS_FLAG|loan_size|median|2</t>
        </is>
      </c>
      <c r="B3184" t="n">
        <v>20960.76</v>
      </c>
      <c r="C3184" t="n">
        <v>21102.79</v>
      </c>
      <c r="D3184" t="n">
        <v>20830.29</v>
      </c>
      <c r="E3184" t="n">
        <v>21339.26</v>
      </c>
      <c r="F3184" t="n">
        <v>20934.385</v>
      </c>
      <c r="G3184" t="n">
        <v>20279.415</v>
      </c>
      <c r="H3184" t="n">
        <v>20863.035</v>
      </c>
    </row>
    <row r="3185">
      <c r="A3185" t="inlineStr">
        <is>
          <t>G|ORIG_BAL x CHANNEL / SYS_FLAG|loan_size|book|2</t>
        </is>
      </c>
      <c r="B3185" t="n">
        <v>0.645013325950891</v>
      </c>
      <c r="C3185" t="n">
        <v>0.6546389580581803</v>
      </c>
      <c r="D3185" t="n">
        <v>0.646587056531587</v>
      </c>
      <c r="E3185" t="n">
        <v>0.6524179901521211</v>
      </c>
      <c r="F3185" t="n">
        <v>0.6463676377575259</v>
      </c>
      <c r="G3185" t="n">
        <v>0.6384976638686249</v>
      </c>
      <c r="H3185" t="n">
        <v>0.6472254764200065</v>
      </c>
    </row>
    <row r="3186">
      <c r="A3186" t="inlineStr">
        <is>
          <t>G|ORIG_BAL x CHANNEL / SYS_FLAG|loan_size|band|2</t>
        </is>
      </c>
      <c r="B3186" t="n">
        <v>0.9958787505594433</v>
      </c>
      <c r="C3186" t="n">
        <v>1.013614484767617</v>
      </c>
      <c r="D3186" t="n">
        <v>0.9987927445481727</v>
      </c>
      <c r="E3186" t="n">
        <v>1.009480030861852</v>
      </c>
      <c r="F3186" t="n">
        <v>0.998369225815999</v>
      </c>
      <c r="G3186" t="n">
        <v>0.9841958729510356</v>
      </c>
    </row>
    <row r="3187">
      <c r="A3187" t="inlineStr">
        <is>
          <t>G|ORIG_BAL x CHANNEL / SYS_FLAG|loan_size|rate|3</t>
        </is>
      </c>
      <c r="B3187" t="n">
        <v>31905.71234042554</v>
      </c>
      <c r="C3187" t="n">
        <v>32160.84385593221</v>
      </c>
      <c r="D3187" t="n">
        <v>31929.07452459017</v>
      </c>
      <c r="E3187" t="n">
        <v>32781.19713709677</v>
      </c>
      <c r="F3187" t="n">
        <v>31922.00208754209</v>
      </c>
      <c r="G3187" t="n">
        <v>32147.00601731602</v>
      </c>
      <c r="H3187" t="n">
        <v>32121.49322076298</v>
      </c>
    </row>
    <row r="3188">
      <c r="A3188" t="inlineStr">
        <is>
          <t>G|ORIG_BAL x CHANNEL / SYS_FLAG|loan_size|median|3</t>
        </is>
      </c>
      <c r="B3188" t="n">
        <v>31692.58</v>
      </c>
      <c r="C3188" t="n">
        <v>32103.67</v>
      </c>
      <c r="D3188" t="n">
        <v>32147.3</v>
      </c>
      <c r="E3188" t="n">
        <v>33171.675</v>
      </c>
      <c r="F3188" t="n">
        <v>31585.87</v>
      </c>
      <c r="G3188" t="n">
        <v>31921.86</v>
      </c>
      <c r="H3188" t="n">
        <v>32112.83</v>
      </c>
    </row>
    <row r="3189">
      <c r="A3189" t="inlineStr">
        <is>
          <t>G|ORIG_BAL x CHANNEL / SYS_FLAG|loan_size|book|3</t>
        </is>
      </c>
      <c r="B3189" t="n">
        <v>0.9889383880019013</v>
      </c>
      <c r="C3189" t="n">
        <v>0.9968463559225537</v>
      </c>
      <c r="D3189" t="n">
        <v>0.9896625141552828</v>
      </c>
      <c r="E3189" t="n">
        <v>1.016074610954781</v>
      </c>
      <c r="F3189" t="n">
        <v>0.9894432993507692</v>
      </c>
      <c r="G3189" t="n">
        <v>0.9964174430787183</v>
      </c>
      <c r="H3189" t="n">
        <v>0.9956266572900363</v>
      </c>
    </row>
    <row r="3190">
      <c r="A3190" t="inlineStr">
        <is>
          <t>G|ORIG_BAL x CHANNEL / SYS_FLAG|loan_size|band|3</t>
        </is>
      </c>
      <c r="B3190" t="n">
        <v>0.9918556640129503</v>
      </c>
      <c r="C3190" t="n">
        <v>1.001437476518316</v>
      </c>
      <c r="D3190" t="n">
        <v>0.9926081531116079</v>
      </c>
      <c r="E3190" t="n">
        <v>1.024399833723122</v>
      </c>
      <c r="F3190" t="n">
        <v>0.9923835862608725</v>
      </c>
      <c r="G3190" t="n">
        <v>1.00092850224259</v>
      </c>
    </row>
    <row r="3191">
      <c r="A3191" t="inlineStr">
        <is>
          <t>G|ORIG_BAL x CHANNEL / SYS_FLAG|loan_size|rate|4</t>
        </is>
      </c>
      <c r="B3191" t="n">
        <v>43719.51468401487</v>
      </c>
      <c r="C3191" t="n">
        <v>43562.2626848249</v>
      </c>
      <c r="D3191" t="n">
        <v>43413.91978723404</v>
      </c>
      <c r="E3191" t="n">
        <v>43515.25365461847</v>
      </c>
      <c r="F3191" t="n">
        <v>43558.22283737025</v>
      </c>
      <c r="G3191" t="n">
        <v>43604.16846456692</v>
      </c>
      <c r="H3191" t="n">
        <v>43561.16230625</v>
      </c>
    </row>
    <row r="3192">
      <c r="A3192" t="inlineStr">
        <is>
          <t>G|ORIG_BAL x CHANNEL / SYS_FLAG|loan_size|median|4</t>
        </is>
      </c>
      <c r="B3192" t="n">
        <v>43910.99</v>
      </c>
      <c r="C3192" t="n">
        <v>43482.13</v>
      </c>
      <c r="D3192" t="n">
        <v>43497.25999999999</v>
      </c>
      <c r="E3192" t="n">
        <v>43151.59</v>
      </c>
      <c r="F3192" t="n">
        <v>43708.25</v>
      </c>
      <c r="G3192" t="n">
        <v>43539.425</v>
      </c>
      <c r="H3192" t="n">
        <v>43587.85</v>
      </c>
    </row>
    <row r="3193">
      <c r="A3193" t="inlineStr">
        <is>
          <t>G|ORIG_BAL x CHANNEL / SYS_FLAG|loan_size|book|4</t>
        </is>
      </c>
      <c r="B3193" t="n">
        <v>1.355114905898962</v>
      </c>
      <c r="C3193" t="n">
        <v>1.350240777500583</v>
      </c>
      <c r="D3193" t="n">
        <v>1.345642792523793</v>
      </c>
      <c r="E3193" t="n">
        <v>1.348783701913056</v>
      </c>
      <c r="F3193" t="n">
        <v>1.350115559790758</v>
      </c>
      <c r="G3193" t="n">
        <v>1.35153967450761</v>
      </c>
      <c r="H3193" t="n">
        <v>1.350206670548121</v>
      </c>
    </row>
    <row r="3194">
      <c r="A3194" t="inlineStr">
        <is>
          <t>G|ORIG_BAL x CHANNEL / SYS_FLAG|loan_size|band|4</t>
        </is>
      </c>
      <c r="B3194" t="n">
        <v>1.004373068120944</v>
      </c>
      <c r="C3194" t="n">
        <v>1.000030094611134</v>
      </c>
      <c r="D3194" t="n">
        <v>0.9958996174449023</v>
      </c>
      <c r="E3194" t="n">
        <v>0.9987521127062572</v>
      </c>
      <c r="F3194" t="n">
        <v>0.99991764684569</v>
      </c>
      <c r="G3194" t="n">
        <v>1.001173780879846</v>
      </c>
    </row>
    <row r="3195">
      <c r="A3195" t="inlineStr">
        <is>
          <t>G|ORIG_BAL x CHANNEL / SYS_FLAG|loan_size|rate|5</t>
        </is>
      </c>
      <c r="B3195" t="n">
        <v>54543.69591695502</v>
      </c>
      <c r="C3195" t="n">
        <v>54465.80230088496</v>
      </c>
      <c r="D3195" t="n">
        <v>54884.20424460431</v>
      </c>
      <c r="E3195" t="n">
        <v>54710.98888429752</v>
      </c>
      <c r="F3195" t="n">
        <v>54694.37453608248</v>
      </c>
      <c r="G3195" t="n">
        <v>54303.06540145985</v>
      </c>
      <c r="H3195" t="n">
        <v>54603.356525</v>
      </c>
    </row>
    <row r="3196">
      <c r="A3196" t="inlineStr">
        <is>
          <t>G|ORIG_BAL x CHANNEL / SYS_FLAG|loan_size|median|5</t>
        </is>
      </c>
      <c r="B3196" t="n">
        <v>54448.33</v>
      </c>
      <c r="C3196" t="n">
        <v>54202.61500000001</v>
      </c>
      <c r="D3196" t="n">
        <v>54870.175</v>
      </c>
      <c r="E3196" t="n">
        <v>54773.2</v>
      </c>
      <c r="F3196" t="n">
        <v>54754.19</v>
      </c>
      <c r="G3196" t="n">
        <v>53998.745</v>
      </c>
      <c r="H3196" t="n">
        <v>54496</v>
      </c>
    </row>
    <row r="3197">
      <c r="A3197" t="inlineStr">
        <is>
          <t>G|ORIG_BAL x CHANNEL / SYS_FLAG|loan_size|book|5</t>
        </is>
      </c>
      <c r="B3197" t="n">
        <v>1.690617471261886</v>
      </c>
      <c r="C3197" t="n">
        <v>1.688203107768288</v>
      </c>
      <c r="D3197" t="n">
        <v>1.701171749224834</v>
      </c>
      <c r="E3197" t="n">
        <v>1.695802826024774</v>
      </c>
      <c r="F3197" t="n">
        <v>1.695287853452898</v>
      </c>
      <c r="G3197" t="n">
        <v>1.683158971305553</v>
      </c>
      <c r="H3197" t="n">
        <v>1.692466690765833</v>
      </c>
    </row>
    <row r="3198">
      <c r="A3198" t="inlineStr">
        <is>
          <t>G|ORIG_BAL x CHANNEL / SYS_FLAG|loan_size|band|5</t>
        </is>
      </c>
      <c r="B3198" t="n">
        <v>0.9986668438057379</v>
      </c>
      <c r="C3198" t="n">
        <v>0.9970677032091396</v>
      </c>
      <c r="D3198" t="n">
        <v>1.006231750748773</v>
      </c>
      <c r="E3198" t="n">
        <v>1.002323251966849</v>
      </c>
      <c r="F3198" t="n">
        <v>1.002038211746613</v>
      </c>
      <c r="G3198" t="n">
        <v>0.9933716358075037</v>
      </c>
    </row>
    <row r="3199">
      <c r="A3199" t="inlineStr">
        <is>
          <t>G|ORIG_BAL x CHANNEL / SYS_FLAG|loan_size|rate|6</t>
        </is>
      </c>
    </row>
    <row r="3200">
      <c r="A3200" t="inlineStr">
        <is>
          <t>G|ORIG_BAL x CHANNEL / SYS_FLAG|loan_size|median|6</t>
        </is>
      </c>
    </row>
    <row r="3201">
      <c r="A3201" t="inlineStr">
        <is>
          <t>G|ORIG_BAL x CHANNEL / SYS_FLAG|loan_size|book|6</t>
        </is>
      </c>
    </row>
    <row r="3202">
      <c r="A3202" t="inlineStr">
        <is>
          <t>G|ORIG_BAL x CHANNEL / SYS_FLAG|loan_size|band|6</t>
        </is>
      </c>
    </row>
    <row r="3203">
      <c r="A3203" t="inlineStr">
        <is>
          <t>G|ORIG_BAL x CHANNEL / SYS_FLAG|loan_size|rate|7</t>
        </is>
      </c>
      <c r="B3203" t="n">
        <v>32026.25667844523</v>
      </c>
      <c r="C3203" t="n">
        <v>32017.20645747317</v>
      </c>
      <c r="D3203" t="n">
        <v>32171.93238327526</v>
      </c>
      <c r="E3203" t="n">
        <v>32602.78647540984</v>
      </c>
      <c r="F3203" t="n">
        <v>31956.96881000676</v>
      </c>
      <c r="G3203" t="n">
        <v>32907.16422114609</v>
      </c>
      <c r="H3203" t="n">
        <v>32262.58857732217</v>
      </c>
    </row>
    <row r="3204">
      <c r="A3204" t="inlineStr">
        <is>
          <t>G|ORIG_BAL x CHANNEL / SYS_FLAG|loan_size|median|7</t>
        </is>
      </c>
      <c r="B3204" t="n">
        <v>31141.73</v>
      </c>
      <c r="C3204" t="n">
        <v>31923.05</v>
      </c>
      <c r="D3204" t="n">
        <v>31928.12</v>
      </c>
      <c r="E3204" t="n">
        <v>33360.735</v>
      </c>
      <c r="F3204" t="n">
        <v>31263.76</v>
      </c>
      <c r="G3204" t="n">
        <v>33331.65</v>
      </c>
      <c r="H3204" t="n">
        <v>32112.83</v>
      </c>
    </row>
    <row r="3205">
      <c r="A3205" t="inlineStr">
        <is>
          <t>G|ORIG_BAL x CHANNEL / SYS_FLAG|loan_size|book|7</t>
        </is>
      </c>
      <c r="B3205" t="n">
        <v>0.9926747384726886</v>
      </c>
      <c r="C3205" t="n">
        <v>0.9923942209639842</v>
      </c>
      <c r="D3205" t="n">
        <v>0.9971900520682141</v>
      </c>
      <c r="E3205" t="n">
        <v>1.010544655995979</v>
      </c>
      <c r="F3205" t="n">
        <v>0.9905271157463715</v>
      </c>
      <c r="G3205" t="n">
        <v>1.019979042979738</v>
      </c>
      <c r="H3205" t="n">
        <v>1</v>
      </c>
    </row>
    <row r="3206">
      <c r="A3206" t="inlineStr">
        <is>
          <t>G|ORIG_BAL x CHANNEL / SYS_FLAG|loan_size|band|7</t>
        </is>
      </c>
    </row>
    <row r="3207">
      <c r="A3207" t="inlineStr">
        <is>
          <t>G|ORIG_BAL x CHANNEL / SYS_FLAG|loan_size|meta</t>
        </is>
      </c>
      <c r="B3207" t="inlineStr">
        <is>
          <t>size</t>
        </is>
      </c>
      <c r="C3207" t="n">
        <v>1</v>
      </c>
      <c r="E3207" t="n">
        <v>32262.58857732217</v>
      </c>
      <c r="F3207" t="n">
        <v>65</v>
      </c>
    </row>
    <row r="3208">
      <c r="A3208" t="inlineStr">
        <is>
          <t>G|ORIG_BAL x CHANNEL / SYS_FLAG|where N|cols</t>
        </is>
      </c>
      <c r="B3208" t="inlineStr">
        <is>
          <t>Branch · N</t>
        </is>
      </c>
      <c r="C3208" t="inlineStr">
        <is>
          <t>Branch · Y</t>
        </is>
      </c>
      <c r="D3208" t="inlineStr">
        <is>
          <t>Broker · N</t>
        </is>
      </c>
      <c r="E3208" t="inlineStr">
        <is>
          <t>Broker · Y</t>
        </is>
      </c>
      <c r="F3208" t="inlineStr">
        <is>
          <t>Online · N</t>
        </is>
      </c>
      <c r="G3208" t="inlineStr">
        <is>
          <t>Online · Y</t>
        </is>
      </c>
      <c r="H3208" t="inlineStr">
        <is>
          <t>All</t>
        </is>
      </c>
    </row>
    <row r="3209">
      <c r="A3209" t="inlineStr">
        <is>
          <t>G|ORIG_BAL x CHANNEL / SYS_FLAG|where N|heads</t>
        </is>
      </c>
      <c r="B3209" t="inlineStr">
        <is>
          <t>N</t>
        </is>
      </c>
      <c r="C3209" t="inlineStr">
        <is>
          <t>Y</t>
        </is>
      </c>
      <c r="D3209" t="inlineStr">
        <is>
          <t>N</t>
        </is>
      </c>
      <c r="E3209" t="inlineStr">
        <is>
          <t>Y</t>
        </is>
      </c>
      <c r="F3209" t="inlineStr">
        <is>
          <t>N</t>
        </is>
      </c>
      <c r="G3209" t="inlineStr">
        <is>
          <t>Y</t>
        </is>
      </c>
      <c r="H3209" t="inlineStr">
        <is>
          <t>All</t>
        </is>
      </c>
    </row>
    <row r="3210">
      <c r="A3210" t="inlineStr">
        <is>
          <t>G|ORIG_BAL x CHANNEL / SYS_FLAG|where N|segs</t>
        </is>
      </c>
      <c r="B3210" t="inlineStr">
        <is>
          <t>Branch</t>
        </is>
      </c>
      <c r="C3210" t="inlineStr">
        <is>
          <t>Broker</t>
        </is>
      </c>
      <c r="D3210" t="inlineStr">
        <is>
          <t>Online</t>
        </is>
      </c>
    </row>
    <row r="3211">
      <c r="A3211" t="inlineStr">
        <is>
          <t>G|ORIG_BAL x CHANNEL / SYS_FLAG|where N|rows</t>
        </is>
      </c>
      <c r="B3211" t="inlineStr">
        <is>
          <t>5,005 - 15,448</t>
        </is>
      </c>
      <c r="C3211" t="inlineStr">
        <is>
          <t>15,449 - 26,323</t>
        </is>
      </c>
      <c r="D3211" t="inlineStr">
        <is>
          <t>26,324 - 37,950</t>
        </is>
      </c>
      <c r="E3211" t="inlineStr">
        <is>
          <t>37,951 - 49,151</t>
        </is>
      </c>
      <c r="F3211" t="inlineStr">
        <is>
          <t>49,152 - 59,984</t>
        </is>
      </c>
      <c r="G3211" t="inlineStr">
        <is>
          <t>(blank)</t>
        </is>
      </c>
      <c r="H3211" t="inlineStr">
        <is>
          <t>All</t>
        </is>
      </c>
    </row>
    <row r="3212">
      <c r="A3212" t="inlineStr">
        <is>
          <t>G|ORIG_BAL x CHANNEL / SYS_FLAG|where N|names</t>
        </is>
      </c>
      <c r="B3212" t="inlineStr">
        <is>
          <t>ORIG_BAL</t>
        </is>
      </c>
      <c r="C3212" t="inlineStr">
        <is>
          <t>CHANNEL / SYS_FLAG</t>
        </is>
      </c>
    </row>
    <row r="3213">
      <c r="A3213" t="inlineStr">
        <is>
          <t>G|ORIG_BAL x CHANNEL / SYS_FLAG|where N|total</t>
        </is>
      </c>
      <c r="B3213" t="n">
        <v>4329</v>
      </c>
    </row>
    <row r="3214">
      <c r="A3214" t="inlineStr">
        <is>
          <t>G|ORIG_BAL x CHANNEL / SYS_FLAG|where N|loans|1</t>
        </is>
      </c>
      <c r="B3214" t="n">
        <v>301</v>
      </c>
      <c r="D3214" t="n">
        <v>277</v>
      </c>
      <c r="F3214" t="n">
        <v>302</v>
      </c>
      <c r="H3214" t="n">
        <v>880</v>
      </c>
    </row>
    <row r="3215">
      <c r="A3215" t="inlineStr">
        <is>
          <t>G|ORIG_BAL x CHANNEL / SYS_FLAG|where N|loans|2</t>
        </is>
      </c>
      <c r="B3215" t="n">
        <v>274</v>
      </c>
      <c r="D3215" t="n">
        <v>293</v>
      </c>
      <c r="F3215" t="n">
        <v>300</v>
      </c>
      <c r="H3215" t="n">
        <v>867</v>
      </c>
    </row>
    <row r="3216">
      <c r="A3216" t="inlineStr">
        <is>
          <t>G|ORIG_BAL x CHANNEL / SYS_FLAG|where N|loans|3</t>
        </is>
      </c>
      <c r="B3216" t="n">
        <v>282</v>
      </c>
      <c r="D3216" t="n">
        <v>305</v>
      </c>
      <c r="F3216" t="n">
        <v>297</v>
      </c>
      <c r="H3216" t="n">
        <v>884</v>
      </c>
    </row>
    <row r="3217">
      <c r="A3217" t="inlineStr">
        <is>
          <t>G|ORIG_BAL x CHANNEL / SYS_FLAG|where N|loans|4</t>
        </is>
      </c>
      <c r="B3217" t="n">
        <v>269</v>
      </c>
      <c r="D3217" t="n">
        <v>282</v>
      </c>
      <c r="F3217" t="n">
        <v>289</v>
      </c>
      <c r="H3217" t="n">
        <v>840</v>
      </c>
    </row>
    <row r="3218">
      <c r="A3218" t="inlineStr">
        <is>
          <t>G|ORIG_BAL x CHANNEL / SYS_FLAG|where N|loans|5</t>
        </is>
      </c>
      <c r="B3218" t="n">
        <v>289</v>
      </c>
      <c r="D3218" t="n">
        <v>278</v>
      </c>
      <c r="F3218" t="n">
        <v>291</v>
      </c>
      <c r="H3218" t="n">
        <v>858</v>
      </c>
    </row>
    <row r="3219">
      <c r="A3219" t="inlineStr">
        <is>
          <t>G|ORIG_BAL x CHANNEL / SYS_FLAG|where N|loans|6</t>
        </is>
      </c>
    </row>
    <row r="3220">
      <c r="A3220" t="inlineStr">
        <is>
          <t>G|ORIG_BAL x CHANNEL / SYS_FLAG|where N|loans|7</t>
        </is>
      </c>
      <c r="B3220" t="n">
        <v>1415</v>
      </c>
      <c r="D3220" t="n">
        <v>1435</v>
      </c>
      <c r="F3220" t="n">
        <v>1479</v>
      </c>
      <c r="H3220" t="n">
        <v>4329</v>
      </c>
    </row>
    <row r="3221">
      <c r="A3221" t="inlineStr">
        <is>
          <t>G|ORIG_BAL x CHANNEL / SYS_FLAG|where N|outcome_loans|rate|1</t>
        </is>
      </c>
      <c r="B3221" t="n">
        <v>0.05647840531561462</v>
      </c>
      <c r="D3221" t="n">
        <v>0.06137184115523465</v>
      </c>
      <c r="F3221" t="n">
        <v>0.05629139072847682</v>
      </c>
      <c r="H3221" t="n">
        <v>0.05795454545454545</v>
      </c>
    </row>
    <row r="3222">
      <c r="A3222" t="inlineStr">
        <is>
          <t>G|ORIG_BAL x CHANNEL / SYS_FLAG|where N|outcome_loans|book|1</t>
        </is>
      </c>
      <c r="B3222" t="n">
        <v>0.7298396835534755</v>
      </c>
      <c r="D3222" t="n">
        <v>0.7930748907927657</v>
      </c>
      <c r="F3222" t="n">
        <v>0.7274229958595898</v>
      </c>
      <c r="H3222" t="n">
        <v>0.7489150389190776</v>
      </c>
    </row>
    <row r="3223">
      <c r="A3223" t="inlineStr">
        <is>
          <t>G|ORIG_BAL x CHANNEL / SYS_FLAG|where N|outcome_loans|band|1</t>
        </is>
      </c>
      <c r="B3223" t="n">
        <v>0.9617940199335548</v>
      </c>
      <c r="D3223" t="n">
        <v>1.088447653429603</v>
      </c>
      <c r="F3223" t="n">
        <v>0.9569536423841061</v>
      </c>
    </row>
    <row r="3224">
      <c r="A3224" t="inlineStr">
        <is>
          <t>G|ORIG_BAL x CHANNEL / SYS_FLAG|where N|outcome_loans|rate|2</t>
        </is>
      </c>
      <c r="B3224" t="n">
        <v>0.072992700729927</v>
      </c>
      <c r="D3224" t="n">
        <v>0.09556313993174062</v>
      </c>
      <c r="F3224" t="n">
        <v>0.09333333333333334</v>
      </c>
      <c r="H3224" t="n">
        <v>0.08765859284890427</v>
      </c>
    </row>
    <row r="3225">
      <c r="A3225" t="inlineStr">
        <is>
          <t>G|ORIG_BAL x CHANNEL / SYS_FLAG|where N|outcome_loans|book|2</t>
        </is>
      </c>
      <c r="B3225" t="n">
        <v>0.9432449323726754</v>
      </c>
      <c r="D3225" t="n">
        <v>1.234910430232622</v>
      </c>
      <c r="F3225" t="n">
        <v>1.206095853527194</v>
      </c>
      <c r="H3225" t="n">
        <v>1.132764271725986</v>
      </c>
    </row>
    <row r="3226">
      <c r="A3226" t="inlineStr">
        <is>
          <t>G|ORIG_BAL x CHANNEL / SYS_FLAG|where N|outcome_loans|band|2</t>
        </is>
      </c>
      <c r="B3226" t="n">
        <v>0.7729405630865485</v>
      </c>
      <c r="D3226" t="n">
        <v>1.142775881683731</v>
      </c>
      <c r="F3226" t="n">
        <v>1.1025</v>
      </c>
    </row>
    <row r="3227">
      <c r="A3227" t="inlineStr">
        <is>
          <t>G|ORIG_BAL x CHANNEL / SYS_FLAG|where N|outcome_loans|rate|3</t>
        </is>
      </c>
      <c r="B3227" t="n">
        <v>0.0498220640569395</v>
      </c>
      <c r="D3227" t="n">
        <v>0.06557377049180328</v>
      </c>
      <c r="F3227" t="n">
        <v>0.04040404040404041</v>
      </c>
      <c r="H3227" t="n">
        <v>0.0520951302378256</v>
      </c>
    </row>
    <row r="3228">
      <c r="A3228" t="inlineStr">
        <is>
          <t>G|ORIG_BAL x CHANNEL / SYS_FLAG|where N|outcome_loans|book|3</t>
        </is>
      </c>
      <c r="B3228" t="n">
        <v>0.6438234093561536</v>
      </c>
      <c r="D3228" t="n">
        <v>0.8473741359675839</v>
      </c>
      <c r="F3228" t="n">
        <v>0.5221194171113396</v>
      </c>
      <c r="H3228" t="n">
        <v>0.6731970060942923</v>
      </c>
    </row>
    <row r="3229">
      <c r="A3229" t="inlineStr">
        <is>
          <t>G|ORIG_BAL x CHANNEL / SYS_FLAG|where N|outcome_loans|band|3</t>
        </is>
      </c>
      <c r="B3229" t="n">
        <v>0.9372775800711743</v>
      </c>
      <c r="D3229" t="n">
        <v>1.457755359394704</v>
      </c>
      <c r="F3229" t="n">
        <v>0.6963755199049317</v>
      </c>
    </row>
    <row r="3230">
      <c r="A3230" t="inlineStr">
        <is>
          <t>G|ORIG_BAL x CHANNEL / SYS_FLAG|where N|outcome_loans|rate|4</t>
        </is>
      </c>
      <c r="B3230" t="n">
        <v>0.07063197026022305</v>
      </c>
      <c r="D3230" t="n">
        <v>0.04964539007092199</v>
      </c>
      <c r="F3230" t="n">
        <v>0.03460207612456748</v>
      </c>
      <c r="H3230" t="n">
        <v>0.05119047619047619</v>
      </c>
    </row>
    <row r="3231">
      <c r="A3231" t="inlineStr">
        <is>
          <t>G|ORIG_BAL x CHANNEL / SYS_FLAG|where N|outcome_loans|book|4</t>
        </is>
      </c>
      <c r="B3231" t="n">
        <v>0.912738497756905</v>
      </c>
      <c r="D3231" t="n">
        <v>0.6415403476208481</v>
      </c>
      <c r="F3231" t="n">
        <v>0.4471437914707839</v>
      </c>
      <c r="H3231" t="n">
        <v>0.6615066543580275</v>
      </c>
    </row>
    <row r="3232">
      <c r="A3232" t="inlineStr">
        <is>
          <t>G|ORIG_BAL x CHANNEL / SYS_FLAG|where N|outcome_loans|band|4</t>
        </is>
      </c>
      <c r="B3232" t="n">
        <v>1.68045229244114</v>
      </c>
      <c r="D3232" t="n">
        <v>0.9552457813646369</v>
      </c>
      <c r="F3232" t="n">
        <v>0.5777498165041418</v>
      </c>
    </row>
    <row r="3233">
      <c r="A3233" t="inlineStr">
        <is>
          <t>G|ORIG_BAL x CHANNEL / SYS_FLAG|where N|outcome_loans|rate|5</t>
        </is>
      </c>
      <c r="B3233" t="n">
        <v>0.01730103806228374</v>
      </c>
      <c r="D3233" t="n">
        <v>0.0683453237410072</v>
      </c>
      <c r="F3233" t="n">
        <v>0.03092783505154639</v>
      </c>
      <c r="H3233" t="n">
        <v>0.03846153846153846</v>
      </c>
    </row>
    <row r="3234">
      <c r="A3234" t="inlineStr">
        <is>
          <t>G|ORIG_BAL x CHANNEL / SYS_FLAG|where N|outcome_loans|book|5</t>
        </is>
      </c>
      <c r="D3234" t="n">
        <v>0.8831894097000268</v>
      </c>
      <c r="H3234" t="n">
        <v>0.4970175220579098</v>
      </c>
    </row>
    <row r="3235">
      <c r="A3235" t="inlineStr">
        <is>
          <t>G|ORIG_BAL x CHANNEL / SYS_FLAG|where N|outcome_loans|band|5</t>
        </is>
      </c>
      <c r="D3235" t="n">
        <v>2.831449126413156</v>
      </c>
    </row>
    <row r="3236">
      <c r="A3236" t="inlineStr">
        <is>
          <t>G|ORIG_BAL x CHANNEL / SYS_FLAG|where N|outcome_loans|rate|6</t>
        </is>
      </c>
    </row>
    <row r="3237">
      <c r="A3237" t="inlineStr">
        <is>
          <t>G|ORIG_BAL x CHANNEL / SYS_FLAG|where N|outcome_loans|book|6</t>
        </is>
      </c>
    </row>
    <row r="3238">
      <c r="A3238" t="inlineStr">
        <is>
          <t>G|ORIG_BAL x CHANNEL / SYS_FLAG|where N|outcome_loans|band|6</t>
        </is>
      </c>
    </row>
    <row r="3239">
      <c r="A3239" t="inlineStr">
        <is>
          <t>G|ORIG_BAL x CHANNEL / SYS_FLAG|where N|outcome_loans|rate|7</t>
        </is>
      </c>
      <c r="B3239" t="n">
        <v>0.05304101838755304</v>
      </c>
      <c r="D3239" t="n">
        <v>0.06829268292682927</v>
      </c>
      <c r="F3239" t="n">
        <v>0.05138607167004733</v>
      </c>
      <c r="H3239" t="n">
        <v>0.05753234750462107</v>
      </c>
    </row>
    <row r="3240">
      <c r="A3240" t="inlineStr">
        <is>
          <t>G|ORIG_BAL x CHANNEL / SYS_FLAG|where N|outcome_loans|book|7</t>
        </is>
      </c>
      <c r="B3240" t="n">
        <v>0.6854202036866507</v>
      </c>
      <c r="D3240" t="n">
        <v>0.8825091611174594</v>
      </c>
      <c r="F3240" t="n">
        <v>0.664034228253164</v>
      </c>
      <c r="H3240" t="n">
        <v>0.7434592046679547</v>
      </c>
    </row>
    <row r="3241">
      <c r="A3241" t="inlineStr">
        <is>
          <t>G|ORIG_BAL x CHANNEL / SYS_FLAG|where N|outcome_loans|band|7</t>
        </is>
      </c>
    </row>
    <row r="3242">
      <c r="A3242" t="inlineStr">
        <is>
          <t>G|ORIG_BAL x CHANNEL / SYS_FLAG|where N|outcome_loans|meta</t>
        </is>
      </c>
      <c r="B3242" t="inlineStr">
        <is>
          <t>x</t>
        </is>
      </c>
      <c r="C3242" t="n">
        <v>2.831449126413156</v>
      </c>
      <c r="D3242" t="n">
        <v>10</v>
      </c>
      <c r="E3242" t="n">
        <v>0.07738467308413552</v>
      </c>
      <c r="F3242" t="n">
        <v>65</v>
      </c>
    </row>
    <row r="3243">
      <c r="A3243" t="inlineStr">
        <is>
          <t>G|ORIG_BAL x CHANNEL / SYS_FLAG|where N|outcome_booked|rate|1</t>
        </is>
      </c>
      <c r="B3243" t="n">
        <v>0.0576191782683389</v>
      </c>
      <c r="D3243" t="n">
        <v>0.06443311502925256</v>
      </c>
      <c r="F3243" t="n">
        <v>0.04875440299822736</v>
      </c>
      <c r="H3243" t="n">
        <v>0.05676692253235505</v>
      </c>
    </row>
    <row r="3244">
      <c r="A3244" t="inlineStr">
        <is>
          <t>G|ORIG_BAL x CHANNEL / SYS_FLAG|where N|outcome_booked|book|1</t>
        </is>
      </c>
      <c r="B3244" t="n">
        <v>0.7700126885089043</v>
      </c>
      <c r="D3244" t="n">
        <v>0.8610729556332595</v>
      </c>
      <c r="F3244" t="n">
        <v>0.6515453718287454</v>
      </c>
      <c r="H3244" t="n">
        <v>0.7586232909110101</v>
      </c>
    </row>
    <row r="3245">
      <c r="A3245" t="inlineStr">
        <is>
          <t>G|ORIG_BAL x CHANNEL / SYS_FLAG|where N|outcome_booked|band|1</t>
        </is>
      </c>
      <c r="B3245" t="n">
        <v>1.023153545594921</v>
      </c>
      <c r="D3245" t="n">
        <v>1.210277384080852</v>
      </c>
      <c r="F3245" t="n">
        <v>0.8010174948026355</v>
      </c>
    </row>
    <row r="3246">
      <c r="A3246" t="inlineStr">
        <is>
          <t>G|ORIG_BAL x CHANNEL / SYS_FLAG|where N|outcome_booked|rate|2</t>
        </is>
      </c>
      <c r="B3246" t="n">
        <v>0.06787981773915373</v>
      </c>
      <c r="D3246" t="n">
        <v>0.0980017326642951</v>
      </c>
      <c r="F3246" t="n">
        <v>0.09691563345514322</v>
      </c>
      <c r="H3246" t="n">
        <v>0.08812095851693784</v>
      </c>
    </row>
    <row r="3247">
      <c r="A3247" t="inlineStr">
        <is>
          <t>G|ORIG_BAL x CHANNEL / SYS_FLAG|where N|outcome_booked|book|2</t>
        </is>
      </c>
      <c r="B3247" t="n">
        <v>0.9071340918713005</v>
      </c>
      <c r="D3247" t="n">
        <v>1.309678130013017</v>
      </c>
      <c r="F3247" t="n">
        <v>1.295163688864071</v>
      </c>
      <c r="H3247" t="n">
        <v>1.177633180841354</v>
      </c>
    </row>
    <row r="3248">
      <c r="A3248" t="inlineStr">
        <is>
          <t>G|ORIG_BAL x CHANNEL / SYS_FLAG|where N|outcome_booked|band|2</t>
        </is>
      </c>
      <c r="B3248" t="n">
        <v>0.6965435662021591</v>
      </c>
      <c r="D3248" t="n">
        <v>1.179741347844585</v>
      </c>
      <c r="F3248" t="n">
        <v>1.161169774281007</v>
      </c>
    </row>
    <row r="3249">
      <c r="A3249" t="inlineStr">
        <is>
          <t>G|ORIG_BAL x CHANNEL / SYS_FLAG|where N|outcome_booked|rate|3</t>
        </is>
      </c>
      <c r="B3249" t="n">
        <v>0.05020839155998448</v>
      </c>
      <c r="D3249" t="n">
        <v>0.06599328325014893</v>
      </c>
      <c r="F3249" t="n">
        <v>0.04078920321890393</v>
      </c>
      <c r="H3249" t="n">
        <v>0.05249434506141382</v>
      </c>
    </row>
    <row r="3250">
      <c r="A3250" t="inlineStr">
        <is>
          <t>G|ORIG_BAL x CHANNEL / SYS_FLAG|where N|outcome_booked|book|3</t>
        </is>
      </c>
      <c r="B3250" t="n">
        <v>0.6709762223744742</v>
      </c>
      <c r="D3250" t="n">
        <v>0.8819227726977055</v>
      </c>
      <c r="F3250" t="n">
        <v>0.5450998257290789</v>
      </c>
      <c r="H3250" t="n">
        <v>0.7015253078411992</v>
      </c>
    </row>
    <row r="3251">
      <c r="A3251" t="inlineStr">
        <is>
          <t>G|ORIG_BAL x CHANNEL / SYS_FLAG|where N|outcome_booked|band|3</t>
        </is>
      </c>
      <c r="B3251" t="n">
        <v>0.9374214057343153</v>
      </c>
      <c r="D3251" t="n">
        <v>1.454689397864064</v>
      </c>
      <c r="F3251" t="n">
        <v>0.6980962736559477</v>
      </c>
    </row>
    <row r="3252">
      <c r="A3252" t="inlineStr">
        <is>
          <t>G|ORIG_BAL x CHANNEL / SYS_FLAG|where N|outcome_booked|rate|4</t>
        </is>
      </c>
      <c r="B3252" t="n">
        <v>0.07060647153692301</v>
      </c>
      <c r="D3252" t="n">
        <v>0.05130960799187668</v>
      </c>
      <c r="F3252" t="n">
        <v>0.03415494612532452</v>
      </c>
      <c r="H3252" t="n">
        <v>0.05161003854763533</v>
      </c>
    </row>
    <row r="3253">
      <c r="A3253" t="inlineStr">
        <is>
          <t>G|ORIG_BAL x CHANNEL / SYS_FLAG|where N|outcome_booked|book|4</t>
        </is>
      </c>
      <c r="B3253" t="n">
        <v>0.943572619537826</v>
      </c>
      <c r="D3253" t="n">
        <v>0.6856926874618882</v>
      </c>
      <c r="F3253" t="n">
        <v>0.4564407664641988</v>
      </c>
      <c r="H3253" t="n">
        <v>0.6897075892168661</v>
      </c>
    </row>
    <row r="3254">
      <c r="A3254" t="inlineStr">
        <is>
          <t>G|ORIG_BAL x CHANNEL / SYS_FLAG|where N|outcome_booked|band|4</t>
        </is>
      </c>
      <c r="B3254" t="n">
        <v>1.656927283397173</v>
      </c>
      <c r="D3254" t="n">
        <v>0.9912774567134081</v>
      </c>
      <c r="F3254" t="n">
        <v>0.5620897387383939</v>
      </c>
    </row>
    <row r="3255">
      <c r="A3255" t="inlineStr">
        <is>
          <t>G|ORIG_BAL x CHANNEL / SYS_FLAG|where N|outcome_booked|rate|5</t>
        </is>
      </c>
      <c r="B3255" t="n">
        <v>0.01738211717332663</v>
      </c>
      <c r="D3255" t="n">
        <v>0.06890092444847121</v>
      </c>
      <c r="F3255" t="n">
        <v>0.03165735523392776</v>
      </c>
      <c r="H3255" t="n">
        <v>0.03896998389941195</v>
      </c>
    </row>
    <row r="3256">
      <c r="A3256" t="inlineStr">
        <is>
          <t>G|ORIG_BAL x CHANNEL / SYS_FLAG|where N|outcome_booked|book|5</t>
        </is>
      </c>
      <c r="D3256" t="n">
        <v>0.920779984543256</v>
      </c>
      <c r="H3256" t="n">
        <v>0.520788094786552</v>
      </c>
    </row>
    <row r="3257">
      <c r="A3257" t="inlineStr">
        <is>
          <t>G|ORIG_BAL x CHANNEL / SYS_FLAG|where N|outcome_booked|band|5</t>
        </is>
      </c>
      <c r="D3257" t="n">
        <v>2.806075606774498</v>
      </c>
    </row>
    <row r="3258">
      <c r="A3258" t="inlineStr">
        <is>
          <t>G|ORIG_BAL x CHANNEL / SYS_FLAG|where N|outcome_booked|rate|6</t>
        </is>
      </c>
    </row>
    <row r="3259">
      <c r="A3259" t="inlineStr">
        <is>
          <t>G|ORIG_BAL x CHANNEL / SYS_FLAG|where N|outcome_booked|book|6</t>
        </is>
      </c>
    </row>
    <row r="3260">
      <c r="A3260" t="inlineStr">
        <is>
          <t>G|ORIG_BAL x CHANNEL / SYS_FLAG|where N|outcome_booked|band|6</t>
        </is>
      </c>
    </row>
    <row r="3261">
      <c r="A3261" t="inlineStr">
        <is>
          <t>G|ORIG_BAL x CHANNEL / SYS_FLAG|where N|outcome_booked|rate|7</t>
        </is>
      </c>
      <c r="B3261" t="n">
        <v>0.04681040497767673</v>
      </c>
      <c r="D3261" t="n">
        <v>0.06720288771668041</v>
      </c>
      <c r="F3261" t="n">
        <v>0.04388565607070748</v>
      </c>
      <c r="H3261" t="n">
        <v>0.05260097895035094</v>
      </c>
    </row>
    <row r="3262">
      <c r="A3262" t="inlineStr">
        <is>
          <t>G|ORIG_BAL x CHANNEL / SYS_FLAG|where N|outcome_booked|book|7</t>
        </is>
      </c>
      <c r="B3262" t="n">
        <v>0.6255661200024015</v>
      </c>
      <c r="D3262" t="n">
        <v>0.89808771665037</v>
      </c>
      <c r="F3262" t="n">
        <v>0.5864802837105227</v>
      </c>
      <c r="H3262" t="n">
        <v>0.7029503446080242</v>
      </c>
    </row>
    <row r="3263">
      <c r="A3263" t="inlineStr">
        <is>
          <t>G|ORIG_BAL x CHANNEL / SYS_FLAG|where N|outcome_booked|band|7</t>
        </is>
      </c>
    </row>
    <row r="3264">
      <c r="A3264" t="inlineStr">
        <is>
          <t>G|ORIG_BAL x CHANNEL / SYS_FLAG|where N|outcome_booked|meta</t>
        </is>
      </c>
      <c r="B3264" t="inlineStr">
        <is>
          <t>x</t>
        </is>
      </c>
      <c r="C3264" t="n">
        <v>2.806075606774498</v>
      </c>
      <c r="D3264" t="n">
        <v>10</v>
      </c>
      <c r="E3264" t="n">
        <v>0.07482886857347235</v>
      </c>
      <c r="F3264" t="n">
        <v>65</v>
      </c>
    </row>
    <row r="3265">
      <c r="A3265" t="inlineStr">
        <is>
          <t>G|ORIG_BAL x CHANNEL / SYS_FLAG|where N|gco_rate|rate|1</t>
        </is>
      </c>
      <c r="B3265" t="n">
        <v>0.02836902486661352</v>
      </c>
      <c r="D3265" t="n">
        <v>0.03707134104682022</v>
      </c>
      <c r="F3265" t="n">
        <v>0.02593608923806244</v>
      </c>
      <c r="H3265" t="n">
        <v>0.03028865191912375</v>
      </c>
    </row>
    <row r="3266">
      <c r="A3266" t="inlineStr">
        <is>
          <t>G|ORIG_BAL x CHANNEL / SYS_FLAG|where N|gco_rate|book|1</t>
        </is>
      </c>
      <c r="B3266" t="n">
        <v>0.6818614095914256</v>
      </c>
      <c r="D3266" t="n">
        <v>0.8910252284130324</v>
      </c>
      <c r="F3266" t="n">
        <v>0.6233847814757596</v>
      </c>
      <c r="H3266" t="n">
        <v>0.7280004508192713</v>
      </c>
    </row>
    <row r="3267">
      <c r="A3267" t="inlineStr">
        <is>
          <t>G|ORIG_BAL x CHANNEL / SYS_FLAG|where N|gco_rate|band|1</t>
        </is>
      </c>
      <c r="B3267" t="n">
        <v>0.9061867892686213</v>
      </c>
      <c r="D3267" t="n">
        <v>1.364587826658739</v>
      </c>
      <c r="F3267" t="n">
        <v>0.7976621386718799</v>
      </c>
    </row>
    <row r="3268">
      <c r="A3268" t="inlineStr">
        <is>
          <t>G|ORIG_BAL x CHANNEL / SYS_FLAG|where N|gco_rate|rate|2</t>
        </is>
      </c>
      <c r="B3268" t="n">
        <v>0.04069753541928629</v>
      </c>
      <c r="D3268" t="n">
        <v>0.05937571387039377</v>
      </c>
      <c r="F3268" t="n">
        <v>0.05040860340592498</v>
      </c>
      <c r="H3268" t="n">
        <v>0.05037744192296544</v>
      </c>
    </row>
    <row r="3269">
      <c r="A3269" t="inlineStr">
        <is>
          <t>G|ORIG_BAL x CHANNEL / SYS_FLAG|where N|gco_rate|book|2</t>
        </is>
      </c>
      <c r="B3269" t="n">
        <v>0.9781823308473878</v>
      </c>
      <c r="D3269" t="n">
        <v>1.427120182858678</v>
      </c>
      <c r="F3269" t="n">
        <v>1.211591922369878</v>
      </c>
      <c r="H3269" t="n">
        <v>1.210842943058969</v>
      </c>
    </row>
    <row r="3270">
      <c r="A3270" t="inlineStr">
        <is>
          <t>G|ORIG_BAL x CHANNEL / SYS_FLAG|where N|gco_rate|band|2</t>
        </is>
      </c>
      <c r="B3270" t="n">
        <v>0.7421141506503521</v>
      </c>
      <c r="D3270" t="n">
        <v>1.297033504971994</v>
      </c>
      <c r="F3270" t="n">
        <v>1.000946425006593</v>
      </c>
    </row>
    <row r="3271">
      <c r="A3271" t="inlineStr">
        <is>
          <t>G|ORIG_BAL x CHANNEL / SYS_FLAG|where N|gco_rate|rate|3</t>
        </is>
      </c>
      <c r="B3271" t="n">
        <v>0.02780156573220761</v>
      </c>
      <c r="D3271" t="n">
        <v>0.04006128756035378</v>
      </c>
      <c r="F3271" t="n">
        <v>0.02245761987566448</v>
      </c>
      <c r="H3271" t="n">
        <v>0.03023717386085458</v>
      </c>
    </row>
    <row r="3272">
      <c r="A3272" t="inlineStr">
        <is>
          <t>G|ORIG_BAL x CHANNEL / SYS_FLAG|where N|gco_rate|book|3</t>
        </is>
      </c>
      <c r="B3272" t="n">
        <v>0.6682222913245548</v>
      </c>
      <c r="D3272" t="n">
        <v>0.962889846739067</v>
      </c>
      <c r="F3272" t="n">
        <v>0.5397783116088102</v>
      </c>
      <c r="H3272" t="n">
        <v>0.7267631541007734</v>
      </c>
    </row>
    <row r="3273">
      <c r="A3273" t="inlineStr">
        <is>
          <t>G|ORIG_BAL x CHANNEL / SYS_FLAG|where N|gco_rate|band|3</t>
        </is>
      </c>
      <c r="B3273" t="n">
        <v>0.8860380066826867</v>
      </c>
      <c r="D3273" t="n">
        <v>1.598634650679924</v>
      </c>
      <c r="F3273" t="n">
        <v>0.657158056600338</v>
      </c>
    </row>
    <row r="3274">
      <c r="A3274" t="inlineStr">
        <is>
          <t>G|ORIG_BAL x CHANNEL / SYS_FLAG|where N|gco_rate|rate|4</t>
        </is>
      </c>
      <c r="B3274" t="n">
        <v>0.04062206664674996</v>
      </c>
      <c r="D3274" t="n">
        <v>0.03102035847511591</v>
      </c>
      <c r="F3274" t="n">
        <v>0.02041115727663371</v>
      </c>
      <c r="H3274" t="n">
        <v>0.03044551141022515</v>
      </c>
    </row>
    <row r="3275">
      <c r="A3275" t="inlineStr">
        <is>
          <t>G|ORIG_BAL x CHANNEL / SYS_FLAG|where N|gco_rate|book|4</t>
        </is>
      </c>
      <c r="B3275" t="n">
        <v>0.9763684072506584</v>
      </c>
      <c r="D3275" t="n">
        <v>0.7455873247432765</v>
      </c>
      <c r="F3275" t="n">
        <v>0.4905907248301947</v>
      </c>
      <c r="H3275" t="n">
        <v>0.7317706344689768</v>
      </c>
    </row>
    <row r="3276">
      <c r="A3276" t="inlineStr">
        <is>
          <t>G|ORIG_BAL x CHANNEL / SYS_FLAG|where N|gco_rate|band|4</t>
        </is>
      </c>
      <c r="B3276" t="n">
        <v>1.584204852631102</v>
      </c>
      <c r="D3276" t="n">
        <v>1.02866277082374</v>
      </c>
      <c r="F3276" t="n">
        <v>0.5714743591764843</v>
      </c>
    </row>
    <row r="3277">
      <c r="A3277" t="inlineStr">
        <is>
          <t>G|ORIG_BAL x CHANNEL / SYS_FLAG|where N|gco_rate|rate|5</t>
        </is>
      </c>
      <c r="B3277" t="n">
        <v>0.008950978443230468</v>
      </c>
      <c r="D3277" t="n">
        <v>0.04179838331936418</v>
      </c>
      <c r="F3277" t="n">
        <v>0.01693749139905862</v>
      </c>
      <c r="H3277" t="n">
        <v>0.0223368630815147</v>
      </c>
    </row>
    <row r="3278">
      <c r="A3278" t="inlineStr">
        <is>
          <t>G|ORIG_BAL x CHANNEL / SYS_FLAG|where N|gco_rate|book|5</t>
        </is>
      </c>
      <c r="D3278" t="n">
        <v>1.004641671780754</v>
      </c>
      <c r="H3278" t="n">
        <v>0.536875871420476</v>
      </c>
    </row>
    <row r="3279">
      <c r="A3279" t="inlineStr">
        <is>
          <t>G|ORIG_BAL x CHANNEL / SYS_FLAG|where N|gco_rate|band|5</t>
        </is>
      </c>
      <c r="D3279" t="n">
        <v>3.224309946544345</v>
      </c>
    </row>
    <row r="3280">
      <c r="A3280" t="inlineStr">
        <is>
          <t>G|ORIG_BAL x CHANNEL / SYS_FLAG|where N|gco_rate|rate|6</t>
        </is>
      </c>
    </row>
    <row r="3281">
      <c r="A3281" t="inlineStr">
        <is>
          <t>G|ORIG_BAL x CHANNEL / SYS_FLAG|where N|gco_rate|book|6</t>
        </is>
      </c>
    </row>
    <row r="3282">
      <c r="A3282" t="inlineStr">
        <is>
          <t>G|ORIG_BAL x CHANNEL / SYS_FLAG|where N|gco_rate|band|6</t>
        </is>
      </c>
    </row>
    <row r="3283">
      <c r="A3283" t="inlineStr">
        <is>
          <t>G|ORIG_BAL x CHANNEL / SYS_FLAG|where N|gco_rate|rate|7</t>
        </is>
      </c>
      <c r="B3283" t="n">
        <v>0.02622043264014381</v>
      </c>
      <c r="D3283" t="n">
        <v>0.04061260621028653</v>
      </c>
      <c r="F3283" t="n">
        <v>0.02397584956285052</v>
      </c>
      <c r="H3283" t="n">
        <v>0.03024578450313006</v>
      </c>
    </row>
    <row r="3284">
      <c r="A3284" t="inlineStr">
        <is>
          <t>G|ORIG_BAL x CHANNEL / SYS_FLAG|where N|gco_rate|book|7</t>
        </is>
      </c>
      <c r="B3284" t="n">
        <v>0.6302190943879177</v>
      </c>
      <c r="D3284" t="n">
        <v>0.9761410216929018</v>
      </c>
      <c r="F3284" t="n">
        <v>0.5762695988298432</v>
      </c>
      <c r="H3284" t="n">
        <v>0.7269701144988503</v>
      </c>
    </row>
    <row r="3285">
      <c r="A3285" t="inlineStr">
        <is>
          <t>G|ORIG_BAL x CHANNEL / SYS_FLAG|where N|gco_rate|band|7</t>
        </is>
      </c>
    </row>
    <row r="3286">
      <c r="A3286" t="inlineStr">
        <is>
          <t>G|ORIG_BAL x CHANNEL / SYS_FLAG|where N|gco_rate|meta</t>
        </is>
      </c>
      <c r="B3286" t="inlineStr">
        <is>
          <t>x</t>
        </is>
      </c>
      <c r="C3286" t="n">
        <v>3.224309946544345</v>
      </c>
      <c r="D3286" t="n">
        <v>10</v>
      </c>
      <c r="E3286" t="n">
        <v>0.04160526533333565</v>
      </c>
      <c r="F3286" t="n">
        <v>65</v>
      </c>
    </row>
    <row r="3287">
      <c r="A3287" t="inlineStr">
        <is>
          <t>G|ORIG_BAL x CHANNEL / SYS_FLAG|where N|ranr_rate|rate|1</t>
        </is>
      </c>
      <c r="B3287" t="n">
        <v>0.1512430821446127</v>
      </c>
      <c r="D3287" t="n">
        <v>0.1580647120713854</v>
      </c>
      <c r="F3287" t="n">
        <v>0.1697418945470505</v>
      </c>
      <c r="H3287" t="n">
        <v>0.1596536367322223</v>
      </c>
    </row>
    <row r="3288">
      <c r="A3288" t="inlineStr">
        <is>
          <t>G|ORIG_BAL x CHANNEL / SYS_FLAG|where N|ranr_rate|book|1</t>
        </is>
      </c>
      <c r="B3288" t="n">
        <v>2.32530325</v>
      </c>
      <c r="D3288" t="n">
        <v>3.007466242</v>
      </c>
      <c r="F3288" t="n">
        <v>4.17518449</v>
      </c>
      <c r="H3288" t="n">
        <v>3.166358708</v>
      </c>
    </row>
    <row r="3289">
      <c r="A3289" t="inlineStr">
        <is>
          <t>G|ORIG_BAL x CHANNEL / SYS_FLAG|where N|ranr_rate|band|1</t>
        </is>
      </c>
      <c r="B3289" t="n">
        <v>-1.286762671</v>
      </c>
      <c r="D3289" t="n">
        <v>-0.232027981</v>
      </c>
      <c r="F3289" t="n">
        <v>1.524873464</v>
      </c>
    </row>
    <row r="3290">
      <c r="A3290" t="inlineStr">
        <is>
          <t>G|ORIG_BAL x CHANNEL / SYS_FLAG|where N|ranr_rate|rate|2</t>
        </is>
      </c>
      <c r="B3290" t="n">
        <v>0.1252487975432854</v>
      </c>
      <c r="D3290" t="n">
        <v>0.09975052222437722</v>
      </c>
      <c r="F3290" t="n">
        <v>0.1388874121401195</v>
      </c>
      <c r="H3290" t="n">
        <v>0.1213459153188463</v>
      </c>
    </row>
    <row r="3291">
      <c r="A3291" t="inlineStr">
        <is>
          <t>G|ORIG_BAL x CHANNEL / SYS_FLAG|where N|ranr_rate|book|2</t>
        </is>
      </c>
      <c r="B3291" t="n">
        <v>-0.27412521</v>
      </c>
      <c r="D3291" t="n">
        <v>-2.823952742</v>
      </c>
      <c r="F3291" t="n">
        <v>1.089736249</v>
      </c>
      <c r="H3291" t="n">
        <v>-0.664413433</v>
      </c>
    </row>
    <row r="3292">
      <c r="A3292" t="inlineStr">
        <is>
          <t>G|ORIG_BAL x CHANNEL / SYS_FLAG|where N|ranr_rate|band|2</t>
        </is>
      </c>
      <c r="B3292" t="n">
        <v>0.5702157289999999</v>
      </c>
      <c r="D3292" t="n">
        <v>-3.263360771</v>
      </c>
      <c r="F3292" t="n">
        <v>2.683048795</v>
      </c>
    </row>
    <row r="3293">
      <c r="A3293" t="inlineStr">
        <is>
          <t>G|ORIG_BAL x CHANNEL / SYS_FLAG|where N|ranr_rate|rate|3</t>
        </is>
      </c>
      <c r="B3293" t="n">
        <v>0.1343767775113544</v>
      </c>
      <c r="D3293" t="n">
        <v>0.1161497697930944</v>
      </c>
      <c r="F3293" t="n">
        <v>0.1596787203529977</v>
      </c>
      <c r="H3293" t="n">
        <v>0.1365876109434129</v>
      </c>
    </row>
    <row r="3294">
      <c r="A3294" t="inlineStr">
        <is>
          <t>G|ORIG_BAL x CHANNEL / SYS_FLAG|where N|ranr_rate|book|3</t>
        </is>
      </c>
      <c r="B3294" t="n">
        <v>0.638672786</v>
      </c>
      <c r="D3294" t="n">
        <v>-1.184027986</v>
      </c>
      <c r="F3294" t="n">
        <v>3.16886707</v>
      </c>
      <c r="H3294" t="n">
        <v>0.85975613</v>
      </c>
    </row>
    <row r="3295">
      <c r="A3295" t="inlineStr">
        <is>
          <t>G|ORIG_BAL x CHANNEL / SYS_FLAG|where N|ranr_rate|band|3</t>
        </is>
      </c>
      <c r="B3295" t="n">
        <v>-0.324582835</v>
      </c>
      <c r="D3295" t="n">
        <v>-3.120895103</v>
      </c>
      <c r="F3295" t="n">
        <v>3.477586477</v>
      </c>
    </row>
    <row r="3296">
      <c r="A3296" t="inlineStr">
        <is>
          <t>G|ORIG_BAL x CHANNEL / SYS_FLAG|where N|ranr_rate|rate|4</t>
        </is>
      </c>
      <c r="B3296" t="n">
        <v>0.1124705631844439</v>
      </c>
      <c r="D3296" t="n">
        <v>0.1357025276997594</v>
      </c>
      <c r="F3296" t="n">
        <v>0.1740001585913756</v>
      </c>
      <c r="H3296" t="n">
        <v>0.1414110073367784</v>
      </c>
    </row>
    <row r="3297">
      <c r="A3297" t="inlineStr">
        <is>
          <t>G|ORIG_BAL x CHANNEL / SYS_FLAG|where N|ranr_rate|book|4</t>
        </is>
      </c>
      <c r="B3297" t="n">
        <v>-1.551948646</v>
      </c>
      <c r="D3297" t="n">
        <v>0.771247805</v>
      </c>
      <c r="F3297" t="n">
        <v>4.601010894</v>
      </c>
      <c r="H3297" t="n">
        <v>1.342095769</v>
      </c>
    </row>
    <row r="3298">
      <c r="A3298" t="inlineStr">
        <is>
          <t>G|ORIG_BAL x CHANNEL / SYS_FLAG|where N|ranr_rate|band|4</t>
        </is>
      </c>
      <c r="B3298" t="n">
        <v>-4.264729506</v>
      </c>
      <c r="D3298" t="n">
        <v>-0.857872913</v>
      </c>
      <c r="F3298" t="n">
        <v>4.96802722</v>
      </c>
    </row>
    <row r="3299">
      <c r="A3299" t="inlineStr">
        <is>
          <t>G|ORIG_BAL x CHANNEL / SYS_FLAG|where N|ranr_rate|rate|5</t>
        </is>
      </c>
      <c r="B3299" t="n">
        <v>0.1475275042045397</v>
      </c>
      <c r="D3299" t="n">
        <v>0.117631177967876</v>
      </c>
      <c r="F3299" t="n">
        <v>0.1676053356710171</v>
      </c>
      <c r="H3299" t="n">
        <v>0.1446173821485803</v>
      </c>
    </row>
    <row r="3300">
      <c r="A3300" t="inlineStr">
        <is>
          <t>G|ORIG_BAL x CHANNEL / SYS_FLAG|where N|ranr_rate|book|5</t>
        </is>
      </c>
      <c r="B3300" t="n">
        <v>1.953745456</v>
      </c>
      <c r="D3300" t="n">
        <v>-1.035887168</v>
      </c>
      <c r="F3300" t="n">
        <v>3.961528602</v>
      </c>
      <c r="H3300" t="n">
        <v>1.66273325</v>
      </c>
    </row>
    <row r="3301">
      <c r="A3301" t="inlineStr">
        <is>
          <t>G|ORIG_BAL x CHANNEL / SYS_FLAG|where N|ranr_rate|band|5</t>
        </is>
      </c>
      <c r="B3301" t="n">
        <v>0.438163086</v>
      </c>
      <c r="D3301" t="n">
        <v>-3.998370597</v>
      </c>
      <c r="F3301" t="n">
        <v>3.478249466</v>
      </c>
    </row>
    <row r="3302">
      <c r="A3302" t="inlineStr">
        <is>
          <t>G|ORIG_BAL x CHANNEL / SYS_FLAG|where N|ranr_rate|rate|6</t>
        </is>
      </c>
    </row>
    <row r="3303">
      <c r="A3303" t="inlineStr">
        <is>
          <t>G|ORIG_BAL x CHANNEL / SYS_FLAG|where N|ranr_rate|book|6</t>
        </is>
      </c>
    </row>
    <row r="3304">
      <c r="A3304" t="inlineStr">
        <is>
          <t>G|ORIG_BAL x CHANNEL / SYS_FLAG|where N|ranr_rate|band|6</t>
        </is>
      </c>
    </row>
    <row r="3305">
      <c r="A3305" t="inlineStr">
        <is>
          <t>G|ORIG_BAL x CHANNEL / SYS_FLAG|where N|ranr_rate|rate|7</t>
        </is>
      </c>
      <c r="B3305" t="n">
        <v>0.1332692091964859</v>
      </c>
      <c r="D3305" t="n">
        <v>0.1222096812820414</v>
      </c>
      <c r="F3305" t="n">
        <v>0.1640539804937369</v>
      </c>
      <c r="H3305" t="n">
        <v>0.1400760724959788</v>
      </c>
    </row>
    <row r="3306">
      <c r="A3306" t="inlineStr">
        <is>
          <t>G|ORIG_BAL x CHANNEL / SYS_FLAG|where N|ranr_rate|book|7</t>
        </is>
      </c>
      <c r="B3306" t="n">
        <v>0.527915955</v>
      </c>
      <c r="D3306" t="n">
        <v>-0.578036837</v>
      </c>
      <c r="F3306" t="n">
        <v>3.606393085</v>
      </c>
      <c r="H3306" t="n">
        <v>1.208602285</v>
      </c>
    </row>
    <row r="3307">
      <c r="A3307" t="inlineStr">
        <is>
          <t>G|ORIG_BAL x CHANNEL / SYS_FLAG|where N|ranr_rate|band|7</t>
        </is>
      </c>
    </row>
    <row r="3308">
      <c r="A3308" t="inlineStr">
        <is>
          <t>G|ORIG_BAL x CHANNEL / SYS_FLAG|where N|ranr_rate|meta</t>
        </is>
      </c>
      <c r="B3308" t="inlineStr">
        <is>
          <t>pts</t>
        </is>
      </c>
      <c r="C3308" t="n">
        <v>4.96802722</v>
      </c>
      <c r="D3308" t="n">
        <v>10</v>
      </c>
      <c r="E3308" t="n">
        <v>0.1279900496481481</v>
      </c>
      <c r="F3308" t="n">
        <v>65</v>
      </c>
    </row>
    <row r="3309">
      <c r="A3309" t="inlineStr">
        <is>
          <t>G|ORIG_BAL x CHANNEL / SYS_FLAG|where N|contribution_rate|rate|1</t>
        </is>
      </c>
      <c r="B3309" t="n">
        <v>0.1796121070112261</v>
      </c>
      <c r="D3309" t="n">
        <v>0.1951360531182056</v>
      </c>
      <c r="F3309" t="n">
        <v>0.1956779837851131</v>
      </c>
      <c r="H3309" t="n">
        <v>0.189942288651346</v>
      </c>
    </row>
    <row r="3310">
      <c r="A3310" t="inlineStr">
        <is>
          <t>G|ORIG_BAL x CHANNEL / SYS_FLAG|where N|contribution_rate|book|1</t>
        </is>
      </c>
      <c r="B3310" t="n">
        <v>1.001965128</v>
      </c>
      <c r="D3310" t="n">
        <v>2.554359738</v>
      </c>
      <c r="F3310" t="n">
        <v>2.608552805</v>
      </c>
      <c r="H3310" t="n">
        <v>2.034983292</v>
      </c>
    </row>
    <row r="3311">
      <c r="A3311" t="inlineStr">
        <is>
          <t>G|ORIG_BAL x CHANNEL / SYS_FLAG|where N|contribution_rate|band|1</t>
        </is>
      </c>
      <c r="B3311" t="n">
        <v>-1.5804537</v>
      </c>
      <c r="D3311" t="n">
        <v>0.758436641</v>
      </c>
      <c r="F3311" t="n">
        <v>0.86696925</v>
      </c>
    </row>
    <row r="3312">
      <c r="A3312" t="inlineStr">
        <is>
          <t>G|ORIG_BAL x CHANNEL / SYS_FLAG|where N|contribution_rate|rate|2</t>
        </is>
      </c>
      <c r="B3312" t="n">
        <v>0.1659463329625717</v>
      </c>
      <c r="D3312" t="n">
        <v>0.159126236094771</v>
      </c>
      <c r="F3312" t="n">
        <v>0.1892960155460444</v>
      </c>
      <c r="H3312" t="n">
        <v>0.1717233572418117</v>
      </c>
    </row>
    <row r="3313">
      <c r="A3313" t="inlineStr">
        <is>
          <t>G|ORIG_BAL x CHANNEL / SYS_FLAG|where N|contribution_rate|book|2</t>
        </is>
      </c>
      <c r="B3313" t="n">
        <v>-0.364612277</v>
      </c>
      <c r="D3313" t="n">
        <v>-1.046621964</v>
      </c>
      <c r="F3313" t="n">
        <v>1.970355981</v>
      </c>
      <c r="H3313" t="n">
        <v>0.213090151</v>
      </c>
    </row>
    <row r="3314">
      <c r="A3314" t="inlineStr">
        <is>
          <t>G|ORIG_BAL x CHANNEL / SYS_FLAG|where N|contribution_rate|band|2</t>
        </is>
      </c>
      <c r="B3314" t="n">
        <v>-0.844030109</v>
      </c>
      <c r="D3314" t="n">
        <v>-1.903598179</v>
      </c>
      <c r="F3314" t="n">
        <v>2.68781508</v>
      </c>
    </row>
    <row r="3315">
      <c r="A3315" t="inlineStr">
        <is>
          <t>G|ORIG_BAL x CHANNEL / SYS_FLAG|where N|contribution_rate|rate|3</t>
        </is>
      </c>
      <c r="B3315" t="n">
        <v>0.162178343243562</v>
      </c>
      <c r="D3315" t="n">
        <v>0.1562110573534481</v>
      </c>
      <c r="F3315" t="n">
        <v>0.1821363402286622</v>
      </c>
      <c r="H3315" t="n">
        <v>0.1668247848042675</v>
      </c>
    </row>
    <row r="3316">
      <c r="A3316" t="inlineStr">
        <is>
          <t>G|ORIG_BAL x CHANNEL / SYS_FLAG|where N|contribution_rate|book|3</t>
        </is>
      </c>
      <c r="B3316" t="n">
        <v>-0.741411249</v>
      </c>
      <c r="D3316" t="n">
        <v>-1.338139838</v>
      </c>
      <c r="F3316" t="n">
        <v>1.254388449</v>
      </c>
      <c r="H3316" t="n">
        <v>-0.276767093</v>
      </c>
    </row>
    <row r="3317">
      <c r="A3317" t="inlineStr">
        <is>
          <t>G|ORIG_BAL x CHANNEL / SYS_FLAG|where N|contribution_rate|band|3</t>
        </is>
      </c>
      <c r="B3317" t="n">
        <v>-0.682165899</v>
      </c>
      <c r="D3317" t="n">
        <v>-1.620735272</v>
      </c>
      <c r="F3317" t="n">
        <v>2.305963613</v>
      </c>
    </row>
    <row r="3318">
      <c r="A3318" t="inlineStr">
        <is>
          <t>G|ORIG_BAL x CHANNEL / SYS_FLAG|where N|contribution_rate|rate|4</t>
        </is>
      </c>
      <c r="B3318" t="n">
        <v>0.1529771392248319</v>
      </c>
      <c r="D3318" t="n">
        <v>0.1667228861748754</v>
      </c>
      <c r="F3318" t="n">
        <v>0.1944113158680096</v>
      </c>
      <c r="H3318" t="n">
        <v>0.1718509057779428</v>
      </c>
    </row>
    <row r="3319">
      <c r="A3319" t="inlineStr">
        <is>
          <t>G|ORIG_BAL x CHANNEL / SYS_FLAG|where N|contribution_rate|book|4</t>
        </is>
      </c>
      <c r="B3319" t="n">
        <v>-1.661531651</v>
      </c>
      <c r="D3319" t="n">
        <v>-0.286956956</v>
      </c>
      <c r="F3319" t="n">
        <v>2.481886013</v>
      </c>
      <c r="H3319" t="n">
        <v>0.225845004</v>
      </c>
    </row>
    <row r="3320">
      <c r="A3320" t="inlineStr">
        <is>
          <t>G|ORIG_BAL x CHANNEL / SYS_FLAG|where N|contribution_rate|band|4</t>
        </is>
      </c>
      <c r="B3320" t="n">
        <v>-2.778264694</v>
      </c>
      <c r="D3320" t="n">
        <v>-0.771062034</v>
      </c>
      <c r="F3320" t="n">
        <v>3.44116311</v>
      </c>
    </row>
    <row r="3321">
      <c r="A3321" t="inlineStr">
        <is>
          <t>G|ORIG_BAL x CHANNEL / SYS_FLAG|where N|contribution_rate|rate|5</t>
        </is>
      </c>
      <c r="B3321" t="n">
        <v>0.1564784826477702</v>
      </c>
      <c r="D3321" t="n">
        <v>0.1594295612872402</v>
      </c>
      <c r="F3321" t="n">
        <v>0.1845428270700758</v>
      </c>
      <c r="H3321" t="n">
        <v>0.166954245230095</v>
      </c>
    </row>
    <row r="3322">
      <c r="A3322" t="inlineStr">
        <is>
          <t>G|ORIG_BAL x CHANNEL / SYS_FLAG|where N|contribution_rate|book|5</t>
        </is>
      </c>
      <c r="B3322" t="n">
        <v>-1.311397309</v>
      </c>
      <c r="D3322" t="n">
        <v>-1.016289445</v>
      </c>
      <c r="F3322" t="n">
        <v>1.495037134</v>
      </c>
      <c r="H3322" t="n">
        <v>-0.26382105</v>
      </c>
    </row>
    <row r="3323">
      <c r="A3323" t="inlineStr">
        <is>
          <t>G|ORIG_BAL x CHANNEL / SYS_FLAG|where N|contribution_rate|band|5</t>
        </is>
      </c>
      <c r="B3323" t="n">
        <v>-1.577285205</v>
      </c>
      <c r="D3323" t="n">
        <v>-1.114883547</v>
      </c>
      <c r="F3323" t="n">
        <v>2.661284108</v>
      </c>
    </row>
    <row r="3324">
      <c r="A3324" t="inlineStr">
        <is>
          <t>G|ORIG_BAL x CHANNEL / SYS_FLAG|where N|contribution_rate|rate|6</t>
        </is>
      </c>
    </row>
    <row r="3325">
      <c r="A3325" t="inlineStr">
        <is>
          <t>G|ORIG_BAL x CHANNEL / SYS_FLAG|where N|contribution_rate|book|6</t>
        </is>
      </c>
    </row>
    <row r="3326">
      <c r="A3326" t="inlineStr">
        <is>
          <t>G|ORIG_BAL x CHANNEL / SYS_FLAG|where N|contribution_rate|band|6</t>
        </is>
      </c>
    </row>
    <row r="3327">
      <c r="A3327" t="inlineStr">
        <is>
          <t>G|ORIG_BAL x CHANNEL / SYS_FLAG|where N|contribution_rate|rate|7</t>
        </is>
      </c>
      <c r="B3327" t="n">
        <v>0.159477974501621</v>
      </c>
      <c r="D3327" t="n">
        <v>0.1628222874923279</v>
      </c>
      <c r="F3327" t="n">
        <v>0.1880298300565875</v>
      </c>
      <c r="H3327" t="n">
        <v>0.1703199959681274</v>
      </c>
    </row>
    <row r="3328">
      <c r="A3328" t="inlineStr">
        <is>
          <t>G|ORIG_BAL x CHANNEL / SYS_FLAG|where N|contribution_rate|book|7</t>
        </is>
      </c>
      <c r="B3328" t="n">
        <v>-1.011448123</v>
      </c>
      <c r="D3328" t="n">
        <v>-0.677016824</v>
      </c>
      <c r="F3328" t="n">
        <v>1.843737432</v>
      </c>
      <c r="H3328" t="n">
        <v>0.072754023</v>
      </c>
    </row>
    <row r="3329">
      <c r="A3329" t="inlineStr">
        <is>
          <t>G|ORIG_BAL x CHANNEL / SYS_FLAG|where N|contribution_rate|band|7</t>
        </is>
      </c>
    </row>
    <row r="3330">
      <c r="A3330" t="inlineStr">
        <is>
          <t>G|ORIG_BAL x CHANNEL / SYS_FLAG|where N|contribution_rate|meta</t>
        </is>
      </c>
      <c r="B3330" t="inlineStr">
        <is>
          <t>pts</t>
        </is>
      </c>
      <c r="C3330" t="n">
        <v>3.44116311</v>
      </c>
      <c r="D3330" t="n">
        <v>10</v>
      </c>
      <c r="E3330" t="n">
        <v>0.1695924557349815</v>
      </c>
      <c r="F3330" t="n">
        <v>65</v>
      </c>
    </row>
    <row r="3331">
      <c r="A3331" t="inlineStr">
        <is>
          <t>G|ORIG_BAL x CHANNEL / SYS_FLAG|where N|loan_size|rate|1</t>
        </is>
      </c>
      <c r="B3331" t="n">
        <v>10279.66667774086</v>
      </c>
      <c r="D3331" t="n">
        <v>10164.88602888087</v>
      </c>
      <c r="F3331" t="n">
        <v>10010.21493377483</v>
      </c>
      <c r="H3331" t="n">
        <v>10151.06592045454</v>
      </c>
    </row>
    <row r="3332">
      <c r="A3332" t="inlineStr">
        <is>
          <t>G|ORIG_BAL x CHANNEL / SYS_FLAG|where N|loan_size|median|1</t>
        </is>
      </c>
      <c r="B3332" t="n">
        <v>10359.55</v>
      </c>
      <c r="D3332" t="n">
        <v>10055.78</v>
      </c>
      <c r="F3332" t="n">
        <v>10006.43</v>
      </c>
      <c r="H3332" t="n">
        <v>10103.33</v>
      </c>
    </row>
    <row r="3333">
      <c r="A3333" t="inlineStr">
        <is>
          <t>G|ORIG_BAL x CHANNEL / SYS_FLAG|where N|loan_size|book|1</t>
        </is>
      </c>
      <c r="B3333" t="n">
        <v>0.3186249811636809</v>
      </c>
      <c r="D3333" t="n">
        <v>0.3150672800020117</v>
      </c>
      <c r="F3333" t="n">
        <v>0.3102731484110099</v>
      </c>
      <c r="H3333" t="n">
        <v>0.3146389167169888</v>
      </c>
    </row>
    <row r="3334">
      <c r="A3334" t="inlineStr">
        <is>
          <t>G|ORIG_BAL x CHANNEL / SYS_FLAG|where N|loan_size|band|1</t>
        </is>
      </c>
      <c r="B3334" t="n">
        <v>1.019382317236298</v>
      </c>
      <c r="D3334" t="n">
        <v>1.001988093739631</v>
      </c>
      <c r="F3334" t="n">
        <v>0.9790267429357684</v>
      </c>
    </row>
    <row r="3335">
      <c r="A3335" t="inlineStr">
        <is>
          <t>G|ORIG_BAL x CHANNEL / SYS_FLAG|where N|loan_size|rate|2</t>
        </is>
      </c>
      <c r="B3335" t="n">
        <v>20809.79956204379</v>
      </c>
      <c r="D3335" t="n">
        <v>20860.57218430034</v>
      </c>
      <c r="F3335" t="n">
        <v>20853.49316666667</v>
      </c>
      <c r="H3335" t="n">
        <v>20842.0769088812</v>
      </c>
    </row>
    <row r="3336">
      <c r="A3336" t="inlineStr">
        <is>
          <t>G|ORIG_BAL x CHANNEL / SYS_FLAG|where N|loan_size|median|2</t>
        </is>
      </c>
      <c r="B3336" t="n">
        <v>20960.76</v>
      </c>
      <c r="D3336" t="n">
        <v>20830.29</v>
      </c>
      <c r="F3336" t="n">
        <v>20934.385</v>
      </c>
      <c r="H3336" t="n">
        <v>20891.92</v>
      </c>
    </row>
    <row r="3337">
      <c r="A3337" t="inlineStr">
        <is>
          <t>G|ORIG_BAL x CHANNEL / SYS_FLAG|where N|loan_size|book|2</t>
        </is>
      </c>
      <c r="B3337" t="n">
        <v>0.645013325950891</v>
      </c>
      <c r="D3337" t="n">
        <v>0.646587056531587</v>
      </c>
      <c r="F3337" t="n">
        <v>0.6463676377575259</v>
      </c>
      <c r="H3337" t="n">
        <v>0.6460137833927991</v>
      </c>
    </row>
    <row r="3338">
      <c r="A3338" t="inlineStr">
        <is>
          <t>G|ORIG_BAL x CHANNEL / SYS_FLAG|where N|loan_size|band|2</t>
        </is>
      </c>
      <c r="B3338" t="n">
        <v>0.9977373854187728</v>
      </c>
      <c r="D3338" t="n">
        <v>1.001340984578871</v>
      </c>
      <c r="F3338" t="n">
        <v>1.000837808369607</v>
      </c>
    </row>
    <row r="3339">
      <c r="A3339" t="inlineStr">
        <is>
          <t>G|ORIG_BAL x CHANNEL / SYS_FLAG|where N|loan_size|rate|3</t>
        </is>
      </c>
      <c r="B3339" t="n">
        <v>31905.71234042554</v>
      </c>
      <c r="D3339" t="n">
        <v>31929.07452459017</v>
      </c>
      <c r="F3339" t="n">
        <v>31922.00208754209</v>
      </c>
      <c r="H3339" t="n">
        <v>31919.24573529412</v>
      </c>
    </row>
    <row r="3340">
      <c r="A3340" t="inlineStr">
        <is>
          <t>G|ORIG_BAL x CHANNEL / SYS_FLAG|where N|loan_size|median|3</t>
        </is>
      </c>
      <c r="B3340" t="n">
        <v>31692.58</v>
      </c>
      <c r="D3340" t="n">
        <v>32147.3</v>
      </c>
      <c r="F3340" t="n">
        <v>31585.87</v>
      </c>
      <c r="H3340" t="n">
        <v>31804.46</v>
      </c>
    </row>
    <row r="3341">
      <c r="A3341" t="inlineStr">
        <is>
          <t>G|ORIG_BAL x CHANNEL / SYS_FLAG|where N|loan_size|book|3</t>
        </is>
      </c>
      <c r="B3341" t="n">
        <v>0.9889383880019013</v>
      </c>
      <c r="D3341" t="n">
        <v>0.9896625141552828</v>
      </c>
      <c r="F3341" t="n">
        <v>0.9894432993507692</v>
      </c>
      <c r="H3341" t="n">
        <v>0.9893578644129817</v>
      </c>
    </row>
    <row r="3342">
      <c r="A3342" t="inlineStr">
        <is>
          <t>G|ORIG_BAL x CHANNEL / SYS_FLAG|where N|loan_size|band|3</t>
        </is>
      </c>
      <c r="B3342" t="n">
        <v>0.9993775224982827</v>
      </c>
      <c r="D3342" t="n">
        <v>1.000470209671027</v>
      </c>
      <c r="F3342" t="n">
        <v>1.00013005146132</v>
      </c>
    </row>
    <row r="3343">
      <c r="A3343" t="inlineStr">
        <is>
          <t>G|ORIG_BAL x CHANNEL / SYS_FLAG|where N|loan_size|rate|4</t>
        </is>
      </c>
      <c r="B3343" t="n">
        <v>43719.51468401487</v>
      </c>
      <c r="D3343" t="n">
        <v>43413.91978723404</v>
      </c>
      <c r="F3343" t="n">
        <v>43558.22283737025</v>
      </c>
      <c r="H3343" t="n">
        <v>43561.43003571428</v>
      </c>
    </row>
    <row r="3344">
      <c r="A3344" t="inlineStr">
        <is>
          <t>G|ORIG_BAL x CHANNEL / SYS_FLAG|where N|loan_size|median|4</t>
        </is>
      </c>
      <c r="B3344" t="n">
        <v>43910.99</v>
      </c>
      <c r="D3344" t="n">
        <v>43497.25999999999</v>
      </c>
      <c r="F3344" t="n">
        <v>43708.25</v>
      </c>
      <c r="H3344" t="n">
        <v>43690.725</v>
      </c>
    </row>
    <row r="3345">
      <c r="A3345" t="inlineStr">
        <is>
          <t>G|ORIG_BAL x CHANNEL / SYS_FLAG|where N|loan_size|book|4</t>
        </is>
      </c>
      <c r="B3345" t="n">
        <v>1.355114905898962</v>
      </c>
      <c r="D3345" t="n">
        <v>1.345642792523793</v>
      </c>
      <c r="F3345" t="n">
        <v>1.350115559790758</v>
      </c>
      <c r="H3345" t="n">
        <v>1.35021496899769</v>
      </c>
    </row>
    <row r="3346">
      <c r="A3346" t="inlineStr">
        <is>
          <t>G|ORIG_BAL x CHANNEL / SYS_FLAG|where N|loan_size|band|4</t>
        </is>
      </c>
      <c r="B3346" t="n">
        <v>1.00534778412727</v>
      </c>
      <c r="D3346" t="n">
        <v>0.9949111158360356</v>
      </c>
      <c r="F3346" t="n">
        <v>0.9998877633727867</v>
      </c>
    </row>
    <row r="3347">
      <c r="A3347" t="inlineStr">
        <is>
          <t>G|ORIG_BAL x CHANNEL / SYS_FLAG|where N|loan_size|rate|5</t>
        </is>
      </c>
      <c r="B3347" t="n">
        <v>54543.69591695502</v>
      </c>
      <c r="D3347" t="n">
        <v>54884.20424460431</v>
      </c>
      <c r="F3347" t="n">
        <v>54694.37453608248</v>
      </c>
      <c r="H3347" t="n">
        <v>54705.12807692308</v>
      </c>
    </row>
    <row r="3348">
      <c r="A3348" t="inlineStr">
        <is>
          <t>G|ORIG_BAL x CHANNEL / SYS_FLAG|where N|loan_size|median|5</t>
        </is>
      </c>
      <c r="B3348" t="n">
        <v>54448.33</v>
      </c>
      <c r="D3348" t="n">
        <v>54870.175</v>
      </c>
      <c r="F3348" t="n">
        <v>54754.19</v>
      </c>
      <c r="H3348" t="n">
        <v>54664.42</v>
      </c>
    </row>
    <row r="3349">
      <c r="A3349" t="inlineStr">
        <is>
          <t>G|ORIG_BAL x CHANNEL / SYS_FLAG|where N|loan_size|book|5</t>
        </is>
      </c>
      <c r="B3349" t="n">
        <v>1.690617471261886</v>
      </c>
      <c r="D3349" t="n">
        <v>1.701171749224834</v>
      </c>
      <c r="F3349" t="n">
        <v>1.695287853452898</v>
      </c>
      <c r="H3349" t="n">
        <v>1.695621166473173</v>
      </c>
    </row>
    <row r="3350">
      <c r="A3350" t="inlineStr">
        <is>
          <t>G|ORIG_BAL x CHANNEL / SYS_FLAG|where N|loan_size|band|5</t>
        </is>
      </c>
      <c r="B3350" t="n">
        <v>0.995556894752294</v>
      </c>
      <c r="D3350" t="n">
        <v>1.004850103379755</v>
      </c>
      <c r="F3350" t="n">
        <v>0.9997025706196115</v>
      </c>
    </row>
    <row r="3351">
      <c r="A3351" t="inlineStr">
        <is>
          <t>G|ORIG_BAL x CHANNEL / SYS_FLAG|where N|loan_size|rate|6</t>
        </is>
      </c>
    </row>
    <row r="3352">
      <c r="A3352" t="inlineStr">
        <is>
          <t>G|ORIG_BAL x CHANNEL / SYS_FLAG|where N|loan_size|median|6</t>
        </is>
      </c>
    </row>
    <row r="3353">
      <c r="A3353" t="inlineStr">
        <is>
          <t>G|ORIG_BAL x CHANNEL / SYS_FLAG|where N|loan_size|book|6</t>
        </is>
      </c>
    </row>
    <row r="3354">
      <c r="A3354" t="inlineStr">
        <is>
          <t>G|ORIG_BAL x CHANNEL / SYS_FLAG|where N|loan_size|band|6</t>
        </is>
      </c>
    </row>
    <row r="3355">
      <c r="A3355" t="inlineStr">
        <is>
          <t>G|ORIG_BAL x CHANNEL / SYS_FLAG|where N|loan_size|rate|7</t>
        </is>
      </c>
      <c r="B3355" t="n">
        <v>32026.25667844523</v>
      </c>
      <c r="D3355" t="n">
        <v>32171.93238327526</v>
      </c>
      <c r="F3355" t="n">
        <v>31956.96881000676</v>
      </c>
      <c r="H3355" t="n">
        <v>32050.87388311388</v>
      </c>
    </row>
    <row r="3356">
      <c r="A3356" t="inlineStr">
        <is>
          <t>G|ORIG_BAL x CHANNEL / SYS_FLAG|where N|loan_size|median|7</t>
        </is>
      </c>
      <c r="B3356" t="n">
        <v>31141.73</v>
      </c>
      <c r="D3356" t="n">
        <v>31928.12</v>
      </c>
      <c r="F3356" t="n">
        <v>31263.76</v>
      </c>
      <c r="H3356" t="n">
        <v>31561.19</v>
      </c>
    </row>
    <row r="3357">
      <c r="A3357" t="inlineStr">
        <is>
          <t>G|ORIG_BAL x CHANNEL / SYS_FLAG|where N|loan_size|book|7</t>
        </is>
      </c>
      <c r="B3357" t="n">
        <v>0.9926747384726886</v>
      </c>
      <c r="D3357" t="n">
        <v>0.9971900520682141</v>
      </c>
      <c r="F3357" t="n">
        <v>0.9905271157463715</v>
      </c>
      <c r="H3357" t="n">
        <v>0.9934377648061041</v>
      </c>
    </row>
    <row r="3358">
      <c r="A3358" t="inlineStr">
        <is>
          <t>G|ORIG_BAL x CHANNEL / SYS_FLAG|where N|loan_size|band|7</t>
        </is>
      </c>
    </row>
    <row r="3359">
      <c r="A3359" t="inlineStr">
        <is>
          <t>G|ORIG_BAL x CHANNEL / SYS_FLAG|where N|loan_size|meta</t>
        </is>
      </c>
      <c r="B3359" t="inlineStr">
        <is>
          <t>size</t>
        </is>
      </c>
      <c r="C3359" t="n">
        <v>1</v>
      </c>
      <c r="E3359" t="n">
        <v>32262.58857732217</v>
      </c>
      <c r="F3359" t="n">
        <v>65</v>
      </c>
    </row>
    <row r="3360">
      <c r="A3360" t="inlineStr">
        <is>
          <t>G|ORIG_BAL x CHANNEL / SYS_FLAG|where Y|cols</t>
        </is>
      </c>
      <c r="B3360" t="inlineStr">
        <is>
          <t>Branch · N</t>
        </is>
      </c>
      <c r="C3360" t="inlineStr">
        <is>
          <t>Branch · Y</t>
        </is>
      </c>
      <c r="D3360" t="inlineStr">
        <is>
          <t>Broker · N</t>
        </is>
      </c>
      <c r="E3360" t="inlineStr">
        <is>
          <t>Broker · Y</t>
        </is>
      </c>
      <c r="F3360" t="inlineStr">
        <is>
          <t>Online · N</t>
        </is>
      </c>
      <c r="G3360" t="inlineStr">
        <is>
          <t>Online · Y</t>
        </is>
      </c>
      <c r="H3360" t="inlineStr">
        <is>
          <t>All</t>
        </is>
      </c>
    </row>
    <row r="3361">
      <c r="A3361" t="inlineStr">
        <is>
          <t>G|ORIG_BAL x CHANNEL / SYS_FLAG|where Y|heads</t>
        </is>
      </c>
      <c r="B3361" t="inlineStr">
        <is>
          <t>N</t>
        </is>
      </c>
      <c r="C3361" t="inlineStr">
        <is>
          <t>Y</t>
        </is>
      </c>
      <c r="D3361" t="inlineStr">
        <is>
          <t>N</t>
        </is>
      </c>
      <c r="E3361" t="inlineStr">
        <is>
          <t>Y</t>
        </is>
      </c>
      <c r="F3361" t="inlineStr">
        <is>
          <t>N</t>
        </is>
      </c>
      <c r="G3361" t="inlineStr">
        <is>
          <t>Y</t>
        </is>
      </c>
      <c r="H3361" t="inlineStr">
        <is>
          <t>All</t>
        </is>
      </c>
    </row>
    <row r="3362">
      <c r="A3362" t="inlineStr">
        <is>
          <t>G|ORIG_BAL x CHANNEL / SYS_FLAG|where Y|segs</t>
        </is>
      </c>
      <c r="B3362" t="inlineStr">
        <is>
          <t>Branch</t>
        </is>
      </c>
      <c r="C3362" t="inlineStr">
        <is>
          <t>Broker</t>
        </is>
      </c>
      <c r="D3362" t="inlineStr">
        <is>
          <t>Online</t>
        </is>
      </c>
    </row>
    <row r="3363">
      <c r="A3363" t="inlineStr">
        <is>
          <t>G|ORIG_BAL x CHANNEL / SYS_FLAG|where Y|rows</t>
        </is>
      </c>
      <c r="B3363" t="inlineStr">
        <is>
          <t>5,005 - 15,448</t>
        </is>
      </c>
      <c r="C3363" t="inlineStr">
        <is>
          <t>15,449 - 26,323</t>
        </is>
      </c>
      <c r="D3363" t="inlineStr">
        <is>
          <t>26,324 - 37,950</t>
        </is>
      </c>
      <c r="E3363" t="inlineStr">
        <is>
          <t>37,951 - 49,151</t>
        </is>
      </c>
      <c r="F3363" t="inlineStr">
        <is>
          <t>49,152 - 59,984</t>
        </is>
      </c>
      <c r="G3363" t="inlineStr">
        <is>
          <t>(blank)</t>
        </is>
      </c>
      <c r="H3363" t="inlineStr">
        <is>
          <t>All</t>
        </is>
      </c>
    </row>
    <row r="3364">
      <c r="A3364" t="inlineStr">
        <is>
          <t>G|ORIG_BAL x CHANNEL / SYS_FLAG|where Y|names</t>
        </is>
      </c>
      <c r="B3364" t="inlineStr">
        <is>
          <t>ORIG_BAL</t>
        </is>
      </c>
      <c r="C3364" t="inlineStr">
        <is>
          <t>CHANNEL / SYS_FLAG</t>
        </is>
      </c>
    </row>
    <row r="3365">
      <c r="A3365" t="inlineStr">
        <is>
          <t>G|ORIG_BAL x CHANNEL / SYS_FLAG|where Y|total</t>
        </is>
      </c>
      <c r="B3365" t="n">
        <v>3671</v>
      </c>
    </row>
    <row r="3366">
      <c r="A3366" t="inlineStr">
        <is>
          <t>G|ORIG_BAL x CHANNEL / SYS_FLAG|where Y|loans|1</t>
        </is>
      </c>
      <c r="C3366" t="n">
        <v>241</v>
      </c>
      <c r="E3366" t="n">
        <v>237</v>
      </c>
      <c r="G3366" t="n">
        <v>242</v>
      </c>
      <c r="H3366" t="n">
        <v>720</v>
      </c>
    </row>
    <row r="3367">
      <c r="A3367" t="inlineStr">
        <is>
          <t>G|ORIG_BAL x CHANNEL / SYS_FLAG|where Y|loans|2</t>
        </is>
      </c>
      <c r="C3367" t="n">
        <v>251</v>
      </c>
      <c r="E3367" t="n">
        <v>244</v>
      </c>
      <c r="G3367" t="n">
        <v>238</v>
      </c>
      <c r="H3367" t="n">
        <v>733</v>
      </c>
    </row>
    <row r="3368">
      <c r="A3368" t="inlineStr">
        <is>
          <t>G|ORIG_BAL x CHANNEL / SYS_FLAG|where Y|loans|3</t>
        </is>
      </c>
      <c r="C3368" t="n">
        <v>236</v>
      </c>
      <c r="E3368" t="n">
        <v>248</v>
      </c>
      <c r="G3368" t="n">
        <v>231</v>
      </c>
      <c r="H3368" t="n">
        <v>715</v>
      </c>
    </row>
    <row r="3369">
      <c r="A3369" t="inlineStr">
        <is>
          <t>G|ORIG_BAL x CHANNEL / SYS_FLAG|where Y|loans|4</t>
        </is>
      </c>
      <c r="C3369" t="n">
        <v>257</v>
      </c>
      <c r="E3369" t="n">
        <v>249</v>
      </c>
      <c r="G3369" t="n">
        <v>254</v>
      </c>
      <c r="H3369" t="n">
        <v>760</v>
      </c>
    </row>
    <row r="3370">
      <c r="A3370" t="inlineStr">
        <is>
          <t>G|ORIG_BAL x CHANNEL / SYS_FLAG|where Y|loans|5</t>
        </is>
      </c>
      <c r="C3370" t="n">
        <v>226</v>
      </c>
      <c r="E3370" t="n">
        <v>242</v>
      </c>
      <c r="G3370" t="n">
        <v>274</v>
      </c>
      <c r="H3370" t="n">
        <v>742</v>
      </c>
    </row>
    <row r="3371">
      <c r="A3371" t="inlineStr">
        <is>
          <t>G|ORIG_BAL x CHANNEL / SYS_FLAG|where Y|loans|6</t>
        </is>
      </c>
      <c r="C3371" t="n">
        <v>1</v>
      </c>
      <c r="H3371" t="n">
        <v>1</v>
      </c>
    </row>
    <row r="3372">
      <c r="A3372" t="inlineStr">
        <is>
          <t>G|ORIG_BAL x CHANNEL / SYS_FLAG|where Y|loans|7</t>
        </is>
      </c>
      <c r="C3372" t="n">
        <v>1212</v>
      </c>
      <c r="E3372" t="n">
        <v>1220</v>
      </c>
      <c r="G3372" t="n">
        <v>1239</v>
      </c>
      <c r="H3372" t="n">
        <v>3671</v>
      </c>
    </row>
    <row r="3373">
      <c r="A3373" t="inlineStr">
        <is>
          <t>G|ORIG_BAL x CHANNEL / SYS_FLAG|where Y|outcome_loans|rate|1</t>
        </is>
      </c>
      <c r="C3373" t="n">
        <v>0.07468879668049792</v>
      </c>
      <c r="E3373" t="n">
        <v>0.109704641350211</v>
      </c>
      <c r="G3373" t="n">
        <v>0.115702479338843</v>
      </c>
      <c r="H3373" t="n">
        <v>0.1</v>
      </c>
    </row>
    <row r="3374">
      <c r="A3374" t="inlineStr">
        <is>
          <t>G|ORIG_BAL x CHANNEL / SYS_FLAG|where Y|outcome_loans|book|1</t>
        </is>
      </c>
      <c r="C3374" t="n">
        <v>0.9651626569423309</v>
      </c>
      <c r="E3374" t="n">
        <v>1.417653354055473</v>
      </c>
      <c r="G3374" t="n">
        <v>1.495160149000654</v>
      </c>
      <c r="H3374" t="n">
        <v>1.292245557350566</v>
      </c>
    </row>
    <row r="3375">
      <c r="A3375" t="inlineStr">
        <is>
          <t>G|ORIG_BAL x CHANNEL / SYS_FLAG|where Y|outcome_loans|band|1</t>
        </is>
      </c>
      <c r="C3375" t="n">
        <v>0.6625172890733056</v>
      </c>
      <c r="E3375" t="n">
        <v>1.151898734177215</v>
      </c>
      <c r="G3375" t="n">
        <v>1.25694966190834</v>
      </c>
    </row>
    <row r="3376">
      <c r="A3376" t="inlineStr">
        <is>
          <t>G|ORIG_BAL x CHANNEL / SYS_FLAG|where Y|outcome_loans|rate|2</t>
        </is>
      </c>
      <c r="C3376" t="n">
        <v>0.06772908366533864</v>
      </c>
      <c r="E3376" t="n">
        <v>0.1434426229508197</v>
      </c>
      <c r="G3376" t="n">
        <v>0.08823529411764706</v>
      </c>
      <c r="H3376" t="n">
        <v>0.09959072305593451</v>
      </c>
    </row>
    <row r="3377">
      <c r="A3377" t="inlineStr">
        <is>
          <t>G|ORIG_BAL x CHANNEL / SYS_FLAG|where Y|outcome_loans|book|2</t>
        </is>
      </c>
      <c r="C3377" t="n">
        <v>0.875226074699586</v>
      </c>
      <c r="E3377" t="n">
        <v>1.85363092242909</v>
      </c>
      <c r="G3377" t="n">
        <v>1.140216668250499</v>
      </c>
      <c r="H3377" t="n">
        <v>1.286956694223619</v>
      </c>
    </row>
    <row r="3378">
      <c r="A3378" t="inlineStr">
        <is>
          <t>G|ORIG_BAL x CHANNEL / SYS_FLAG|where Y|outcome_loans|band|2</t>
        </is>
      </c>
      <c r="C3378" t="n">
        <v>0.5829538986909504</v>
      </c>
      <c r="E3378" t="n">
        <v>1.845880069025021</v>
      </c>
      <c r="G3378" t="n">
        <v>0.8399321266968327</v>
      </c>
    </row>
    <row r="3379">
      <c r="A3379" t="inlineStr">
        <is>
          <t>G|ORIG_BAL x CHANNEL / SYS_FLAG|where Y|outcome_loans|rate|3</t>
        </is>
      </c>
      <c r="C3379" t="n">
        <v>0.08050847457627118</v>
      </c>
      <c r="E3379" t="n">
        <v>0.0846774193548387</v>
      </c>
      <c r="G3379" t="n">
        <v>0.1038961038961039</v>
      </c>
      <c r="H3379" t="n">
        <v>0.08951048951048951</v>
      </c>
    </row>
    <row r="3380">
      <c r="A3380" t="inlineStr">
        <is>
          <t>G|ORIG_BAL x CHANNEL / SYS_FLAG|where Y|outcome_loans|book|3</t>
        </is>
      </c>
      <c r="C3380" t="n">
        <v>1.040367186002574</v>
      </c>
      <c r="E3380" t="n">
        <v>1.094240189692011</v>
      </c>
      <c r="G3380" t="n">
        <v>1.34259278685773</v>
      </c>
      <c r="H3380" t="n">
        <v>1.156695324062045</v>
      </c>
    </row>
    <row r="3381">
      <c r="A3381" t="inlineStr">
        <is>
          <t>G|ORIG_BAL x CHANNEL / SYS_FLAG|where Y|outcome_loans|band|3</t>
        </is>
      </c>
      <c r="C3381" t="n">
        <v>0.8569679849340865</v>
      </c>
      <c r="E3381" t="n">
        <v>0.9196361590397598</v>
      </c>
      <c r="G3381" t="n">
        <v>1.257142857142857</v>
      </c>
    </row>
    <row r="3382">
      <c r="A3382" t="inlineStr">
        <is>
          <t>G|ORIG_BAL x CHANNEL / SYS_FLAG|where Y|outcome_loans|rate|4</t>
        </is>
      </c>
      <c r="C3382" t="n">
        <v>0.08949416342412451</v>
      </c>
      <c r="E3382" t="n">
        <v>0.1405622489959839</v>
      </c>
      <c r="G3382" t="n">
        <v>0.1299212598425197</v>
      </c>
      <c r="H3382" t="n">
        <v>0.1197368421052632</v>
      </c>
    </row>
    <row r="3383">
      <c r="A3383" t="inlineStr">
        <is>
          <t>G|ORIG_BAL x CHANNEL / SYS_FLAG|where Y|outcome_loans|book|4</t>
        </is>
      </c>
      <c r="C3383" t="n">
        <v>1.156484350936304</v>
      </c>
      <c r="E3383" t="n">
        <v>1.816409417962642</v>
      </c>
      <c r="G3383" t="n">
        <v>1.678901708368845</v>
      </c>
      <c r="H3383" t="n">
        <v>1.547294022617124</v>
      </c>
    </row>
    <row r="3384">
      <c r="A3384" t="inlineStr">
        <is>
          <t>G|ORIG_BAL x CHANNEL / SYS_FLAG|where Y|outcome_loans|band|4</t>
        </is>
      </c>
      <c r="C3384" t="n">
        <v>0.6619935912108034</v>
      </c>
      <c r="E3384" t="n">
        <v>1.282630522088353</v>
      </c>
      <c r="G3384" t="n">
        <v>1.133450991039913</v>
      </c>
    </row>
    <row r="3385">
      <c r="A3385" t="inlineStr">
        <is>
          <t>G|ORIG_BAL x CHANNEL / SYS_FLAG|where Y|outcome_loans|rate|5</t>
        </is>
      </c>
      <c r="C3385" t="n">
        <v>0.07964601769911504</v>
      </c>
      <c r="E3385" t="n">
        <v>0.1033057851239669</v>
      </c>
      <c r="G3385" t="n">
        <v>0.09854014598540146</v>
      </c>
      <c r="H3385" t="n">
        <v>0.09433962264150944</v>
      </c>
    </row>
    <row r="3386">
      <c r="A3386" t="inlineStr">
        <is>
          <t>G|ORIG_BAL x CHANNEL / SYS_FLAG|where Y|outcome_loans|book|5</t>
        </is>
      </c>
      <c r="C3386" t="n">
        <v>1.029222125323459</v>
      </c>
      <c r="E3386" t="n">
        <v>1.334964418750584</v>
      </c>
      <c r="G3386" t="n">
        <v>1.273380658703112</v>
      </c>
      <c r="H3386" t="n">
        <v>1.219099582406194</v>
      </c>
    </row>
    <row r="3387">
      <c r="A3387" t="inlineStr">
        <is>
          <t>G|ORIG_BAL x CHANNEL / SYS_FLAG|where Y|outcome_loans|band|5</t>
        </is>
      </c>
      <c r="C3387" t="n">
        <v>0.7903335602450646</v>
      </c>
      <c r="E3387" t="n">
        <v>1.147842056932966</v>
      </c>
      <c r="G3387" t="n">
        <v>1.072483449329486</v>
      </c>
    </row>
    <row r="3388">
      <c r="A3388" t="inlineStr">
        <is>
          <t>G|ORIG_BAL x CHANNEL / SYS_FLAG|where Y|outcome_loans|rate|6</t>
        </is>
      </c>
      <c r="C3388" t="n">
        <v>0</v>
      </c>
      <c r="H3388" t="n">
        <v>0</v>
      </c>
    </row>
    <row r="3389">
      <c r="A3389" t="inlineStr">
        <is>
          <t>G|ORIG_BAL x CHANNEL / SYS_FLAG|where Y|outcome_loans|book|6</t>
        </is>
      </c>
    </row>
    <row r="3390">
      <c r="A3390" t="inlineStr">
        <is>
          <t>G|ORIG_BAL x CHANNEL / SYS_FLAG|where Y|outcome_loans|band|6</t>
        </is>
      </c>
    </row>
    <row r="3391">
      <c r="A3391" t="inlineStr">
        <is>
          <t>G|ORIG_BAL x CHANNEL / SYS_FLAG|where Y|outcome_loans|rate|7</t>
        </is>
      </c>
      <c r="C3391" t="n">
        <v>0.07838283828382839</v>
      </c>
      <c r="E3391" t="n">
        <v>0.1163934426229508</v>
      </c>
      <c r="G3391" t="n">
        <v>0.1073446327683616</v>
      </c>
      <c r="H3391" t="n">
        <v>0.1007899754835195</v>
      </c>
    </row>
    <row r="3392">
      <c r="A3392" t="inlineStr">
        <is>
          <t>G|ORIG_BAL x CHANNEL / SYS_FLAG|where Y|outcome_loans|book|7</t>
        </is>
      </c>
      <c r="C3392" t="n">
        <v>1.01289874544805</v>
      </c>
      <c r="E3392" t="n">
        <v>1.504089091342461</v>
      </c>
      <c r="G3392" t="n">
        <v>1.387156248003432</v>
      </c>
      <c r="H3392" t="n">
        <v>1.302453980440504</v>
      </c>
    </row>
    <row r="3393">
      <c r="A3393" t="inlineStr">
        <is>
          <t>G|ORIG_BAL x CHANNEL / SYS_FLAG|where Y|outcome_loans|band|7</t>
        </is>
      </c>
    </row>
    <row r="3394">
      <c r="A3394" t="inlineStr">
        <is>
          <t>G|ORIG_BAL x CHANNEL / SYS_FLAG|where Y|outcome_loans|meta</t>
        </is>
      </c>
      <c r="B3394" t="inlineStr">
        <is>
          <t>x</t>
        </is>
      </c>
      <c r="C3394" t="n">
        <v>1.85363092242909</v>
      </c>
      <c r="D3394" t="n">
        <v>10</v>
      </c>
      <c r="E3394" t="n">
        <v>0.07738467308413552</v>
      </c>
      <c r="F3394" t="n">
        <v>65</v>
      </c>
    </row>
    <row r="3395">
      <c r="A3395" t="inlineStr">
        <is>
          <t>G|ORIG_BAL x CHANNEL / SYS_FLAG|where Y|outcome_booked|rate|1</t>
        </is>
      </c>
      <c r="C3395" t="n">
        <v>0.07948539311439064</v>
      </c>
      <c r="E3395" t="n">
        <v>0.0986991994820951</v>
      </c>
      <c r="G3395" t="n">
        <v>0.1167251086094073</v>
      </c>
      <c r="H3395" t="n">
        <v>0.09858878297777601</v>
      </c>
    </row>
    <row r="3396">
      <c r="A3396" t="inlineStr">
        <is>
          <t>G|ORIG_BAL x CHANNEL / SYS_FLAG|where Y|outcome_booked|book|1</t>
        </is>
      </c>
      <c r="C3396" t="n">
        <v>1.06222898501193</v>
      </c>
      <c r="E3396" t="n">
        <v>1.318998955398947</v>
      </c>
      <c r="G3396" t="n">
        <v>1.559894073432344</v>
      </c>
      <c r="H3396" t="n">
        <v>1.31752336841729</v>
      </c>
    </row>
    <row r="3397">
      <c r="A3397" t="inlineStr">
        <is>
          <t>G|ORIG_BAL x CHANNEL / SYS_FLAG|where Y|outcome_booked|band|1</t>
        </is>
      </c>
      <c r="C3397" t="n">
        <v>0.7372610715518236</v>
      </c>
      <c r="E3397" t="n">
        <v>1.001681257989999</v>
      </c>
      <c r="G3397" t="n">
        <v>1.308472415089317</v>
      </c>
    </row>
    <row r="3398">
      <c r="A3398" t="inlineStr">
        <is>
          <t>G|ORIG_BAL x CHANNEL / SYS_FLAG|where Y|outcome_booked|rate|2</t>
        </is>
      </c>
      <c r="C3398" t="n">
        <v>0.0701261461165415</v>
      </c>
      <c r="E3398" t="n">
        <v>0.1388411823720672</v>
      </c>
      <c r="G3398" t="n">
        <v>0.0930022032076228</v>
      </c>
      <c r="H3398" t="n">
        <v>0.1004438193702695</v>
      </c>
    </row>
    <row r="3399">
      <c r="A3399" t="inlineStr">
        <is>
          <t>G|ORIG_BAL x CHANNEL / SYS_FLAG|where Y|outcome_booked|book|2</t>
        </is>
      </c>
      <c r="C3399" t="n">
        <v>0.9371536340641931</v>
      </c>
      <c r="E3399" t="n">
        <v>1.855449441090278</v>
      </c>
      <c r="G3399" t="n">
        <v>1.242865286895345</v>
      </c>
      <c r="H3399" t="n">
        <v>1.342313752501102</v>
      </c>
    </row>
    <row r="3400">
      <c r="A3400" t="inlineStr">
        <is>
          <t>G|ORIG_BAL x CHANNEL / SYS_FLAG|where Y|outcome_booked|band|2</t>
        </is>
      </c>
      <c r="C3400" t="n">
        <v>0.6021785568393638</v>
      </c>
      <c r="E3400" t="n">
        <v>1.711606382504922</v>
      </c>
      <c r="G3400" t="n">
        <v>0.894773050004974</v>
      </c>
    </row>
    <row r="3401">
      <c r="A3401" t="inlineStr">
        <is>
          <t>G|ORIG_BAL x CHANNEL / SYS_FLAG|where Y|outcome_booked|rate|3</t>
        </is>
      </c>
      <c r="C3401" t="n">
        <v>0.07679229604285816</v>
      </c>
      <c r="E3401" t="n">
        <v>0.08351121065616678</v>
      </c>
      <c r="G3401" t="n">
        <v>0.1023946957505104</v>
      </c>
      <c r="H3401" t="n">
        <v>0.08736643485781102</v>
      </c>
    </row>
    <row r="3402">
      <c r="A3402" t="inlineStr">
        <is>
          <t>G|ORIG_BAL x CHANNEL / SYS_FLAG|where Y|outcome_booked|book|3</t>
        </is>
      </c>
      <c r="C3402" t="n">
        <v>1.026238903605204</v>
      </c>
      <c r="E3402" t="n">
        <v>1.116029311256651</v>
      </c>
      <c r="G3402" t="n">
        <v>1.368384925531407</v>
      </c>
      <c r="H3402" t="n">
        <v>1.16754985774011</v>
      </c>
    </row>
    <row r="3403">
      <c r="A3403" t="inlineStr">
        <is>
          <t>G|ORIG_BAL x CHANNEL / SYS_FLAG|where Y|outcome_booked|band|3</t>
        </is>
      </c>
      <c r="C3403" t="n">
        <v>0.8299556267795603</v>
      </c>
      <c r="E3403" t="n">
        <v>0.9335692738757659</v>
      </c>
      <c r="G3403" t="n">
        <v>1.275674390919961</v>
      </c>
    </row>
    <row r="3404">
      <c r="A3404" t="inlineStr">
        <is>
          <t>G|ORIG_BAL x CHANNEL / SYS_FLAG|where Y|outcome_booked|rate|4</t>
        </is>
      </c>
      <c r="C3404" t="n">
        <v>0.08613032467895225</v>
      </c>
      <c r="E3404" t="n">
        <v>0.1362010577104414</v>
      </c>
      <c r="G3404" t="n">
        <v>0.1320577537898996</v>
      </c>
      <c r="H3404" t="n">
        <v>0.1178825890190914</v>
      </c>
    </row>
    <row r="3405">
      <c r="A3405" t="inlineStr">
        <is>
          <t>G|ORIG_BAL x CHANNEL / SYS_FLAG|where Y|outcome_booked|book|4</t>
        </is>
      </c>
      <c r="C3405" t="n">
        <v>1.151030696052598</v>
      </c>
      <c r="E3405" t="n">
        <v>1.820167273766934</v>
      </c>
      <c r="G3405" t="n">
        <v>1.764796879966665</v>
      </c>
      <c r="H3405" t="n">
        <v>1.575362440544532</v>
      </c>
    </row>
    <row r="3406">
      <c r="A3406" t="inlineStr">
        <is>
          <t>G|ORIG_BAL x CHANNEL / SYS_FLAG|where Y|outcome_booked|band|4</t>
        </is>
      </c>
      <c r="C3406" t="n">
        <v>0.6422522180544067</v>
      </c>
      <c r="E3406" t="n">
        <v>1.249891985085895</v>
      </c>
      <c r="G3406" t="n">
        <v>1.192326562245552</v>
      </c>
    </row>
    <row r="3407">
      <c r="A3407" t="inlineStr">
        <is>
          <t>G|ORIG_BAL x CHANNEL / SYS_FLAG|where Y|outcome_booked|rate|5</t>
        </is>
      </c>
      <c r="C3407" t="n">
        <v>0.08057358264485796</v>
      </c>
      <c r="E3407" t="n">
        <v>0.1044077966445302</v>
      </c>
      <c r="G3407" t="n">
        <v>0.09761271814640037</v>
      </c>
      <c r="H3407" t="n">
        <v>0.09465014265829715</v>
      </c>
    </row>
    <row r="3408">
      <c r="A3408" t="inlineStr">
        <is>
          <t>G|ORIG_BAL x CHANNEL / SYS_FLAG|where Y|outcome_booked|book|5</t>
        </is>
      </c>
      <c r="C3408" t="n">
        <v>1.076771360851795</v>
      </c>
      <c r="E3408" t="n">
        <v>1.395287656153924</v>
      </c>
      <c r="G3408" t="n">
        <v>1.304479407577267</v>
      </c>
      <c r="H3408" t="n">
        <v>1.264888063426522</v>
      </c>
    </row>
    <row r="3409">
      <c r="A3409" t="inlineStr">
        <is>
          <t>G|ORIG_BAL x CHANNEL / SYS_FLAG|where Y|outcome_booked|band|5</t>
        </is>
      </c>
      <c r="C3409" t="n">
        <v>0.7992441678856138</v>
      </c>
      <c r="E3409" t="n">
        <v>1.161397746482985</v>
      </c>
      <c r="G3409" t="n">
        <v>1.050448040886291</v>
      </c>
    </row>
    <row r="3410">
      <c r="A3410" t="inlineStr">
        <is>
          <t>G|ORIG_BAL x CHANNEL / SYS_FLAG|where Y|outcome_booked|rate|6</t>
        </is>
      </c>
    </row>
    <row r="3411">
      <c r="A3411" t="inlineStr">
        <is>
          <t>G|ORIG_BAL x CHANNEL / SYS_FLAG|where Y|outcome_booked|book|6</t>
        </is>
      </c>
    </row>
    <row r="3412">
      <c r="A3412" t="inlineStr">
        <is>
          <t>G|ORIG_BAL x CHANNEL / SYS_FLAG|where Y|outcome_booked|band|6</t>
        </is>
      </c>
    </row>
    <row r="3413">
      <c r="A3413" t="inlineStr">
        <is>
          <t>G|ORIG_BAL x CHANNEL / SYS_FLAG|where Y|outcome_booked|rate|7</t>
        </is>
      </c>
      <c r="C3413" t="n">
        <v>0.07994273280547269</v>
      </c>
      <c r="E3413" t="n">
        <v>0.1128943071960848</v>
      </c>
      <c r="G3413" t="n">
        <v>0.1084527276536025</v>
      </c>
      <c r="H3413" t="n">
        <v>0.1006690692129982</v>
      </c>
    </row>
    <row r="3414">
      <c r="A3414" t="inlineStr">
        <is>
          <t>G|ORIG_BAL x CHANNEL / SYS_FLAG|where Y|outcome_booked|book|7</t>
        </is>
      </c>
      <c r="C3414" t="n">
        <v>1.068340793192392</v>
      </c>
      <c r="E3414" t="n">
        <v>1.508699908849178</v>
      </c>
      <c r="G3414" t="n">
        <v>1.44934341145511</v>
      </c>
      <c r="H3414" t="n">
        <v>1.345323952267889</v>
      </c>
    </row>
    <row r="3415">
      <c r="A3415" t="inlineStr">
        <is>
          <t>G|ORIG_BAL x CHANNEL / SYS_FLAG|where Y|outcome_booked|band|7</t>
        </is>
      </c>
    </row>
    <row r="3416">
      <c r="A3416" t="inlineStr">
        <is>
          <t>G|ORIG_BAL x CHANNEL / SYS_FLAG|where Y|outcome_booked|meta</t>
        </is>
      </c>
      <c r="B3416" t="inlineStr">
        <is>
          <t>x</t>
        </is>
      </c>
      <c r="C3416" t="n">
        <v>1.855449441090278</v>
      </c>
      <c r="D3416" t="n">
        <v>10</v>
      </c>
      <c r="E3416" t="n">
        <v>0.07482886857347235</v>
      </c>
      <c r="F3416" t="n">
        <v>65</v>
      </c>
    </row>
    <row r="3417">
      <c r="A3417" t="inlineStr">
        <is>
          <t>G|ORIG_BAL x CHANNEL / SYS_FLAG|where Y|gco_rate|rate|1</t>
        </is>
      </c>
      <c r="C3417" t="n">
        <v>0.0446512583618181</v>
      </c>
      <c r="E3417" t="n">
        <v>0.05593211782335367</v>
      </c>
      <c r="G3417" t="n">
        <v>0.06394499241639874</v>
      </c>
      <c r="H3417" t="n">
        <v>0.05499092105694457</v>
      </c>
    </row>
    <row r="3418">
      <c r="A3418" t="inlineStr">
        <is>
          <t>G|ORIG_BAL x CHANNEL / SYS_FLAG|where Y|gco_rate|book|1</t>
        </is>
      </c>
      <c r="C3418" t="n">
        <v>1.073211719816672</v>
      </c>
      <c r="E3418" t="n">
        <v>1.344351907750936</v>
      </c>
      <c r="G3418" t="n">
        <v>1.536944708898748</v>
      </c>
      <c r="H3418" t="n">
        <v>1.321729848767095</v>
      </c>
    </row>
    <row r="3419">
      <c r="A3419" t="inlineStr">
        <is>
          <t>G|ORIG_BAL x CHANNEL / SYS_FLAG|where Y|gco_rate|band|1</t>
        </is>
      </c>
      <c r="C3419" t="n">
        <v>0.7444007919449788</v>
      </c>
      <c r="E3419" t="n">
        <v>1.025900543190686</v>
      </c>
      <c r="G3419" t="n">
        <v>1.269779595468693</v>
      </c>
    </row>
    <row r="3420">
      <c r="A3420" t="inlineStr">
        <is>
          <t>G|ORIG_BAL x CHANNEL / SYS_FLAG|where Y|gco_rate|rate|2</t>
        </is>
      </c>
      <c r="C3420" t="n">
        <v>0.04026062976799067</v>
      </c>
      <c r="E3420" t="n">
        <v>0.07822796693460864</v>
      </c>
      <c r="G3420" t="n">
        <v>0.05110463775075075</v>
      </c>
      <c r="H3420" t="n">
        <v>0.05643820887369717</v>
      </c>
    </row>
    <row r="3421">
      <c r="A3421" t="inlineStr">
        <is>
          <t>G|ORIG_BAL x CHANNEL / SYS_FLAG|where Y|gco_rate|book|2</t>
        </is>
      </c>
      <c r="C3421" t="n">
        <v>0.967681120296387</v>
      </c>
      <c r="E3421" t="n">
        <v>1.880241991196474</v>
      </c>
      <c r="G3421" t="n">
        <v>1.22832139973889</v>
      </c>
      <c r="H3421" t="n">
        <v>1.356516018381857</v>
      </c>
    </row>
    <row r="3422">
      <c r="A3422" t="inlineStr">
        <is>
          <t>G|ORIG_BAL x CHANNEL / SYS_FLAG|where Y|gco_rate|band|2</t>
        </is>
      </c>
      <c r="C3422" t="n">
        <v>0.6195723891504187</v>
      </c>
      <c r="E3422" t="n">
        <v>1.720396962718227</v>
      </c>
      <c r="G3422" t="n">
        <v>0.8670092150878246</v>
      </c>
    </row>
    <row r="3423">
      <c r="A3423" t="inlineStr">
        <is>
          <t>G|ORIG_BAL x CHANNEL / SYS_FLAG|where Y|gco_rate|rate|3</t>
        </is>
      </c>
      <c r="C3423" t="n">
        <v>0.04394095981399322</v>
      </c>
      <c r="E3423" t="n">
        <v>0.04122141030323061</v>
      </c>
      <c r="G3423" t="n">
        <v>0.05409866833363711</v>
      </c>
      <c r="H3423" t="n">
        <v>0.04624469674154726</v>
      </c>
    </row>
    <row r="3424">
      <c r="A3424" t="inlineStr">
        <is>
          <t>G|ORIG_BAL x CHANNEL / SYS_FLAG|where Y|gco_rate|book|3</t>
        </is>
      </c>
      <c r="C3424" t="n">
        <v>1.056139396346696</v>
      </c>
      <c r="E3424" t="n">
        <v>0.9907738833767878</v>
      </c>
      <c r="G3424" t="n">
        <v>1.300284180384527</v>
      </c>
      <c r="H3424" t="n">
        <v>1.11151067950273</v>
      </c>
    </row>
    <row r="3425">
      <c r="A3425" t="inlineStr">
        <is>
          <t>G|ORIG_BAL x CHANNEL / SYS_FLAG|where Y|gco_rate|band|3</t>
        </is>
      </c>
      <c r="C3425" t="n">
        <v>0.9276362454716982</v>
      </c>
      <c r="E3425" t="n">
        <v>0.8418658771368209</v>
      </c>
      <c r="G3425" t="n">
        <v>1.271877570508461</v>
      </c>
    </row>
    <row r="3426">
      <c r="A3426" t="inlineStr">
        <is>
          <t>G|ORIG_BAL x CHANNEL / SYS_FLAG|where Y|gco_rate|rate|4</t>
        </is>
      </c>
      <c r="C3426" t="n">
        <v>0.04647524182237373</v>
      </c>
      <c r="E3426" t="n">
        <v>0.07424717789214945</v>
      </c>
      <c r="G3426" t="n">
        <v>0.07403579170375833</v>
      </c>
      <c r="H3426" t="n">
        <v>0.06478485971440698</v>
      </c>
    </row>
    <row r="3427">
      <c r="A3427" t="inlineStr">
        <is>
          <t>G|ORIG_BAL x CHANNEL / SYS_FLAG|where Y|gco_rate|book|4</t>
        </is>
      </c>
      <c r="C3427" t="n">
        <v>1.117051927202495</v>
      </c>
      <c r="E3427" t="n">
        <v>1.784562057164912</v>
      </c>
      <c r="G3427" t="n">
        <v>1.779481301479363</v>
      </c>
      <c r="H3427" t="n">
        <v>1.557131271615735</v>
      </c>
    </row>
    <row r="3428">
      <c r="A3428" t="inlineStr">
        <is>
          <t>G|ORIG_BAL x CHANNEL / SYS_FLAG|where Y|gco_rate|band|4</t>
        </is>
      </c>
      <c r="C3428" t="n">
        <v>0.6268551021376745</v>
      </c>
      <c r="E3428" t="n">
        <v>1.233726295292749</v>
      </c>
      <c r="G3428" t="n">
        <v>1.231176654806432</v>
      </c>
    </row>
    <row r="3429">
      <c r="A3429" t="inlineStr">
        <is>
          <t>G|ORIG_BAL x CHANNEL / SYS_FLAG|where Y|gco_rate|rate|5</t>
        </is>
      </c>
      <c r="C3429" t="n">
        <v>0.04060840296759337</v>
      </c>
      <c r="E3429" t="n">
        <v>0.05761656365268954</v>
      </c>
      <c r="G3429" t="n">
        <v>0.05342817172843498</v>
      </c>
      <c r="H3429" t="n">
        <v>0.05089659667225939</v>
      </c>
    </row>
    <row r="3430">
      <c r="A3430" t="inlineStr">
        <is>
          <t>G|ORIG_BAL x CHANNEL / SYS_FLAG|where Y|gco_rate|book|5</t>
        </is>
      </c>
      <c r="C3430" t="n">
        <v>0.9760399949920868</v>
      </c>
      <c r="E3430" t="n">
        <v>1.384838269653458</v>
      </c>
      <c r="G3430" t="n">
        <v>1.284168513296955</v>
      </c>
      <c r="H3430" t="n">
        <v>1.223321045172597</v>
      </c>
    </row>
    <row r="3431">
      <c r="A3431" t="inlineStr">
        <is>
          <t>G|ORIG_BAL x CHANNEL / SYS_FLAG|where Y|gco_rate|band|5</t>
        </is>
      </c>
      <c r="C3431" t="n">
        <v>0.73299965345993</v>
      </c>
      <c r="E3431" t="n">
        <v>1.209818637048589</v>
      </c>
      <c r="G3431" t="n">
        <v>1.081054028606349</v>
      </c>
    </row>
    <row r="3432">
      <c r="A3432" t="inlineStr">
        <is>
          <t>G|ORIG_BAL x CHANNEL / SYS_FLAG|where Y|gco_rate|rate|6</t>
        </is>
      </c>
    </row>
    <row r="3433">
      <c r="A3433" t="inlineStr">
        <is>
          <t>G|ORIG_BAL x CHANNEL / SYS_FLAG|where Y|gco_rate|book|6</t>
        </is>
      </c>
    </row>
    <row r="3434">
      <c r="A3434" t="inlineStr">
        <is>
          <t>G|ORIG_BAL x CHANNEL / SYS_FLAG|where Y|gco_rate|band|6</t>
        </is>
      </c>
    </row>
    <row r="3435">
      <c r="A3435" t="inlineStr">
        <is>
          <t>G|ORIG_BAL x CHANNEL / SYS_FLAG|where Y|gco_rate|rate|7</t>
        </is>
      </c>
      <c r="C3435" t="n">
        <v>0.04315508300661359</v>
      </c>
      <c r="E3435" t="n">
        <v>0.06135421166542902</v>
      </c>
      <c r="G3435" t="n">
        <v>0.05951080006595517</v>
      </c>
      <c r="H3435" t="n">
        <v>0.05481054765254319</v>
      </c>
    </row>
    <row r="3436">
      <c r="A3436" t="inlineStr">
        <is>
          <t>G|ORIG_BAL x CHANNEL / SYS_FLAG|where Y|gco_rate|book|7</t>
        </is>
      </c>
      <c r="C3436" t="n">
        <v>1.037250517713588</v>
      </c>
      <c r="E3436" t="n">
        <v>1.474674207071329</v>
      </c>
      <c r="G3436" t="n">
        <v>1.430367036219162</v>
      </c>
      <c r="H3436" t="n">
        <v>1.317394498350356</v>
      </c>
    </row>
    <row r="3437">
      <c r="A3437" t="inlineStr">
        <is>
          <t>G|ORIG_BAL x CHANNEL / SYS_FLAG|where Y|gco_rate|band|7</t>
        </is>
      </c>
    </row>
    <row r="3438">
      <c r="A3438" t="inlineStr">
        <is>
          <t>G|ORIG_BAL x CHANNEL / SYS_FLAG|where Y|gco_rate|meta</t>
        </is>
      </c>
      <c r="B3438" t="inlineStr">
        <is>
          <t>x</t>
        </is>
      </c>
      <c r="C3438" t="n">
        <v>1.880241991196474</v>
      </c>
      <c r="D3438" t="n">
        <v>10</v>
      </c>
      <c r="E3438" t="n">
        <v>0.04160526533333565</v>
      </c>
      <c r="F3438" t="n">
        <v>65</v>
      </c>
    </row>
    <row r="3439">
      <c r="A3439" t="inlineStr">
        <is>
          <t>G|ORIG_BAL x CHANNEL / SYS_FLAG|where Y|ranr_rate|rate|1</t>
        </is>
      </c>
      <c r="C3439" t="n">
        <v>0.1296814501304714</v>
      </c>
      <c r="E3439" t="n">
        <v>0.1246036885932769</v>
      </c>
      <c r="G3439" t="n">
        <v>0.1379419349644898</v>
      </c>
      <c r="H3439" t="n">
        <v>0.1308043622690213</v>
      </c>
    </row>
    <row r="3440">
      <c r="A3440" t="inlineStr">
        <is>
          <t>G|ORIG_BAL x CHANNEL / SYS_FLAG|where Y|ranr_rate|book|1</t>
        </is>
      </c>
      <c r="C3440" t="n">
        <v>0.169140048</v>
      </c>
      <c r="E3440" t="n">
        <v>-0.338636105</v>
      </c>
      <c r="G3440" t="n">
        <v>0.995188532</v>
      </c>
      <c r="H3440" t="n">
        <v>0.281431262</v>
      </c>
    </row>
    <row r="3441">
      <c r="A3441" t="inlineStr">
        <is>
          <t>G|ORIG_BAL x CHANNEL / SYS_FLAG|where Y|ranr_rate|band|1</t>
        </is>
      </c>
      <c r="C3441" t="n">
        <v>-0.166504427</v>
      </c>
      <c r="E3441" t="n">
        <v>-0.9303006539999999</v>
      </c>
      <c r="G3441" t="n">
        <v>1.082972151</v>
      </c>
    </row>
    <row r="3442">
      <c r="A3442" t="inlineStr">
        <is>
          <t>G|ORIG_BAL x CHANNEL / SYS_FLAG|where Y|ranr_rate|rate|2</t>
        </is>
      </c>
      <c r="C3442" t="n">
        <v>0.1237755866697224</v>
      </c>
      <c r="E3442" t="n">
        <v>0.08821259636861455</v>
      </c>
      <c r="G3442" t="n">
        <v>0.1378485182642591</v>
      </c>
      <c r="H3442" t="n">
        <v>0.1163666258605022</v>
      </c>
    </row>
    <row r="3443">
      <c r="A3443" t="inlineStr">
        <is>
          <t>G|ORIG_BAL x CHANNEL / SYS_FLAG|where Y|ranr_rate|book|2</t>
        </is>
      </c>
      <c r="C3443" t="n">
        <v>-0.421446298</v>
      </c>
      <c r="E3443" t="n">
        <v>-3.977745328</v>
      </c>
      <c r="G3443" t="n">
        <v>0.985846862</v>
      </c>
      <c r="H3443" t="n">
        <v>-1.162342379</v>
      </c>
    </row>
    <row r="3444">
      <c r="A3444" t="inlineStr">
        <is>
          <t>G|ORIG_BAL x CHANNEL / SYS_FLAG|where Y|ranr_rate|band|2</t>
        </is>
      </c>
      <c r="C3444" t="n">
        <v>1.132150868</v>
      </c>
      <c r="E3444" t="n">
        <v>-4.232465264</v>
      </c>
      <c r="G3444" t="n">
        <v>3.157276348</v>
      </c>
    </row>
    <row r="3445">
      <c r="A3445" t="inlineStr">
        <is>
          <t>G|ORIG_BAL x CHANNEL / SYS_FLAG|where Y|ranr_rate|rate|3</t>
        </is>
      </c>
      <c r="C3445" t="n">
        <v>0.1140203172239735</v>
      </c>
      <c r="E3445" t="n">
        <v>0.1218673990813496</v>
      </c>
      <c r="G3445" t="n">
        <v>0.1391925332347572</v>
      </c>
      <c r="H3445" t="n">
        <v>0.1248526978893463</v>
      </c>
    </row>
    <row r="3446">
      <c r="A3446" t="inlineStr">
        <is>
          <t>G|ORIG_BAL x CHANNEL / SYS_FLAG|where Y|ranr_rate|book|3</t>
        </is>
      </c>
      <c r="C3446" t="n">
        <v>-1.396973242</v>
      </c>
      <c r="E3446" t="n">
        <v>-0.612265057</v>
      </c>
      <c r="G3446" t="n">
        <v>1.120248359</v>
      </c>
      <c r="H3446" t="n">
        <v>-0.313735176</v>
      </c>
    </row>
    <row r="3447">
      <c r="A3447" t="inlineStr">
        <is>
          <t>G|ORIG_BAL x CHANNEL / SYS_FLAG|where Y|ranr_rate|band|3</t>
        </is>
      </c>
      <c r="C3447" t="n">
        <v>-1.611773277</v>
      </c>
      <c r="E3447" t="n">
        <v>-0.460156327</v>
      </c>
      <c r="G3447" t="n">
        <v>2.111394983</v>
      </c>
    </row>
    <row r="3448">
      <c r="A3448" t="inlineStr">
        <is>
          <t>G|ORIG_BAL x CHANNEL / SYS_FLAG|where Y|ranr_rate|rate|4</t>
        </is>
      </c>
      <c r="C3448" t="n">
        <v>0.107366918661601</v>
      </c>
      <c r="E3448" t="n">
        <v>0.09230560204538017</v>
      </c>
      <c r="G3448" t="n">
        <v>0.1044076098268792</v>
      </c>
      <c r="H3448" t="n">
        <v>0.1014475073967631</v>
      </c>
    </row>
    <row r="3449">
      <c r="A3449" t="inlineStr">
        <is>
          <t>G|ORIG_BAL x CHANNEL / SYS_FLAG|where Y|ranr_rate|book|4</t>
        </is>
      </c>
      <c r="C3449" t="n">
        <v>-2.062313099</v>
      </c>
      <c r="E3449" t="n">
        <v>-3.56844476</v>
      </c>
      <c r="G3449" t="n">
        <v>-2.358243982</v>
      </c>
      <c r="H3449" t="n">
        <v>-2.654254225</v>
      </c>
    </row>
    <row r="3450">
      <c r="A3450" t="inlineStr">
        <is>
          <t>G|ORIG_BAL x CHANNEL / SYS_FLAG|where Y|ranr_rate|band|4</t>
        </is>
      </c>
      <c r="C3450" t="n">
        <v>0.894398855</v>
      </c>
      <c r="E3450" t="n">
        <v>-1.358963769</v>
      </c>
      <c r="G3450" t="n">
        <v>0.444822329</v>
      </c>
    </row>
    <row r="3451">
      <c r="A3451" t="inlineStr">
        <is>
          <t>G|ORIG_BAL x CHANNEL / SYS_FLAG|where Y|ranr_rate|rate|5</t>
        </is>
      </c>
      <c r="C3451" t="n">
        <v>0.122059684195831</v>
      </c>
      <c r="E3451" t="n">
        <v>0.1000757888598914</v>
      </c>
      <c r="G3451" t="n">
        <v>0.119573307791757</v>
      </c>
      <c r="H3451" t="n">
        <v>0.1139450120628223</v>
      </c>
    </row>
    <row r="3452">
      <c r="A3452" t="inlineStr">
        <is>
          <t>G|ORIG_BAL x CHANNEL / SYS_FLAG|where Y|ranr_rate|book|5</t>
        </is>
      </c>
      <c r="C3452" t="n">
        <v>-0.593036545</v>
      </c>
      <c r="E3452" t="n">
        <v>-2.791426079</v>
      </c>
      <c r="G3452" t="n">
        <v>-0.841674186</v>
      </c>
      <c r="H3452" t="n">
        <v>-1.404503759</v>
      </c>
    </row>
    <row r="3453">
      <c r="A3453" t="inlineStr">
        <is>
          <t>G|ORIG_BAL x CHANNEL / SYS_FLAG|where Y|ranr_rate|band|5</t>
        </is>
      </c>
      <c r="C3453" t="n">
        <v>1.1666909</v>
      </c>
      <c r="E3453" t="n">
        <v>-2.062320421</v>
      </c>
      <c r="G3453" t="n">
        <v>0.890601905</v>
      </c>
    </row>
    <row r="3454">
      <c r="A3454" t="inlineStr">
        <is>
          <t>G|ORIG_BAL x CHANNEL / SYS_FLAG|where Y|ranr_rate|rate|6</t>
        </is>
      </c>
    </row>
    <row r="3455">
      <c r="A3455" t="inlineStr">
        <is>
          <t>G|ORIG_BAL x CHANNEL / SYS_FLAG|where Y|ranr_rate|book|6</t>
        </is>
      </c>
    </row>
    <row r="3456">
      <c r="A3456" t="inlineStr">
        <is>
          <t>G|ORIG_BAL x CHANNEL / SYS_FLAG|where Y|ranr_rate|band|6</t>
        </is>
      </c>
    </row>
    <row r="3457">
      <c r="A3457" t="inlineStr">
        <is>
          <t>G|ORIG_BAL x CHANNEL / SYS_FLAG|where Y|ranr_rate|rate|7</t>
        </is>
      </c>
      <c r="C3457" t="n">
        <v>0.1169453091003141</v>
      </c>
      <c r="E3457" t="n">
        <v>0.1023825193760781</v>
      </c>
      <c r="G3457" t="n">
        <v>0.1223457649562408</v>
      </c>
      <c r="H3457" t="n">
        <v>0.1139361498721039</v>
      </c>
    </row>
    <row r="3458">
      <c r="A3458" t="inlineStr">
        <is>
          <t>G|ORIG_BAL x CHANNEL / SYS_FLAG|where Y|ranr_rate|book|7</t>
        </is>
      </c>
      <c r="C3458" t="n">
        <v>-1.104474055</v>
      </c>
      <c r="E3458" t="n">
        <v>-2.560753027</v>
      </c>
      <c r="G3458" t="n">
        <v>-0.564428469</v>
      </c>
      <c r="H3458" t="n">
        <v>-1.405389978</v>
      </c>
    </row>
    <row r="3459">
      <c r="A3459" t="inlineStr">
        <is>
          <t>G|ORIG_BAL x CHANNEL / SYS_FLAG|where Y|ranr_rate|band|7</t>
        </is>
      </c>
    </row>
    <row r="3460">
      <c r="A3460" t="inlineStr">
        <is>
          <t>G|ORIG_BAL x CHANNEL / SYS_FLAG|where Y|ranr_rate|meta</t>
        </is>
      </c>
      <c r="B3460" t="inlineStr">
        <is>
          <t>pts</t>
        </is>
      </c>
      <c r="C3460" t="n">
        <v>4.232465264</v>
      </c>
      <c r="D3460" t="n">
        <v>10</v>
      </c>
      <c r="E3460" t="n">
        <v>0.1279900496481481</v>
      </c>
      <c r="F3460" t="n">
        <v>65</v>
      </c>
    </row>
    <row r="3461">
      <c r="A3461" t="inlineStr">
        <is>
          <t>G|ORIG_BAL x CHANNEL / SYS_FLAG|where Y|contribution_rate|rate|1</t>
        </is>
      </c>
      <c r="C3461" t="n">
        <v>0.1743327084922897</v>
      </c>
      <c r="E3461" t="n">
        <v>0.1805358064166306</v>
      </c>
      <c r="G3461" t="n">
        <v>0.2018869273808885</v>
      </c>
      <c r="H3461" t="n">
        <v>0.1857952833259659</v>
      </c>
    </row>
    <row r="3462">
      <c r="A3462" t="inlineStr">
        <is>
          <t>G|ORIG_BAL x CHANNEL / SYS_FLAG|where Y|contribution_rate|book|1</t>
        </is>
      </c>
      <c r="C3462" t="n">
        <v>0.474025276</v>
      </c>
      <c r="E3462" t="n">
        <v>1.094335068</v>
      </c>
      <c r="G3462" t="n">
        <v>3.229447165</v>
      </c>
      <c r="H3462" t="n">
        <v>1.620282759</v>
      </c>
    </row>
    <row r="3463">
      <c r="A3463" t="inlineStr">
        <is>
          <t>G|ORIG_BAL x CHANNEL / SYS_FLAG|where Y|contribution_rate|band|1</t>
        </is>
      </c>
      <c r="C3463" t="n">
        <v>-1.699660544</v>
      </c>
      <c r="E3463" t="n">
        <v>-0.789090841</v>
      </c>
      <c r="G3463" t="n">
        <v>2.441558653</v>
      </c>
    </row>
    <row r="3464">
      <c r="A3464" t="inlineStr">
        <is>
          <t>G|ORIG_BAL x CHANNEL / SYS_FLAG|where Y|contribution_rate|rate|2</t>
        </is>
      </c>
      <c r="C3464" t="n">
        <v>0.164036216437713</v>
      </c>
      <c r="E3464" t="n">
        <v>0.1664405633032231</v>
      </c>
      <c r="G3464" t="n">
        <v>0.1889531560150098</v>
      </c>
      <c r="H3464" t="n">
        <v>0.1728048347341993</v>
      </c>
    </row>
    <row r="3465">
      <c r="A3465" t="inlineStr">
        <is>
          <t>G|ORIG_BAL x CHANNEL / SYS_FLAG|where Y|contribution_rate|book|2</t>
        </is>
      </c>
      <c r="C3465" t="n">
        <v>-0.55562393</v>
      </c>
      <c r="E3465" t="n">
        <v>-0.315189243</v>
      </c>
      <c r="G3465" t="n">
        <v>1.936070028</v>
      </c>
      <c r="H3465" t="n">
        <v>0.3212379</v>
      </c>
    </row>
    <row r="3466">
      <c r="A3466" t="inlineStr">
        <is>
          <t>G|ORIG_BAL x CHANNEL / SYS_FLAG|where Y|contribution_rate|band|2</t>
        </is>
      </c>
      <c r="C3466" t="n">
        <v>-1.339917847</v>
      </c>
      <c r="E3466" t="n">
        <v>-0.95675675</v>
      </c>
      <c r="G3466" t="n">
        <v>2.373380887</v>
      </c>
    </row>
    <row r="3467">
      <c r="A3467" t="inlineStr">
        <is>
          <t>G|ORIG_BAL x CHANNEL / SYS_FLAG|where Y|contribution_rate|rate|3</t>
        </is>
      </c>
      <c r="C3467" t="n">
        <v>0.1579612770379667</v>
      </c>
      <c r="E3467" t="n">
        <v>0.1630888093845802</v>
      </c>
      <c r="G3467" t="n">
        <v>0.1932912015683944</v>
      </c>
      <c r="H3467" t="n">
        <v>0.1710973946308936</v>
      </c>
    </row>
    <row r="3468">
      <c r="A3468" t="inlineStr">
        <is>
          <t>G|ORIG_BAL x CHANNEL / SYS_FLAG|where Y|contribution_rate|book|3</t>
        </is>
      </c>
      <c r="C3468" t="n">
        <v>-1.16311787</v>
      </c>
      <c r="E3468" t="n">
        <v>-0.650364635</v>
      </c>
      <c r="G3468" t="n">
        <v>2.369874583</v>
      </c>
      <c r="H3468" t="n">
        <v>0.15049389</v>
      </c>
    </row>
    <row r="3469">
      <c r="A3469" t="inlineStr">
        <is>
          <t>G|ORIG_BAL x CHANNEL / SYS_FLAG|where Y|contribution_rate|band|3</t>
        </is>
      </c>
      <c r="C3469" t="n">
        <v>-1.954551262</v>
      </c>
      <c r="E3469" t="n">
        <v>-1.234449684</v>
      </c>
      <c r="G3469" t="n">
        <v>3.26781246</v>
      </c>
    </row>
    <row r="3470">
      <c r="A3470" t="inlineStr">
        <is>
          <t>G|ORIG_BAL x CHANNEL / SYS_FLAG|where Y|contribution_rate|rate|4</t>
        </is>
      </c>
      <c r="C3470" t="n">
        <v>0.1538421604839745</v>
      </c>
      <c r="E3470" t="n">
        <v>0.1665527799375296</v>
      </c>
      <c r="G3470" t="n">
        <v>0.1784434015306375</v>
      </c>
      <c r="H3470" t="n">
        <v>0.16623236711117</v>
      </c>
    </row>
    <row r="3471">
      <c r="A3471" t="inlineStr">
        <is>
          <t>G|ORIG_BAL x CHANNEL / SYS_FLAG|where Y|contribution_rate|book|4</t>
        </is>
      </c>
      <c r="C3471" t="n">
        <v>-1.575029525</v>
      </c>
      <c r="E3471" t="n">
        <v>-0.30396758</v>
      </c>
      <c r="G3471" t="n">
        <v>0.88509458</v>
      </c>
      <c r="H3471" t="n">
        <v>-0.336008862</v>
      </c>
    </row>
    <row r="3472">
      <c r="A3472" t="inlineStr">
        <is>
          <t>G|ORIG_BAL x CHANNEL / SYS_FLAG|where Y|contribution_rate|band|4</t>
        </is>
      </c>
      <c r="C3472" t="n">
        <v>-1.872109594</v>
      </c>
      <c r="E3472" t="n">
        <v>0.047630051</v>
      </c>
      <c r="G3472" t="n">
        <v>1.834984057</v>
      </c>
    </row>
    <row r="3473">
      <c r="A3473" t="inlineStr">
        <is>
          <t>G|ORIG_BAL x CHANNEL / SYS_FLAG|where Y|contribution_rate|rate|5</t>
        </is>
      </c>
      <c r="C3473" t="n">
        <v>0.1626680871634243</v>
      </c>
      <c r="E3473" t="n">
        <v>0.1576923525125809</v>
      </c>
      <c r="G3473" t="n">
        <v>0.173001479520192</v>
      </c>
      <c r="H3473" t="n">
        <v>0.1648416087350816</v>
      </c>
    </row>
    <row r="3474">
      <c r="A3474" t="inlineStr">
        <is>
          <t>G|ORIG_BAL x CHANNEL / SYS_FLAG|where Y|contribution_rate|book|5</t>
        </is>
      </c>
      <c r="C3474" t="n">
        <v>-0.692436857</v>
      </c>
      <c r="E3474" t="n">
        <v>-1.190010322</v>
      </c>
      <c r="G3474" t="n">
        <v>0.340902379</v>
      </c>
      <c r="H3474" t="n">
        <v>-0.4750847</v>
      </c>
    </row>
    <row r="3475">
      <c r="A3475" t="inlineStr">
        <is>
          <t>G|ORIG_BAL x CHANNEL / SYS_FLAG|where Y|contribution_rate|band|5</t>
        </is>
      </c>
      <c r="C3475" t="n">
        <v>-0.312499112</v>
      </c>
      <c r="E3475" t="n">
        <v>-1.063077354</v>
      </c>
      <c r="G3475" t="n">
        <v>1.291189521</v>
      </c>
    </row>
    <row r="3476">
      <c r="A3476" t="inlineStr">
        <is>
          <t>G|ORIG_BAL x CHANNEL / SYS_FLAG|where Y|contribution_rate|rate|6</t>
        </is>
      </c>
    </row>
    <row r="3477">
      <c r="A3477" t="inlineStr">
        <is>
          <t>G|ORIG_BAL x CHANNEL / SYS_FLAG|where Y|contribution_rate|book|6</t>
        </is>
      </c>
    </row>
    <row r="3478">
      <c r="A3478" t="inlineStr">
        <is>
          <t>G|ORIG_BAL x CHANNEL / SYS_FLAG|where Y|contribution_rate|band|6</t>
        </is>
      </c>
    </row>
    <row r="3479">
      <c r="A3479" t="inlineStr">
        <is>
          <t>G|ORIG_BAL x CHANNEL / SYS_FLAG|where Y|contribution_rate|rate|7</t>
        </is>
      </c>
      <c r="C3479" t="n">
        <v>0.1601003921069276</v>
      </c>
      <c r="E3479" t="n">
        <v>0.1637367310415071</v>
      </c>
      <c r="G3479" t="n">
        <v>0.1818565650221959</v>
      </c>
      <c r="H3479" t="n">
        <v>0.1687466975246471</v>
      </c>
    </row>
    <row r="3480">
      <c r="A3480" t="inlineStr">
        <is>
          <t>G|ORIG_BAL x CHANNEL / SYS_FLAG|where Y|contribution_rate|book|7</t>
        </is>
      </c>
      <c r="C3480" t="n">
        <v>-0.9492063630000001</v>
      </c>
      <c r="E3480" t="n">
        <v>-0.585572469</v>
      </c>
      <c r="G3480" t="n">
        <v>1.226410929</v>
      </c>
      <c r="H3480" t="n">
        <v>-0.084575821</v>
      </c>
    </row>
    <row r="3481">
      <c r="A3481" t="inlineStr">
        <is>
          <t>G|ORIG_BAL x CHANNEL / SYS_FLAG|where Y|contribution_rate|band|7</t>
        </is>
      </c>
    </row>
    <row r="3482">
      <c r="A3482" t="inlineStr">
        <is>
          <t>G|ORIG_BAL x CHANNEL / SYS_FLAG|where Y|contribution_rate|meta</t>
        </is>
      </c>
      <c r="B3482" t="inlineStr">
        <is>
          <t>pts</t>
        </is>
      </c>
      <c r="C3482" t="n">
        <v>3.26781246</v>
      </c>
      <c r="D3482" t="n">
        <v>10</v>
      </c>
      <c r="E3482" t="n">
        <v>0.1695924557349815</v>
      </c>
      <c r="F3482" t="n">
        <v>65</v>
      </c>
    </row>
    <row r="3483">
      <c r="A3483" t="inlineStr">
        <is>
          <t>G|ORIG_BAL x CHANNEL / SYS_FLAG|where Y|loan_size|rate|1</t>
        </is>
      </c>
      <c r="C3483" t="n">
        <v>9862.646680497926</v>
      </c>
      <c r="E3483" t="n">
        <v>10271.83122362869</v>
      </c>
      <c r="G3483" t="n">
        <v>10284.37008264463</v>
      </c>
      <c r="H3483" t="n">
        <v>10139.08251388889</v>
      </c>
    </row>
    <row r="3484">
      <c r="A3484" t="inlineStr">
        <is>
          <t>G|ORIG_BAL x CHANNEL / SYS_FLAG|where Y|loan_size|median|1</t>
        </is>
      </c>
      <c r="C3484" t="n">
        <v>9779.91</v>
      </c>
      <c r="E3484" t="n">
        <v>10387.69</v>
      </c>
      <c r="G3484" t="n">
        <v>10416.175</v>
      </c>
      <c r="H3484" t="n">
        <v>10126.21</v>
      </c>
    </row>
    <row r="3485">
      <c r="A3485" t="inlineStr">
        <is>
          <t>G|ORIG_BAL x CHANNEL / SYS_FLAG|where Y|loan_size|book|1</t>
        </is>
      </c>
      <c r="C3485" t="n">
        <v>0.3056991740405642</v>
      </c>
      <c r="E3485" t="n">
        <v>0.3183821161470257</v>
      </c>
      <c r="G3485" t="n">
        <v>0.3187707662699346</v>
      </c>
      <c r="H3485" t="n">
        <v>0.3142674832054795</v>
      </c>
    </row>
    <row r="3486">
      <c r="A3486" t="inlineStr">
        <is>
          <t>G|ORIG_BAL x CHANNEL / SYS_FLAG|where Y|loan_size|band|1</t>
        </is>
      </c>
      <c r="C3486" t="n">
        <v>0.9595726113342499</v>
      </c>
      <c r="E3486" t="n">
        <v>1.019643374706261</v>
      </c>
      <c r="G3486" t="n">
        <v>1.021741852398449</v>
      </c>
    </row>
    <row r="3487">
      <c r="A3487" t="inlineStr">
        <is>
          <t>G|ORIG_BAL x CHANNEL / SYS_FLAG|where Y|loan_size|rate|2</t>
        </is>
      </c>
      <c r="C3487" t="n">
        <v>21120.34737051793</v>
      </c>
      <c r="E3487" t="n">
        <v>21048.69319672131</v>
      </c>
      <c r="G3487" t="n">
        <v>20599.58743697479</v>
      </c>
      <c r="H3487" t="n">
        <v>20927.40810368349</v>
      </c>
    </row>
    <row r="3488">
      <c r="A3488" t="inlineStr">
        <is>
          <t>G|ORIG_BAL x CHANNEL / SYS_FLAG|where Y|loan_size|median|2</t>
        </is>
      </c>
      <c r="C3488" t="n">
        <v>21102.79</v>
      </c>
      <c r="E3488" t="n">
        <v>21339.26</v>
      </c>
      <c r="G3488" t="n">
        <v>20279.415</v>
      </c>
      <c r="H3488" t="n">
        <v>20862.28</v>
      </c>
    </row>
    <row r="3489">
      <c r="A3489" t="inlineStr">
        <is>
          <t>G|ORIG_BAL x CHANNEL / SYS_FLAG|where Y|loan_size|book|2</t>
        </is>
      </c>
      <c r="C3489" t="n">
        <v>0.6546389580581803</v>
      </c>
      <c r="E3489" t="n">
        <v>0.6524179901521211</v>
      </c>
      <c r="G3489" t="n">
        <v>0.6384976638686249</v>
      </c>
      <c r="H3489" t="n">
        <v>0.6486586794958439</v>
      </c>
    </row>
    <row r="3490">
      <c r="A3490" t="inlineStr">
        <is>
          <t>G|ORIG_BAL x CHANNEL / SYS_FLAG|where Y|loan_size|band|2</t>
        </is>
      </c>
      <c r="C3490" t="n">
        <v>1.014088092243103</v>
      </c>
      <c r="E3490" t="n">
        <v>1.008712540772043</v>
      </c>
      <c r="G3490" t="n">
        <v>0.9769770513480476</v>
      </c>
    </row>
    <row r="3491">
      <c r="A3491" t="inlineStr">
        <is>
          <t>G|ORIG_BAL x CHANNEL / SYS_FLAG|where Y|loan_size|rate|3</t>
        </is>
      </c>
      <c r="C3491" t="n">
        <v>32160.84385593221</v>
      </c>
      <c r="E3491" t="n">
        <v>32781.19713709677</v>
      </c>
      <c r="G3491" t="n">
        <v>32147.00601731602</v>
      </c>
      <c r="H3491" t="n">
        <v>32371.54465734266</v>
      </c>
    </row>
    <row r="3492">
      <c r="A3492" t="inlineStr">
        <is>
          <t>G|ORIG_BAL x CHANNEL / SYS_FLAG|where Y|loan_size|median|3</t>
        </is>
      </c>
      <c r="C3492" t="n">
        <v>32103.67</v>
      </c>
      <c r="E3492" t="n">
        <v>33171.675</v>
      </c>
      <c r="G3492" t="n">
        <v>31921.86</v>
      </c>
      <c r="H3492" t="n">
        <v>32470.82</v>
      </c>
    </row>
    <row r="3493">
      <c r="A3493" t="inlineStr">
        <is>
          <t>G|ORIG_BAL x CHANNEL / SYS_FLAG|where Y|loan_size|book|3</t>
        </is>
      </c>
      <c r="C3493" t="n">
        <v>0.9968463559225537</v>
      </c>
      <c r="E3493" t="n">
        <v>1.016074610954781</v>
      </c>
      <c r="G3493" t="n">
        <v>0.9964174430787183</v>
      </c>
      <c r="H3493" t="n">
        <v>1.003377164847122</v>
      </c>
    </row>
    <row r="3494">
      <c r="A3494" t="inlineStr">
        <is>
          <t>G|ORIG_BAL x CHANNEL / SYS_FLAG|where Y|loan_size|band|3</t>
        </is>
      </c>
      <c r="C3494" t="n">
        <v>0.9903153751538084</v>
      </c>
      <c r="E3494" t="n">
        <v>1.019506068959419</v>
      </c>
      <c r="G3494" t="n">
        <v>0.9897870081450348</v>
      </c>
    </row>
    <row r="3495">
      <c r="A3495" t="inlineStr">
        <is>
          <t>G|ORIG_BAL x CHANNEL / SYS_FLAG|where Y|loan_size|rate|4</t>
        </is>
      </c>
      <c r="C3495" t="n">
        <v>43562.2626848249</v>
      </c>
      <c r="E3495" t="n">
        <v>43515.25365461847</v>
      </c>
      <c r="G3495" t="n">
        <v>43604.16846456692</v>
      </c>
      <c r="H3495" t="n">
        <v>43560.86639473684</v>
      </c>
    </row>
    <row r="3496">
      <c r="A3496" t="inlineStr">
        <is>
          <t>G|ORIG_BAL x CHANNEL / SYS_FLAG|where Y|loan_size|median|4</t>
        </is>
      </c>
      <c r="C3496" t="n">
        <v>43482.13</v>
      </c>
      <c r="E3496" t="n">
        <v>43151.59</v>
      </c>
      <c r="G3496" t="n">
        <v>43539.425</v>
      </c>
      <c r="H3496" t="n">
        <v>43474.215</v>
      </c>
    </row>
    <row r="3497">
      <c r="A3497" t="inlineStr">
        <is>
          <t>G|ORIG_BAL x CHANNEL / SYS_FLAG|where Y|loan_size|book|4</t>
        </is>
      </c>
      <c r="C3497" t="n">
        <v>1.350240777500583</v>
      </c>
      <c r="E3497" t="n">
        <v>1.348783701913056</v>
      </c>
      <c r="G3497" t="n">
        <v>1.35153967450761</v>
      </c>
      <c r="H3497" t="n">
        <v>1.350197498577544</v>
      </c>
    </row>
    <row r="3498">
      <c r="A3498" t="inlineStr">
        <is>
          <t>G|ORIG_BAL x CHANNEL / SYS_FLAG|where Y|loan_size|band|4</t>
        </is>
      </c>
      <c r="C3498" t="n">
        <v>1.000048431940044</v>
      </c>
      <c r="E3498" t="n">
        <v>0.9984434581166237</v>
      </c>
      <c r="G3498" t="n">
        <v>1.001493798389701</v>
      </c>
    </row>
    <row r="3499">
      <c r="A3499" t="inlineStr">
        <is>
          <t>G|ORIG_BAL x CHANNEL / SYS_FLAG|where Y|loan_size|rate|5</t>
        </is>
      </c>
      <c r="C3499" t="n">
        <v>54465.80230088496</v>
      </c>
      <c r="E3499" t="n">
        <v>54710.98888429752</v>
      </c>
      <c r="G3499" t="n">
        <v>54303.06540145985</v>
      </c>
      <c r="H3499" t="n">
        <v>54485.67459568733</v>
      </c>
    </row>
    <row r="3500">
      <c r="A3500" t="inlineStr">
        <is>
          <t>G|ORIG_BAL x CHANNEL / SYS_FLAG|where Y|loan_size|median|5</t>
        </is>
      </c>
      <c r="C3500" t="n">
        <v>54202.61500000001</v>
      </c>
      <c r="E3500" t="n">
        <v>54773.2</v>
      </c>
      <c r="G3500" t="n">
        <v>53998.745</v>
      </c>
      <c r="H3500" t="n">
        <v>54283.705</v>
      </c>
    </row>
    <row r="3501">
      <c r="A3501" t="inlineStr">
        <is>
          <t>G|ORIG_BAL x CHANNEL / SYS_FLAG|where Y|loan_size|book|5</t>
        </is>
      </c>
      <c r="C3501" t="n">
        <v>1.688203107768288</v>
      </c>
      <c r="E3501" t="n">
        <v>1.695802826024774</v>
      </c>
      <c r="G3501" t="n">
        <v>1.683158971305553</v>
      </c>
      <c r="H3501" t="n">
        <v>1.688819062522035</v>
      </c>
    </row>
    <row r="3502">
      <c r="A3502" t="inlineStr">
        <is>
          <t>G|ORIG_BAL x CHANNEL / SYS_FLAG|where Y|loan_size|band|5</t>
        </is>
      </c>
      <c r="C3502" t="n">
        <v>0.9994756146837154</v>
      </c>
      <c r="E3502" t="n">
        <v>1.00614908372473</v>
      </c>
      <c r="G3502" t="n">
        <v>0.9946966899415484</v>
      </c>
    </row>
    <row r="3503">
      <c r="A3503" t="inlineStr">
        <is>
          <t>G|ORIG_BAL x CHANNEL / SYS_FLAG|where Y|loan_size|rate|6</t>
        </is>
      </c>
    </row>
    <row r="3504">
      <c r="A3504" t="inlineStr">
        <is>
          <t>G|ORIG_BAL x CHANNEL / SYS_FLAG|where Y|loan_size|median|6</t>
        </is>
      </c>
    </row>
    <row r="3505">
      <c r="A3505" t="inlineStr">
        <is>
          <t>G|ORIG_BAL x CHANNEL / SYS_FLAG|where Y|loan_size|book|6</t>
        </is>
      </c>
    </row>
    <row r="3506">
      <c r="A3506" t="inlineStr">
        <is>
          <t>G|ORIG_BAL x CHANNEL / SYS_FLAG|where Y|loan_size|band|6</t>
        </is>
      </c>
    </row>
    <row r="3507">
      <c r="A3507" t="inlineStr">
        <is>
          <t>G|ORIG_BAL x CHANNEL / SYS_FLAG|where Y|loan_size|rate|7</t>
        </is>
      </c>
      <c r="C3507" t="n">
        <v>32017.20645747317</v>
      </c>
      <c r="E3507" t="n">
        <v>32602.78647540984</v>
      </c>
      <c r="G3507" t="n">
        <v>32907.16422114609</v>
      </c>
      <c r="H3507" t="n">
        <v>32512.31961580381</v>
      </c>
    </row>
    <row r="3508">
      <c r="A3508" t="inlineStr">
        <is>
          <t>G|ORIG_BAL x CHANNEL / SYS_FLAG|where Y|loan_size|median|7</t>
        </is>
      </c>
      <c r="C3508" t="n">
        <v>31923.05</v>
      </c>
      <c r="E3508" t="n">
        <v>33360.735</v>
      </c>
      <c r="G3508" t="n">
        <v>33331.65</v>
      </c>
      <c r="H3508" t="n">
        <v>32864.335</v>
      </c>
    </row>
    <row r="3509">
      <c r="A3509" t="inlineStr">
        <is>
          <t>G|ORIG_BAL x CHANNEL / SYS_FLAG|where Y|loan_size|book|7</t>
        </is>
      </c>
      <c r="C3509" t="n">
        <v>0.9923942209639842</v>
      </c>
      <c r="E3509" t="n">
        <v>1.010544655995979</v>
      </c>
      <c r="G3509" t="n">
        <v>1.019979042979738</v>
      </c>
      <c r="H3509" t="n">
        <v>1.007740576608821</v>
      </c>
    </row>
    <row r="3510">
      <c r="A3510" t="inlineStr">
        <is>
          <t>G|ORIG_BAL x CHANNEL / SYS_FLAG|where Y|loan_size|band|7</t>
        </is>
      </c>
    </row>
    <row r="3511">
      <c r="A3511" t="inlineStr">
        <is>
          <t>G|ORIG_BAL x CHANNEL / SYS_FLAG|where Y|loan_size|meta</t>
        </is>
      </c>
      <c r="B3511" t="inlineStr">
        <is>
          <t>size</t>
        </is>
      </c>
      <c r="C3511" t="n">
        <v>1</v>
      </c>
      <c r="E3511" t="n">
        <v>32262.58857732217</v>
      </c>
      <c r="F3511" t="n">
        <v>65</v>
      </c>
    </row>
    <row r="3512">
      <c r="A3512" t="inlineStr">
        <is>
          <t>G|ORIG_BAL x ASSET_CLASS / SYS_FLAG|cols</t>
        </is>
      </c>
      <c r="B3512" t="inlineStr">
        <is>
          <t>1 · N</t>
        </is>
      </c>
      <c r="C3512" t="inlineStr">
        <is>
          <t>1 · Y</t>
        </is>
      </c>
      <c r="D3512" t="inlineStr">
        <is>
          <t>2 · N</t>
        </is>
      </c>
      <c r="E3512" t="inlineStr">
        <is>
          <t>2 · Y</t>
        </is>
      </c>
      <c r="F3512" t="inlineStr">
        <is>
          <t>3 · N</t>
        </is>
      </c>
      <c r="G3512" t="inlineStr">
        <is>
          <t>3 · Y</t>
        </is>
      </c>
      <c r="H3512" t="inlineStr">
        <is>
          <t>4 · N</t>
        </is>
      </c>
      <c r="I3512" t="inlineStr">
        <is>
          <t>4 · Y</t>
        </is>
      </c>
      <c r="J3512" t="inlineStr">
        <is>
          <t>All</t>
        </is>
      </c>
    </row>
    <row r="3513">
      <c r="A3513" t="inlineStr">
        <is>
          <t>G|ORIG_BAL x ASSET_CLASS / SYS_FLAG|heads</t>
        </is>
      </c>
      <c r="B3513" t="inlineStr">
        <is>
          <t>N</t>
        </is>
      </c>
      <c r="C3513" t="inlineStr">
        <is>
          <t>Y</t>
        </is>
      </c>
      <c r="D3513" t="inlineStr">
        <is>
          <t>N</t>
        </is>
      </c>
      <c r="E3513" t="inlineStr">
        <is>
          <t>Y</t>
        </is>
      </c>
      <c r="F3513" t="inlineStr">
        <is>
          <t>N</t>
        </is>
      </c>
      <c r="G3513" t="inlineStr">
        <is>
          <t>Y</t>
        </is>
      </c>
      <c r="H3513" t="inlineStr">
        <is>
          <t>N</t>
        </is>
      </c>
      <c r="I3513" t="inlineStr">
        <is>
          <t>Y</t>
        </is>
      </c>
      <c r="J3513" t="inlineStr">
        <is>
          <t>All</t>
        </is>
      </c>
    </row>
    <row r="3514">
      <c r="A3514" t="inlineStr">
        <is>
          <t>G|ORIG_BAL x ASSET_CLASS / SYS_FLAG|segs</t>
        </is>
      </c>
      <c r="B3514" t="inlineStr">
        <is>
          <t>1</t>
        </is>
      </c>
      <c r="C3514" t="inlineStr">
        <is>
          <t>2</t>
        </is>
      </c>
      <c r="D3514" t="inlineStr">
        <is>
          <t>3</t>
        </is>
      </c>
      <c r="E3514" t="inlineStr">
        <is>
          <t>4</t>
        </is>
      </c>
    </row>
    <row r="3515">
      <c r="A3515" t="inlineStr">
        <is>
          <t>G|ORIG_BAL x ASSET_CLASS / SYS_FLAG|rows</t>
        </is>
      </c>
      <c r="B3515" t="inlineStr">
        <is>
          <t>5,005 - 15,448</t>
        </is>
      </c>
      <c r="C3515" t="inlineStr">
        <is>
          <t>15,449 - 26,323</t>
        </is>
      </c>
      <c r="D3515" t="inlineStr">
        <is>
          <t>26,324 - 37,950</t>
        </is>
      </c>
      <c r="E3515" t="inlineStr">
        <is>
          <t>37,951 - 49,151</t>
        </is>
      </c>
      <c r="F3515" t="inlineStr">
        <is>
          <t>49,152 - 59,984</t>
        </is>
      </c>
      <c r="G3515" t="inlineStr">
        <is>
          <t>(blank)</t>
        </is>
      </c>
      <c r="H3515" t="inlineStr">
        <is>
          <t>All</t>
        </is>
      </c>
    </row>
    <row r="3516">
      <c r="A3516" t="inlineStr">
        <is>
          <t>G|ORIG_BAL x ASSET_CLASS / SYS_FLAG|names</t>
        </is>
      </c>
      <c r="B3516" t="inlineStr">
        <is>
          <t>ORIG_BAL</t>
        </is>
      </c>
      <c r="C3516" t="inlineStr">
        <is>
          <t>ASSET_CLASS / SYS_FLAG</t>
        </is>
      </c>
    </row>
    <row r="3517">
      <c r="A3517" t="inlineStr">
        <is>
          <t>G|ORIG_BAL x ASSET_CLASS / SYS_FLAG|total</t>
        </is>
      </c>
      <c r="B3517" t="n">
        <v>8000</v>
      </c>
    </row>
    <row r="3518">
      <c r="A3518" t="inlineStr">
        <is>
          <t>G|ORIG_BAL x ASSET_CLASS / SYS_FLAG|loans|1</t>
        </is>
      </c>
      <c r="B3518" t="n">
        <v>237</v>
      </c>
      <c r="C3518" t="n">
        <v>180</v>
      </c>
      <c r="D3518" t="n">
        <v>244</v>
      </c>
      <c r="E3518" t="n">
        <v>160</v>
      </c>
      <c r="F3518" t="n">
        <v>170</v>
      </c>
      <c r="G3518" t="n">
        <v>184</v>
      </c>
      <c r="H3518" t="n">
        <v>229</v>
      </c>
      <c r="I3518" t="n">
        <v>196</v>
      </c>
      <c r="J3518" t="n">
        <v>1600</v>
      </c>
    </row>
    <row r="3519">
      <c r="A3519" t="inlineStr">
        <is>
          <t>G|ORIG_BAL x ASSET_CLASS / SYS_FLAG|loans|2</t>
        </is>
      </c>
      <c r="B3519" t="n">
        <v>224</v>
      </c>
      <c r="C3519" t="n">
        <v>180</v>
      </c>
      <c r="D3519" t="n">
        <v>186</v>
      </c>
      <c r="E3519" t="n">
        <v>170</v>
      </c>
      <c r="F3519" t="n">
        <v>234</v>
      </c>
      <c r="G3519" t="n">
        <v>193</v>
      </c>
      <c r="H3519" t="n">
        <v>223</v>
      </c>
      <c r="I3519" t="n">
        <v>190</v>
      </c>
      <c r="J3519" t="n">
        <v>1600</v>
      </c>
    </row>
    <row r="3520">
      <c r="A3520" t="inlineStr">
        <is>
          <t>G|ORIG_BAL x ASSET_CLASS / SYS_FLAG|loans|3</t>
        </is>
      </c>
      <c r="B3520" t="n">
        <v>215</v>
      </c>
      <c r="C3520" t="n">
        <v>173</v>
      </c>
      <c r="D3520" t="n">
        <v>253</v>
      </c>
      <c r="E3520" t="n">
        <v>179</v>
      </c>
      <c r="F3520" t="n">
        <v>198</v>
      </c>
      <c r="G3520" t="n">
        <v>169</v>
      </c>
      <c r="H3520" t="n">
        <v>218</v>
      </c>
      <c r="I3520" t="n">
        <v>194</v>
      </c>
      <c r="J3520" t="n">
        <v>1599</v>
      </c>
    </row>
    <row r="3521">
      <c r="A3521" t="inlineStr">
        <is>
          <t>G|ORIG_BAL x ASSET_CLASS / SYS_FLAG|loans|4</t>
        </is>
      </c>
      <c r="B3521" t="n">
        <v>207</v>
      </c>
      <c r="C3521" t="n">
        <v>177</v>
      </c>
      <c r="D3521" t="n">
        <v>221</v>
      </c>
      <c r="E3521" t="n">
        <v>199</v>
      </c>
      <c r="F3521" t="n">
        <v>187</v>
      </c>
      <c r="G3521" t="n">
        <v>195</v>
      </c>
      <c r="H3521" t="n">
        <v>225</v>
      </c>
      <c r="I3521" t="n">
        <v>189</v>
      </c>
      <c r="J3521" t="n">
        <v>1600</v>
      </c>
    </row>
    <row r="3522">
      <c r="A3522" t="inlineStr">
        <is>
          <t>G|ORIG_BAL x ASSET_CLASS / SYS_FLAG|loans|5</t>
        </is>
      </c>
      <c r="B3522" t="n">
        <v>218</v>
      </c>
      <c r="C3522" t="n">
        <v>195</v>
      </c>
      <c r="D3522" t="n">
        <v>201</v>
      </c>
      <c r="E3522" t="n">
        <v>197</v>
      </c>
      <c r="F3522" t="n">
        <v>226</v>
      </c>
      <c r="G3522" t="n">
        <v>179</v>
      </c>
      <c r="H3522" t="n">
        <v>213</v>
      </c>
      <c r="I3522" t="n">
        <v>171</v>
      </c>
      <c r="J3522" t="n">
        <v>1600</v>
      </c>
    </row>
    <row r="3523">
      <c r="A3523" t="inlineStr">
        <is>
          <t>G|ORIG_BAL x ASSET_CLASS / SYS_FLAG|loans|6</t>
        </is>
      </c>
      <c r="E3523" t="n">
        <v>1</v>
      </c>
      <c r="J3523" t="n">
        <v>1</v>
      </c>
    </row>
    <row r="3524">
      <c r="A3524" t="inlineStr">
        <is>
          <t>G|ORIG_BAL x ASSET_CLASS / SYS_FLAG|loans|7</t>
        </is>
      </c>
      <c r="B3524" t="n">
        <v>1101</v>
      </c>
      <c r="C3524" t="n">
        <v>905</v>
      </c>
      <c r="D3524" t="n">
        <v>1105</v>
      </c>
      <c r="E3524" t="n">
        <v>906</v>
      </c>
      <c r="F3524" t="n">
        <v>1015</v>
      </c>
      <c r="G3524" t="n">
        <v>920</v>
      </c>
      <c r="H3524" t="n">
        <v>1108</v>
      </c>
      <c r="I3524" t="n">
        <v>940</v>
      </c>
      <c r="J3524" t="n">
        <v>8000</v>
      </c>
    </row>
    <row r="3525">
      <c r="A3525" t="inlineStr">
        <is>
          <t>G|ORIG_BAL x ASSET_CLASS / SYS_FLAG|outcome_loans|rate|1</t>
        </is>
      </c>
      <c r="B3525" t="n">
        <v>0.03375527426160337</v>
      </c>
      <c r="C3525" t="n">
        <v>0.1</v>
      </c>
      <c r="D3525" t="n">
        <v>0.04098360655737705</v>
      </c>
      <c r="E3525" t="n">
        <v>0.10625</v>
      </c>
      <c r="F3525" t="n">
        <v>0.06470588235294118</v>
      </c>
      <c r="G3525" t="n">
        <v>0.09782608695652174</v>
      </c>
      <c r="H3525" t="n">
        <v>0.09606986899563319</v>
      </c>
      <c r="I3525" t="n">
        <v>0.09693877551020408</v>
      </c>
      <c r="J3525" t="n">
        <v>0.076875</v>
      </c>
    </row>
    <row r="3526">
      <c r="A3526" t="inlineStr">
        <is>
          <t>G|ORIG_BAL x ASSET_CLASS / SYS_FLAG|outcome_loans|book|1</t>
        </is>
      </c>
      <c r="C3526" t="n">
        <v>1.292245557350566</v>
      </c>
      <c r="D3526" t="n">
        <v>0.5296088349797399</v>
      </c>
      <c r="E3526" t="n">
        <v>1.373010904684976</v>
      </c>
      <c r="F3526" t="n">
        <v>0.8361588900503659</v>
      </c>
      <c r="G3526" t="n">
        <v>1.264153262625553</v>
      </c>
      <c r="H3526" t="n">
        <v>1.241458614048578</v>
      </c>
      <c r="I3526" t="n">
        <v>1.25268701988065</v>
      </c>
      <c r="J3526" t="n">
        <v>0.9934137722132471</v>
      </c>
    </row>
    <row r="3527">
      <c r="A3527" t="inlineStr">
        <is>
          <t>G|ORIG_BAL x ASSET_CLASS / SYS_FLAG|outcome_loans|band|1</t>
        </is>
      </c>
      <c r="C3527" t="n">
        <v>1.352380952380952</v>
      </c>
      <c r="D3527" t="n">
        <v>0.4918032786885246</v>
      </c>
      <c r="E3527" t="n">
        <v>1.443396226415094</v>
      </c>
      <c r="F3527" t="n">
        <v>0.8261554621848739</v>
      </c>
      <c r="G3527" t="n">
        <v>1.319254658385093</v>
      </c>
      <c r="H3527" t="n">
        <v>1.30407713260409</v>
      </c>
      <c r="I3527" t="n">
        <v>1.308673469387755</v>
      </c>
    </row>
    <row r="3528">
      <c r="A3528" t="inlineStr">
        <is>
          <t>G|ORIG_BAL x ASSET_CLASS / SYS_FLAG|outcome_loans|rate|2</t>
        </is>
      </c>
      <c r="B3528" t="n">
        <v>0.08035714285714286</v>
      </c>
      <c r="C3528" t="n">
        <v>0.1111111111111111</v>
      </c>
      <c r="D3528" t="n">
        <v>0.06451612903225806</v>
      </c>
      <c r="E3528" t="n">
        <v>0.05882352941176471</v>
      </c>
      <c r="F3528" t="n">
        <v>0.08547008547008547</v>
      </c>
      <c r="G3528" t="n">
        <v>0.1139896373056995</v>
      </c>
      <c r="H3528" t="n">
        <v>0.1165919282511211</v>
      </c>
      <c r="I3528" t="n">
        <v>0.1105263157894737</v>
      </c>
      <c r="J3528" t="n">
        <v>0.093125</v>
      </c>
    </row>
    <row r="3529">
      <c r="A3529" t="inlineStr">
        <is>
          <t>G|ORIG_BAL x ASSET_CLASS / SYS_FLAG|outcome_loans|book|2</t>
        </is>
      </c>
      <c r="B3529" t="n">
        <v>1.038411608585276</v>
      </c>
      <c r="C3529" t="n">
        <v>1.435828397056184</v>
      </c>
      <c r="D3529" t="n">
        <v>0.8337068111939131</v>
      </c>
      <c r="E3529" t="n">
        <v>0.7601444455003326</v>
      </c>
      <c r="F3529" t="n">
        <v>1.104483382350911</v>
      </c>
      <c r="G3529" t="n">
        <v>1.473026023922924</v>
      </c>
      <c r="H3529" t="n">
        <v>1.506654013054471</v>
      </c>
      <c r="I3529" t="n">
        <v>1.42827140549273</v>
      </c>
      <c r="J3529" t="n">
        <v>1.203403675282714</v>
      </c>
    </row>
    <row r="3530">
      <c r="A3530" t="inlineStr">
        <is>
          <t>G|ORIG_BAL x ASSET_CLASS / SYS_FLAG|outcome_loans|band|2</t>
        </is>
      </c>
      <c r="B3530" t="n">
        <v>0.8440567066521265</v>
      </c>
      <c r="C3530" t="n">
        <v>1.223083548664944</v>
      </c>
      <c r="D3530" t="n">
        <v>0.6658817989168825</v>
      </c>
      <c r="E3530" t="n">
        <v>0.6051629284807448</v>
      </c>
      <c r="F3530" t="n">
        <v>0.9050553236599748</v>
      </c>
      <c r="G3530" t="n">
        <v>1.262861572355269</v>
      </c>
      <c r="H3530" t="n">
        <v>1.305260855299136</v>
      </c>
      <c r="I3530" t="n">
        <v>1.217516447368421</v>
      </c>
    </row>
    <row r="3531">
      <c r="A3531" t="inlineStr">
        <is>
          <t>G|ORIG_BAL x ASSET_CLASS / SYS_FLAG|outcome_loans|rate|3</t>
        </is>
      </c>
      <c r="B3531" t="n">
        <v>0.05581395348837209</v>
      </c>
      <c r="C3531" t="n">
        <v>0.08092485549132948</v>
      </c>
      <c r="D3531" t="n">
        <v>0.03174603174603174</v>
      </c>
      <c r="E3531" t="n">
        <v>0.08379888268156424</v>
      </c>
      <c r="F3531" t="n">
        <v>0.04545454545454546</v>
      </c>
      <c r="G3531" t="n">
        <v>0.0650887573964497</v>
      </c>
      <c r="H3531" t="n">
        <v>0.07798165137614679</v>
      </c>
      <c r="I3531" t="n">
        <v>0.1237113402061856</v>
      </c>
      <c r="J3531" t="n">
        <v>0.06883604505632041</v>
      </c>
    </row>
    <row r="3532">
      <c r="A3532" t="inlineStr">
        <is>
          <t>G|ORIG_BAL x ASSET_CLASS / SYS_FLAG|outcome_loans|book|3</t>
        </is>
      </c>
      <c r="B3532" t="n">
        <v>0.7212533343351992</v>
      </c>
      <c r="C3532" t="n">
        <v>1.04574784987907</v>
      </c>
      <c r="E3532" t="n">
        <v>1.082887338561926</v>
      </c>
      <c r="G3532" t="n">
        <v>0.8411065757903088</v>
      </c>
      <c r="H3532" t="n">
        <v>1.007714425456863</v>
      </c>
      <c r="I3532" t="n">
        <v>1.598654297753277</v>
      </c>
      <c r="J3532" t="n">
        <v>0.8895307340961339</v>
      </c>
    </row>
    <row r="3533">
      <c r="A3533" t="inlineStr">
        <is>
          <t>G|ORIG_BAL x ASSET_CLASS / SYS_FLAG|outcome_loans|band|3</t>
        </is>
      </c>
      <c r="B3533" t="n">
        <v>0.7876601803512103</v>
      </c>
      <c r="C3533" t="n">
        <v>1.201228323699422</v>
      </c>
      <c r="E3533" t="n">
        <v>1.251690679211996</v>
      </c>
      <c r="G3533" t="n">
        <v>0.9395134779750164</v>
      </c>
      <c r="H3533" t="n">
        <v>1.157147084936372</v>
      </c>
      <c r="I3533" t="n">
        <v>2.019659554063774</v>
      </c>
    </row>
    <row r="3534">
      <c r="A3534" t="inlineStr">
        <is>
          <t>G|ORIG_BAL x ASSET_CLASS / SYS_FLAG|outcome_loans|rate|4</t>
        </is>
      </c>
      <c r="B3534" t="n">
        <v>0.02898550724637681</v>
      </c>
      <c r="C3534" t="n">
        <v>0.07909604519774012</v>
      </c>
      <c r="D3534" t="n">
        <v>0.04072398190045249</v>
      </c>
      <c r="E3534" t="n">
        <v>0.08542713567839195</v>
      </c>
      <c r="F3534" t="n">
        <v>0.06417112299465241</v>
      </c>
      <c r="G3534" t="n">
        <v>0.1282051282051282</v>
      </c>
      <c r="H3534" t="n">
        <v>0.07111111111111111</v>
      </c>
      <c r="I3534" t="n">
        <v>0.1851851851851852</v>
      </c>
      <c r="J3534" t="n">
        <v>0.08375</v>
      </c>
    </row>
    <row r="3535">
      <c r="A3535" t="inlineStr">
        <is>
          <t>G|ORIG_BAL x ASSET_CLASS / SYS_FLAG|outcome_loans|book|4</t>
        </is>
      </c>
      <c r="C3535" t="n">
        <v>1.022115130107792</v>
      </c>
      <c r="E3535" t="n">
        <v>1.10392836557586</v>
      </c>
      <c r="F3535" t="n">
        <v>0.8292484860003629</v>
      </c>
      <c r="G3535" t="n">
        <v>1.656725073526366</v>
      </c>
      <c r="H3535" t="n">
        <v>0.9189301741159576</v>
      </c>
      <c r="I3535" t="n">
        <v>2.393047328426973</v>
      </c>
      <c r="J3535" t="n">
        <v>1.082255654281099</v>
      </c>
    </row>
    <row r="3536">
      <c r="A3536" t="inlineStr">
        <is>
          <t>G|ORIG_BAL x ASSET_CLASS / SYS_FLAG|outcome_loans|band|4</t>
        </is>
      </c>
      <c r="C3536" t="n">
        <v>0.9379472693032015</v>
      </c>
      <c r="E3536" t="n">
        <v>1.022935188764334</v>
      </c>
      <c r="F3536" t="n">
        <v>0.7432278425528185</v>
      </c>
      <c r="G3536" t="n">
        <v>1.652552340625735</v>
      </c>
      <c r="H3536" t="n">
        <v>0.8286252354048964</v>
      </c>
      <c r="I3536" t="n">
        <v>2.639356528245417</v>
      </c>
    </row>
    <row r="3537">
      <c r="A3537" t="inlineStr">
        <is>
          <t>G|ORIG_BAL x ASSET_CLASS / SYS_FLAG|outcome_loans|rate|5</t>
        </is>
      </c>
      <c r="B3537" t="n">
        <v>0.02293577981651376</v>
      </c>
      <c r="C3537" t="n">
        <v>0.1076923076923077</v>
      </c>
      <c r="D3537" t="n">
        <v>0.03980099502487562</v>
      </c>
      <c r="E3537" t="n">
        <v>0.08121827411167512</v>
      </c>
      <c r="F3537" t="n">
        <v>0.03539823008849557</v>
      </c>
      <c r="G3537" t="n">
        <v>0.0670391061452514</v>
      </c>
      <c r="H3537" t="n">
        <v>0.05633802816901409</v>
      </c>
      <c r="I3537" t="n">
        <v>0.1228070175438596</v>
      </c>
      <c r="J3537" t="n">
        <v>0.064375</v>
      </c>
    </row>
    <row r="3538">
      <c r="A3538" t="inlineStr">
        <is>
          <t>G|ORIG_BAL x ASSET_CLASS / SYS_FLAG|outcome_loans|book|5</t>
        </is>
      </c>
      <c r="C3538" t="n">
        <v>1.391649061762148</v>
      </c>
      <c r="E3538" t="n">
        <v>1.049539538964926</v>
      </c>
      <c r="G3538" t="n">
        <v>0.866309870849541</v>
      </c>
      <c r="H3538" t="n">
        <v>0.7280256661129946</v>
      </c>
      <c r="I3538" t="n">
        <v>1.586968228325256</v>
      </c>
      <c r="J3538" t="n">
        <v>0.8318830775444265</v>
      </c>
    </row>
    <row r="3539">
      <c r="A3539" t="inlineStr">
        <is>
          <t>G|ORIG_BAL x ASSET_CLASS / SYS_FLAG|outcome_loans|band|5</t>
        </is>
      </c>
      <c r="C3539" t="n">
        <v>1.845215759849906</v>
      </c>
      <c r="E3539" t="n">
        <v>1.309761362973336</v>
      </c>
      <c r="G3539" t="n">
        <v>1.046841426729695</v>
      </c>
      <c r="H3539" t="n">
        <v>0.8586906051694785</v>
      </c>
      <c r="I3539" t="n">
        <v>2.140136927685066</v>
      </c>
    </row>
    <row r="3540">
      <c r="A3540" t="inlineStr">
        <is>
          <t>G|ORIG_BAL x ASSET_CLASS / SYS_FLAG|outcome_loans|rate|6</t>
        </is>
      </c>
      <c r="E3540" t="n">
        <v>0</v>
      </c>
      <c r="J3540" t="n">
        <v>0</v>
      </c>
    </row>
    <row r="3541">
      <c r="A3541" t="inlineStr">
        <is>
          <t>G|ORIG_BAL x ASSET_CLASS / SYS_FLAG|outcome_loans|book|6</t>
        </is>
      </c>
    </row>
    <row r="3542">
      <c r="A3542" t="inlineStr">
        <is>
          <t>G|ORIG_BAL x ASSET_CLASS / SYS_FLAG|outcome_loans|band|6</t>
        </is>
      </c>
    </row>
    <row r="3543">
      <c r="A3543" t="inlineStr">
        <is>
          <t>G|ORIG_BAL x ASSET_CLASS / SYS_FLAG|outcome_loans|rate|7</t>
        </is>
      </c>
      <c r="B3543" t="n">
        <v>0.04450499545867393</v>
      </c>
      <c r="C3543" t="n">
        <v>0.09613259668508287</v>
      </c>
      <c r="D3543" t="n">
        <v>0.04257246376811594</v>
      </c>
      <c r="E3543" t="n">
        <v>0.08278145695364239</v>
      </c>
      <c r="F3543" t="n">
        <v>0.05911330049261083</v>
      </c>
      <c r="G3543" t="n">
        <v>0.09565217391304348</v>
      </c>
      <c r="H3543" t="n">
        <v>0.08393501805054152</v>
      </c>
      <c r="I3543" t="n">
        <v>0.1276595744680851</v>
      </c>
      <c r="J3543" t="n">
        <v>0.07738467308413552</v>
      </c>
    </row>
    <row r="3544">
      <c r="A3544" t="inlineStr">
        <is>
          <t>G|ORIG_BAL x ASSET_CLASS / SYS_FLAG|outcome_loans|book|7</t>
        </is>
      </c>
      <c r="B3544" t="n">
        <v>0.5751138266137847</v>
      </c>
      <c r="C3544" t="n">
        <v>1.24226920982872</v>
      </c>
      <c r="D3544" t="n">
        <v>0.5501407716981573</v>
      </c>
      <c r="E3544" t="n">
        <v>1.069739699793514</v>
      </c>
      <c r="F3544" t="n">
        <v>0.7638889994190534</v>
      </c>
      <c r="G3544" t="n">
        <v>1.236060967900541</v>
      </c>
      <c r="H3544" t="n">
        <v>1.084646541819518</v>
      </c>
      <c r="I3544" t="n">
        <v>1.649675179596466</v>
      </c>
      <c r="J3544" t="n">
        <v>1</v>
      </c>
    </row>
    <row r="3545">
      <c r="A3545" t="inlineStr">
        <is>
          <t>G|ORIG_BAL x ASSET_CLASS / SYS_FLAG|outcome_loans|band|7</t>
        </is>
      </c>
    </row>
    <row r="3546">
      <c r="A3546" t="inlineStr">
        <is>
          <t>G|ORIG_BAL x ASSET_CLASS / SYS_FLAG|outcome_loans|meta</t>
        </is>
      </c>
      <c r="B3546" t="inlineStr">
        <is>
          <t>x</t>
        </is>
      </c>
      <c r="C3546" t="n">
        <v>2.639356528245417</v>
      </c>
      <c r="D3546" t="n">
        <v>10</v>
      </c>
      <c r="E3546" t="n">
        <v>0.07738467308413552</v>
      </c>
      <c r="F3546" t="n">
        <v>65</v>
      </c>
    </row>
    <row r="3547">
      <c r="A3547" t="inlineStr">
        <is>
          <t>G|ORIG_BAL x ASSET_CLASS / SYS_FLAG|outcome_booked|rate|1</t>
        </is>
      </c>
      <c r="B3547" t="n">
        <v>0.03679993042002801</v>
      </c>
      <c r="C3547" t="n">
        <v>0.09440597172888215</v>
      </c>
      <c r="D3547" t="n">
        <v>0.03821151291320404</v>
      </c>
      <c r="E3547" t="n">
        <v>0.1007960374766282</v>
      </c>
      <c r="F3547" t="n">
        <v>0.05841988256156872</v>
      </c>
      <c r="G3547" t="n">
        <v>0.09493353387894501</v>
      </c>
      <c r="H3547" t="n">
        <v>0.09667721031344426</v>
      </c>
      <c r="I3547" t="n">
        <v>0.1039781288139145</v>
      </c>
      <c r="J3547" t="n">
        <v>0.07557453391360712</v>
      </c>
    </row>
    <row r="3548">
      <c r="A3548" t="inlineStr">
        <is>
          <t>G|ORIG_BAL x ASSET_CLASS / SYS_FLAG|outcome_booked|book|1</t>
        </is>
      </c>
      <c r="C3548" t="n">
        <v>1.261625005544319</v>
      </c>
      <c r="D3548" t="n">
        <v>0.5106520202919443</v>
      </c>
      <c r="E3548" t="n">
        <v>1.347020734085528</v>
      </c>
      <c r="F3548" t="n">
        <v>0.7807131615815879</v>
      </c>
      <c r="G3548" t="n">
        <v>1.268675254467231</v>
      </c>
      <c r="H3548" t="n">
        <v>1.291977443418373</v>
      </c>
      <c r="I3548" t="n">
        <v>1.389545649909451</v>
      </c>
      <c r="J3548" t="n">
        <v>1.009964942065142</v>
      </c>
    </row>
    <row r="3549">
      <c r="A3549" t="inlineStr">
        <is>
          <t>G|ORIG_BAL x ASSET_CLASS / SYS_FLAG|outcome_booked|band|1</t>
        </is>
      </c>
      <c r="C3549" t="n">
        <v>1.290003065634888</v>
      </c>
      <c r="D3549" t="n">
        <v>0.4640008633150221</v>
      </c>
      <c r="E3549" t="n">
        <v>1.386926471188738</v>
      </c>
      <c r="F3549" t="n">
        <v>0.7527556842333503</v>
      </c>
      <c r="G3549" t="n">
        <v>1.298283363417781</v>
      </c>
      <c r="H3549" t="n">
        <v>1.341007877461044</v>
      </c>
      <c r="I3549" t="n">
        <v>1.451272647348663</v>
      </c>
    </row>
    <row r="3550">
      <c r="A3550" t="inlineStr">
        <is>
          <t>G|ORIG_BAL x ASSET_CLASS / SYS_FLAG|outcome_booked|rate|2</t>
        </is>
      </c>
      <c r="B3550" t="n">
        <v>0.08089546690967853</v>
      </c>
      <c r="C3550" t="n">
        <v>0.1123341306486227</v>
      </c>
      <c r="D3550" t="n">
        <v>0.06463109008702723</v>
      </c>
      <c r="E3550" t="n">
        <v>0.06144707504435287</v>
      </c>
      <c r="F3550" t="n">
        <v>0.08871680626441367</v>
      </c>
      <c r="G3550" t="n">
        <v>0.1152512856454225</v>
      </c>
      <c r="H3550" t="n">
        <v>0.113990347437634</v>
      </c>
      <c r="I3550" t="n">
        <v>0.1097510846687575</v>
      </c>
      <c r="J3550" t="n">
        <v>0.09377887022910673</v>
      </c>
    </row>
    <row r="3551">
      <c r="A3551" t="inlineStr">
        <is>
          <t>G|ORIG_BAL x ASSET_CLASS / SYS_FLAG|outcome_booked|book|2</t>
        </is>
      </c>
      <c r="B3551" t="n">
        <v>1.081072966247639</v>
      </c>
      <c r="C3551" t="n">
        <v>1.501213806785345</v>
      </c>
      <c r="D3551" t="n">
        <v>0.8637186599122209</v>
      </c>
      <c r="E3551" t="n">
        <v>0.8211680360236868</v>
      </c>
      <c r="F3551" t="n">
        <v>1.185595986625204</v>
      </c>
      <c r="G3551" t="n">
        <v>1.540198159380969</v>
      </c>
      <c r="H3551" t="n">
        <v>1.523347200228079</v>
      </c>
      <c r="I3551" t="n">
        <v>1.466694429049078</v>
      </c>
      <c r="J3551" t="n">
        <v>1.253244530044282</v>
      </c>
    </row>
    <row r="3552">
      <c r="A3552" t="inlineStr">
        <is>
          <t>G|ORIG_BAL x ASSET_CLASS / SYS_FLAG|outcome_booked|band|2</t>
        </is>
      </c>
      <c r="B3552" t="n">
        <v>0.843977596492075</v>
      </c>
      <c r="C3552" t="n">
        <v>1.228778172854441</v>
      </c>
      <c r="D3552" t="n">
        <v>0.6620248829748224</v>
      </c>
      <c r="E3552" t="n">
        <v>0.6289565998508736</v>
      </c>
      <c r="F3552" t="n">
        <v>0.9374737691517826</v>
      </c>
      <c r="G3552" t="n">
        <v>1.268300748504351</v>
      </c>
      <c r="H3552" t="n">
        <v>1.260192824943628</v>
      </c>
      <c r="I3552" t="n">
        <v>1.197863962453256</v>
      </c>
    </row>
    <row r="3553">
      <c r="A3553" t="inlineStr">
        <is>
          <t>G|ORIG_BAL x ASSET_CLASS / SYS_FLAG|outcome_booked|rate|3</t>
        </is>
      </c>
      <c r="B3553" t="n">
        <v>0.05664606303416495</v>
      </c>
      <c r="C3553" t="n">
        <v>0.07770229660654655</v>
      </c>
      <c r="D3553" t="n">
        <v>0.0308754698179161</v>
      </c>
      <c r="E3553" t="n">
        <v>0.08353937164816114</v>
      </c>
      <c r="F3553" t="n">
        <v>0.04518810927868743</v>
      </c>
      <c r="G3553" t="n">
        <v>0.06513303939771156</v>
      </c>
      <c r="H3553" t="n">
        <v>0.08018408290994168</v>
      </c>
      <c r="I3553" t="n">
        <v>0.1188679459949054</v>
      </c>
      <c r="J3553" t="n">
        <v>0.06822026696935882</v>
      </c>
    </row>
    <row r="3554">
      <c r="A3554" t="inlineStr">
        <is>
          <t>G|ORIG_BAL x ASSET_CLASS / SYS_FLAG|outcome_booked|book|3</t>
        </is>
      </c>
      <c r="B3554" t="n">
        <v>0.7570081455734665</v>
      </c>
      <c r="C3554" t="n">
        <v>1.038399993048844</v>
      </c>
      <c r="E3554" t="n">
        <v>1.116405649861406</v>
      </c>
      <c r="G3554" t="n">
        <v>0.8704266232992588</v>
      </c>
      <c r="H3554" t="n">
        <v>1.071566154060063</v>
      </c>
      <c r="I3554" t="n">
        <v>1.588530579988555</v>
      </c>
      <c r="J3554" t="n">
        <v>0.911683796239352</v>
      </c>
    </row>
    <row r="3555">
      <c r="A3555" t="inlineStr">
        <is>
          <t>G|ORIG_BAL x ASSET_CLASS / SYS_FLAG|outcome_booked|band|3</t>
        </is>
      </c>
      <c r="B3555" t="n">
        <v>0.8091843803267393</v>
      </c>
      <c r="C3555" t="n">
        <v>1.158673135565362</v>
      </c>
      <c r="E3555" t="n">
        <v>1.260968194832982</v>
      </c>
      <c r="G3555" t="n">
        <v>0.9496493720400172</v>
      </c>
      <c r="H3555" t="n">
        <v>1.208540667839056</v>
      </c>
      <c r="I3555" t="n">
        <v>1.94301198795135</v>
      </c>
    </row>
    <row r="3556">
      <c r="A3556" t="inlineStr">
        <is>
          <t>G|ORIG_BAL x ASSET_CLASS / SYS_FLAG|outcome_booked|rate|4</t>
        </is>
      </c>
      <c r="B3556" t="n">
        <v>0.02991064148617389</v>
      </c>
      <c r="C3556" t="n">
        <v>0.07664499018288271</v>
      </c>
      <c r="D3556" t="n">
        <v>0.04097025853088018</v>
      </c>
      <c r="E3556" t="n">
        <v>0.08509700596620973</v>
      </c>
      <c r="F3556" t="n">
        <v>0.06425475681784935</v>
      </c>
      <c r="G3556" t="n">
        <v>0.1256107381334583</v>
      </c>
      <c r="H3556" t="n">
        <v>0.07141326548255705</v>
      </c>
      <c r="I3556" t="n">
        <v>0.1828690446008137</v>
      </c>
      <c r="J3556" t="n">
        <v>0.08308928618120667</v>
      </c>
    </row>
    <row r="3557">
      <c r="A3557" t="inlineStr">
        <is>
          <t>G|ORIG_BAL x ASSET_CLASS / SYS_FLAG|outcome_booked|book|4</t>
        </is>
      </c>
      <c r="C3557" t="n">
        <v>1.024270333683145</v>
      </c>
      <c r="E3557" t="n">
        <v>1.137221604288396</v>
      </c>
      <c r="F3557" t="n">
        <v>0.8586894074812775</v>
      </c>
      <c r="G3557" t="n">
        <v>1.678640082739253</v>
      </c>
      <c r="H3557" t="n">
        <v>0.9543544736673172</v>
      </c>
      <c r="I3557" t="n">
        <v>2.443830143192126</v>
      </c>
      <c r="J3557" t="n">
        <v>1.110390785871948</v>
      </c>
    </row>
    <row r="3558">
      <c r="A3558" t="inlineStr">
        <is>
          <t>G|ORIG_BAL x ASSET_CLASS / SYS_FLAG|outcome_booked|band|4</t>
        </is>
      </c>
      <c r="C3558" t="n">
        <v>0.9135981541329554</v>
      </c>
      <c r="E3558" t="n">
        <v>1.027685056142859</v>
      </c>
      <c r="F3558" t="n">
        <v>0.7507023071855486</v>
      </c>
      <c r="G3558" t="n">
        <v>1.626536942316129</v>
      </c>
      <c r="H3558" t="n">
        <v>0.8401705366588266</v>
      </c>
      <c r="I3558" t="n">
        <v>2.625323221864709</v>
      </c>
    </row>
    <row r="3559">
      <c r="A3559" t="inlineStr">
        <is>
          <t>G|ORIG_BAL x ASSET_CLASS / SYS_FLAG|outcome_booked|rate|5</t>
        </is>
      </c>
      <c r="B3559" t="n">
        <v>0.02296048817854681</v>
      </c>
      <c r="C3559" t="n">
        <v>0.1084151046817408</v>
      </c>
      <c r="D3559" t="n">
        <v>0.04127241320364201</v>
      </c>
      <c r="E3559" t="n">
        <v>0.081029372326368</v>
      </c>
      <c r="F3559" t="n">
        <v>0.03484243298522226</v>
      </c>
      <c r="G3559" t="n">
        <v>0.0668161388723891</v>
      </c>
      <c r="H3559" t="n">
        <v>0.05749854459934164</v>
      </c>
      <c r="I3559" t="n">
        <v>0.1236107423729956</v>
      </c>
      <c r="J3559" t="n">
        <v>0.06473600628619963</v>
      </c>
    </row>
    <row r="3560">
      <c r="A3560" t="inlineStr">
        <is>
          <t>G|ORIG_BAL x ASSET_CLASS / SYS_FLAG|outcome_booked|book|5</t>
        </is>
      </c>
      <c r="C3560" t="n">
        <v>1.448840624595187</v>
      </c>
      <c r="E3560" t="n">
        <v>1.082862454973612</v>
      </c>
      <c r="G3560" t="n">
        <v>0.8929192722830525</v>
      </c>
      <c r="H3560" t="n">
        <v>0.7684005611134618</v>
      </c>
      <c r="I3560" t="n">
        <v>1.65191248684491</v>
      </c>
      <c r="J3560" t="n">
        <v>0.8651207417714352</v>
      </c>
    </row>
    <row r="3561">
      <c r="A3561" t="inlineStr">
        <is>
          <t>G|ORIG_BAL x ASSET_CLASS / SYS_FLAG|outcome_booked|band|5</t>
        </is>
      </c>
      <c r="C3561" t="n">
        <v>1.847118039270723</v>
      </c>
      <c r="E3561" t="n">
        <v>1.29747581434054</v>
      </c>
      <c r="G3561" t="n">
        <v>1.036301173694173</v>
      </c>
      <c r="H3561" t="n">
        <v>0.8731320811803013</v>
      </c>
      <c r="I3561" t="n">
        <v>2.143010554692026</v>
      </c>
    </row>
    <row r="3562">
      <c r="A3562" t="inlineStr">
        <is>
          <t>G|ORIG_BAL x ASSET_CLASS / SYS_FLAG|outcome_booked|rate|6</t>
        </is>
      </c>
    </row>
    <row r="3563">
      <c r="A3563" t="inlineStr">
        <is>
          <t>G|ORIG_BAL x ASSET_CLASS / SYS_FLAG|outcome_booked|book|6</t>
        </is>
      </c>
    </row>
    <row r="3564">
      <c r="A3564" t="inlineStr">
        <is>
          <t>G|ORIG_BAL x ASSET_CLASS / SYS_FLAG|outcome_booked|band|6</t>
        </is>
      </c>
    </row>
    <row r="3565">
      <c r="A3565" t="inlineStr">
        <is>
          <t>G|ORIG_BAL x ASSET_CLASS / SYS_FLAG|outcome_booked|rate|7</t>
        </is>
      </c>
      <c r="B3565" t="n">
        <v>0.04006131886401176</v>
      </c>
      <c r="C3565" t="n">
        <v>0.09391781030789159</v>
      </c>
      <c r="D3565" t="n">
        <v>0.0411699749517607</v>
      </c>
      <c r="E3565" t="n">
        <v>0.08143078150540616</v>
      </c>
      <c r="F3565" t="n">
        <v>0.05299436180913607</v>
      </c>
      <c r="G3565" t="n">
        <v>0.09169079542439568</v>
      </c>
      <c r="H3565" t="n">
        <v>0.07585305848656564</v>
      </c>
      <c r="I3565" t="n">
        <v>0.1358979596343108</v>
      </c>
      <c r="J3565" t="n">
        <v>0.07482886857347222</v>
      </c>
    </row>
    <row r="3566">
      <c r="A3566" t="inlineStr">
        <is>
          <t>G|ORIG_BAL x ASSET_CLASS / SYS_FLAG|outcome_booked|book|7</t>
        </is>
      </c>
      <c r="B3566" t="n">
        <v>0.5353725056617246</v>
      </c>
      <c r="C3566" t="n">
        <v>1.255101301119853</v>
      </c>
      <c r="D3566" t="n">
        <v>0.5501883930175567</v>
      </c>
      <c r="E3566" t="n">
        <v>1.088226817507625</v>
      </c>
      <c r="F3566" t="n">
        <v>0.7082074447925457</v>
      </c>
      <c r="G3566" t="n">
        <v>1.225339861104102</v>
      </c>
      <c r="H3566" t="n">
        <v>1.013687096071587</v>
      </c>
      <c r="I3566" t="n">
        <v>1.81611672373312</v>
      </c>
      <c r="J3566" t="n">
        <v>0.9999999999999983</v>
      </c>
    </row>
    <row r="3567">
      <c r="A3567" t="inlineStr">
        <is>
          <t>G|ORIG_BAL x ASSET_CLASS / SYS_FLAG|outcome_booked|band|7</t>
        </is>
      </c>
    </row>
    <row r="3568">
      <c r="A3568" t="inlineStr">
        <is>
          <t>G|ORIG_BAL x ASSET_CLASS / SYS_FLAG|outcome_booked|meta</t>
        </is>
      </c>
      <c r="B3568" t="inlineStr">
        <is>
          <t>x</t>
        </is>
      </c>
      <c r="C3568" t="n">
        <v>2.625323221864709</v>
      </c>
      <c r="D3568" t="n">
        <v>10</v>
      </c>
      <c r="E3568" t="n">
        <v>0.07482886857347235</v>
      </c>
      <c r="F3568" t="n">
        <v>65</v>
      </c>
    </row>
    <row r="3569">
      <c r="A3569" t="inlineStr">
        <is>
          <t>G|ORIG_BAL x ASSET_CLASS / SYS_FLAG|gco_rate|rate|1</t>
        </is>
      </c>
      <c r="B3569" t="n">
        <v>0.02158221099364878</v>
      </c>
      <c r="C3569" t="n">
        <v>0.04771941684954147</v>
      </c>
      <c r="D3569" t="n">
        <v>0.02050027446357541</v>
      </c>
      <c r="E3569" t="n">
        <v>0.05730385058954697</v>
      </c>
      <c r="F3569" t="n">
        <v>0.03353180345793035</v>
      </c>
      <c r="G3569" t="n">
        <v>0.05755051362133345</v>
      </c>
      <c r="H3569" t="n">
        <v>0.04764406554314145</v>
      </c>
      <c r="I3569" t="n">
        <v>0.05740474500406834</v>
      </c>
      <c r="J3569" t="n">
        <v>0.04139745179629655</v>
      </c>
    </row>
    <row r="3570">
      <c r="A3570" t="inlineStr">
        <is>
          <t>G|ORIG_BAL x ASSET_CLASS / SYS_FLAG|gco_rate|book|1</t>
        </is>
      </c>
      <c r="C3570" t="n">
        <v>1.146956195741575</v>
      </c>
      <c r="D3570" t="n">
        <v>0.4927326937907987</v>
      </c>
      <c r="E3570" t="n">
        <v>1.377322080040505</v>
      </c>
      <c r="F3570" t="n">
        <v>0.8059509581125891</v>
      </c>
      <c r="G3570" t="n">
        <v>1.383250729450868</v>
      </c>
      <c r="H3570" t="n">
        <v>1.145145095492692</v>
      </c>
      <c r="I3570" t="n">
        <v>1.379747119604921</v>
      </c>
      <c r="J3570" t="n">
        <v>0.995005114487935</v>
      </c>
    </row>
    <row r="3571">
      <c r="A3571" t="inlineStr">
        <is>
          <t>G|ORIG_BAL x ASSET_CLASS / SYS_FLAG|gco_rate|band|1</t>
        </is>
      </c>
      <c r="C3571" t="n">
        <v>1.175514397952917</v>
      </c>
      <c r="D3571" t="n">
        <v>0.4536639986877141</v>
      </c>
      <c r="E3571" t="n">
        <v>1.448188407025003</v>
      </c>
      <c r="F3571" t="n">
        <v>0.7921552820400009</v>
      </c>
      <c r="G3571" t="n">
        <v>1.462478285089994</v>
      </c>
      <c r="H3571" t="n">
        <v>1.180276566046068</v>
      </c>
      <c r="I3571" t="n">
        <v>1.465021126354612</v>
      </c>
    </row>
    <row r="3572">
      <c r="A3572" t="inlineStr">
        <is>
          <t>G|ORIG_BAL x ASSET_CLASS / SYS_FLAG|gco_rate|rate|2</t>
        </is>
      </c>
      <c r="B3572" t="n">
        <v>0.04512999745407575</v>
      </c>
      <c r="C3572" t="n">
        <v>0.06665746171826953</v>
      </c>
      <c r="D3572" t="n">
        <v>0.03837919816974449</v>
      </c>
      <c r="E3572" t="n">
        <v>0.02990592595829179</v>
      </c>
      <c r="F3572" t="n">
        <v>0.05128330326744554</v>
      </c>
      <c r="G3572" t="n">
        <v>0.06662045221440491</v>
      </c>
      <c r="H3572" t="n">
        <v>0.06450238386420175</v>
      </c>
      <c r="I3572" t="n">
        <v>0.0606431774434793</v>
      </c>
      <c r="J3572" t="n">
        <v>0.05316017920478746</v>
      </c>
    </row>
    <row r="3573">
      <c r="A3573" t="inlineStr">
        <is>
          <t>G|ORIG_BAL x ASSET_CLASS / SYS_FLAG|gco_rate|book|2</t>
        </is>
      </c>
      <c r="B3573" t="n">
        <v>1.084718414664597</v>
      </c>
      <c r="C3573" t="n">
        <v>1.602140046078763</v>
      </c>
      <c r="D3573" t="n">
        <v>0.9224601228295422</v>
      </c>
      <c r="E3573" t="n">
        <v>0.7188014718495275</v>
      </c>
      <c r="F3573" t="n">
        <v>1.232615700358375</v>
      </c>
      <c r="G3573" t="n">
        <v>1.601250507132956</v>
      </c>
      <c r="H3573" t="n">
        <v>1.550341846096102</v>
      </c>
      <c r="I3573" t="n">
        <v>1.457584201365249</v>
      </c>
      <c r="J3573" t="n">
        <v>1.27772720060491</v>
      </c>
    </row>
    <row r="3574">
      <c r="A3574" t="inlineStr">
        <is>
          <t>G|ORIG_BAL x ASSET_CLASS / SYS_FLAG|gco_rate|band|2</t>
        </is>
      </c>
      <c r="B3574" t="n">
        <v>0.8288144805817711</v>
      </c>
      <c r="C3574" t="n">
        <v>1.295732179988387</v>
      </c>
      <c r="D3574" t="n">
        <v>0.6963947579584326</v>
      </c>
      <c r="E3574" t="n">
        <v>0.5342429874368722</v>
      </c>
      <c r="F3574" t="n">
        <v>0.9589750302282279</v>
      </c>
      <c r="G3574" t="n">
        <v>1.297705582716536</v>
      </c>
      <c r="H3574" t="n">
        <v>1.257485691991882</v>
      </c>
      <c r="I3574" t="n">
        <v>1.162864180887587</v>
      </c>
    </row>
    <row r="3575">
      <c r="A3575" t="inlineStr">
        <is>
          <t>G|ORIG_BAL x ASSET_CLASS / SYS_FLAG|gco_rate|rate|3</t>
        </is>
      </c>
      <c r="B3575" t="n">
        <v>0.03343753926611142</v>
      </c>
      <c r="C3575" t="n">
        <v>0.03937935610125742</v>
      </c>
      <c r="D3575" t="n">
        <v>0.0175316537276591</v>
      </c>
      <c r="E3575" t="n">
        <v>0.04285562067459982</v>
      </c>
      <c r="F3575" t="n">
        <v>0.02824016270041421</v>
      </c>
      <c r="G3575" t="n">
        <v>0.03522812136505121</v>
      </c>
      <c r="H3575" t="n">
        <v>0.04374582534514742</v>
      </c>
      <c r="I3575" t="n">
        <v>0.06509947332517688</v>
      </c>
      <c r="J3575" t="n">
        <v>0.03745072983796682</v>
      </c>
    </row>
    <row r="3576">
      <c r="A3576" t="inlineStr">
        <is>
          <t>G|ORIG_BAL x ASSET_CLASS / SYS_FLAG|gco_rate|book|3</t>
        </is>
      </c>
      <c r="B3576" t="n">
        <v>0.8036852787312968</v>
      </c>
      <c r="C3576" t="n">
        <v>0.9464993381427915</v>
      </c>
      <c r="E3576" t="n">
        <v>1.030052814980184</v>
      </c>
      <c r="G3576" t="n">
        <v>0.8467226703833843</v>
      </c>
      <c r="H3576" t="n">
        <v>1.05144925755579</v>
      </c>
      <c r="I3576" t="n">
        <v>1.56469314168793</v>
      </c>
      <c r="J3576" t="n">
        <v>0.9001439971099029</v>
      </c>
    </row>
    <row r="3577">
      <c r="A3577" t="inlineStr">
        <is>
          <t>G|ORIG_BAL x ASSET_CLASS / SYS_FLAG|gco_rate|band|3</t>
        </is>
      </c>
      <c r="B3577" t="n">
        <v>0.8783480798109932</v>
      </c>
      <c r="C3577" t="n">
        <v>1.058151951778807</v>
      </c>
      <c r="E3577" t="n">
        <v>1.165942362928114</v>
      </c>
      <c r="G3577" t="n">
        <v>0.9340831797332976</v>
      </c>
      <c r="H3577" t="n">
        <v>1.199622395593157</v>
      </c>
      <c r="I3577" t="n">
        <v>1.936964095310002</v>
      </c>
    </row>
    <row r="3578">
      <c r="A3578" t="inlineStr">
        <is>
          <t>G|ORIG_BAL x ASSET_CLASS / SYS_FLAG|gco_rate|rate|4</t>
        </is>
      </c>
      <c r="B3578" t="n">
        <v>0.0197137893080877</v>
      </c>
      <c r="C3578" t="n">
        <v>0.04153139077202288</v>
      </c>
      <c r="D3578" t="n">
        <v>0.0266070327924772</v>
      </c>
      <c r="E3578" t="n">
        <v>0.04389992757422654</v>
      </c>
      <c r="F3578" t="n">
        <v>0.03638140862888396</v>
      </c>
      <c r="G3578" t="n">
        <v>0.06978149794772584</v>
      </c>
      <c r="H3578" t="n">
        <v>0.03905991768789436</v>
      </c>
      <c r="I3578" t="n">
        <v>0.1032871988884892</v>
      </c>
      <c r="J3578" t="n">
        <v>0.04676588351390011</v>
      </c>
    </row>
    <row r="3579">
      <c r="A3579" t="inlineStr">
        <is>
          <t>G|ORIG_BAL x ASSET_CLASS / SYS_FLAG|gco_rate|book|4</t>
        </is>
      </c>
      <c r="C3579" t="n">
        <v>0.9982243939385823</v>
      </c>
      <c r="E3579" t="n">
        <v>1.055153169256496</v>
      </c>
      <c r="F3579" t="n">
        <v>0.8744424134157333</v>
      </c>
      <c r="G3579" t="n">
        <v>1.67722756695928</v>
      </c>
      <c r="H3579" t="n">
        <v>0.9388215019169254</v>
      </c>
      <c r="I3579" t="n">
        <v>2.482551140125328</v>
      </c>
      <c r="J3579" t="n">
        <v>1.124037622142734</v>
      </c>
    </row>
    <row r="3580">
      <c r="A3580" t="inlineStr">
        <is>
          <t>G|ORIG_BAL x ASSET_CLASS / SYS_FLAG|gco_rate|band|4</t>
        </is>
      </c>
      <c r="C3580" t="n">
        <v>0.8758279359104355</v>
      </c>
      <c r="E3580" t="n">
        <v>0.9306236526995691</v>
      </c>
      <c r="F3580" t="n">
        <v>0.7556298967509577</v>
      </c>
      <c r="G3580" t="n">
        <v>1.600855343875921</v>
      </c>
      <c r="H3580" t="n">
        <v>0.8132943713461922</v>
      </c>
      <c r="I3580" t="n">
        <v>2.638146011255898</v>
      </c>
    </row>
    <row r="3581">
      <c r="A3581" t="inlineStr">
        <is>
          <t>G|ORIG_BAL x ASSET_CLASS / SYS_FLAG|gco_rate|rate|5</t>
        </is>
      </c>
      <c r="B3581" t="n">
        <v>0.01490243563434412</v>
      </c>
      <c r="C3581" t="n">
        <v>0.05918236225894098</v>
      </c>
      <c r="D3581" t="n">
        <v>0.02383718764570459</v>
      </c>
      <c r="E3581" t="n">
        <v>0.04184060461877476</v>
      </c>
      <c r="F3581" t="n">
        <v>0.0170654622375865</v>
      </c>
      <c r="G3581" t="n">
        <v>0.03704973484090528</v>
      </c>
      <c r="H3581" t="n">
        <v>0.03409135898201892</v>
      </c>
      <c r="I3581" t="n">
        <v>0.0662909487360247</v>
      </c>
      <c r="J3581" t="n">
        <v>0.03555289463498783</v>
      </c>
    </row>
    <row r="3582">
      <c r="A3582" t="inlineStr">
        <is>
          <t>G|ORIG_BAL x ASSET_CLASS / SYS_FLAG|gco_rate|book|5</t>
        </is>
      </c>
      <c r="C3582" t="n">
        <v>1.422472895792877</v>
      </c>
      <c r="E3582" t="n">
        <v>1.005656478418143</v>
      </c>
      <c r="G3582" t="n">
        <v>0.8905059141930215</v>
      </c>
      <c r="H3582" t="n">
        <v>0.8194001097910001</v>
      </c>
      <c r="I3582" t="n">
        <v>1.593330752848486</v>
      </c>
      <c r="J3582" t="n">
        <v>0.8545287321242382</v>
      </c>
    </row>
    <row r="3583">
      <c r="A3583" t="inlineStr">
        <is>
          <t>G|ORIG_BAL x ASSET_CLASS / SYS_FLAG|gco_rate|band|5</t>
        </is>
      </c>
      <c r="C3583" t="n">
        <v>1.833156520307234</v>
      </c>
      <c r="E3583" t="n">
        <v>1.206778951221231</v>
      </c>
      <c r="G3583" t="n">
        <v>1.047623418727635</v>
      </c>
      <c r="H3583" t="n">
        <v>0.9528447874230355</v>
      </c>
      <c r="I3583" t="n">
        <v>2.080077010763459</v>
      </c>
    </row>
    <row r="3584">
      <c r="A3584" t="inlineStr">
        <is>
          <t>G|ORIG_BAL x ASSET_CLASS / SYS_FLAG|gco_rate|rate|6</t>
        </is>
      </c>
    </row>
    <row r="3585">
      <c r="A3585" t="inlineStr">
        <is>
          <t>G|ORIG_BAL x ASSET_CLASS / SYS_FLAG|gco_rate|book|6</t>
        </is>
      </c>
    </row>
    <row r="3586">
      <c r="A3586" t="inlineStr">
        <is>
          <t>G|ORIG_BAL x ASSET_CLASS / SYS_FLAG|gco_rate|band|6</t>
        </is>
      </c>
    </row>
    <row r="3587">
      <c r="A3587" t="inlineStr">
        <is>
          <t>G|ORIG_BAL x ASSET_CLASS / SYS_FLAG|gco_rate|rate|7</t>
        </is>
      </c>
      <c r="B3587" t="n">
        <v>0.02428726127203878</v>
      </c>
      <c r="C3587" t="n">
        <v>0.05105761588999549</v>
      </c>
      <c r="D3587" t="n">
        <v>0.02451582735282238</v>
      </c>
      <c r="E3587" t="n">
        <v>0.04205486969531595</v>
      </c>
      <c r="F3587" t="n">
        <v>0.02969455401340456</v>
      </c>
      <c r="G3587" t="n">
        <v>0.05138794933615651</v>
      </c>
      <c r="H3587" t="n">
        <v>0.04228479189813641</v>
      </c>
      <c r="I3587" t="n">
        <v>0.07495703613824994</v>
      </c>
      <c r="J3587" t="n">
        <v>0.04160526533333561</v>
      </c>
    </row>
    <row r="3588">
      <c r="A3588" t="inlineStr">
        <is>
          <t>G|ORIG_BAL x ASSET_CLASS / SYS_FLAG|gco_rate|book|7</t>
        </is>
      </c>
      <c r="B3588" t="n">
        <v>0.5837545098547645</v>
      </c>
      <c r="C3588" t="n">
        <v>1.227191209596404</v>
      </c>
      <c r="D3588" t="n">
        <v>0.58924819145858</v>
      </c>
      <c r="E3588" t="n">
        <v>1.010806429387678</v>
      </c>
      <c r="F3588" t="n">
        <v>0.713721058512568</v>
      </c>
      <c r="G3588" t="n">
        <v>1.235130912504544</v>
      </c>
      <c r="H3588" t="n">
        <v>1.016332705953357</v>
      </c>
      <c r="I3588" t="n">
        <v>1.801623797798296</v>
      </c>
      <c r="J3588" t="n">
        <v>0.9999999999999991</v>
      </c>
    </row>
    <row r="3589">
      <c r="A3589" t="inlineStr">
        <is>
          <t>G|ORIG_BAL x ASSET_CLASS / SYS_FLAG|gco_rate|band|7</t>
        </is>
      </c>
    </row>
    <row r="3590">
      <c r="A3590" t="inlineStr">
        <is>
          <t>G|ORIG_BAL x ASSET_CLASS / SYS_FLAG|gco_rate|meta</t>
        </is>
      </c>
      <c r="B3590" t="inlineStr">
        <is>
          <t>x</t>
        </is>
      </c>
      <c r="C3590" t="n">
        <v>2.638146011255898</v>
      </c>
      <c r="D3590" t="n">
        <v>10</v>
      </c>
      <c r="E3590" t="n">
        <v>0.04160526533333565</v>
      </c>
      <c r="F3590" t="n">
        <v>65</v>
      </c>
    </row>
    <row r="3591">
      <c r="A3591" t="inlineStr">
        <is>
          <t>G|ORIG_BAL x ASSET_CLASS / SYS_FLAG|ranr_rate|rate|1</t>
        </is>
      </c>
      <c r="B3591" t="n">
        <v>0.176239434966219</v>
      </c>
      <c r="C3591" t="n">
        <v>0.1451278835003983</v>
      </c>
      <c r="D3591" t="n">
        <v>0.1603051910266928</v>
      </c>
      <c r="E3591" t="n">
        <v>0.1112646564442411</v>
      </c>
      <c r="F3591" t="n">
        <v>0.1528983361923</v>
      </c>
      <c r="G3591" t="n">
        <v>0.1341773437247396</v>
      </c>
      <c r="H3591" t="n">
        <v>0.1465345434258317</v>
      </c>
      <c r="I3591" t="n">
        <v>0.1309753335771528</v>
      </c>
      <c r="J3591" t="n">
        <v>0.1466798967561383</v>
      </c>
    </row>
    <row r="3592">
      <c r="A3592" t="inlineStr">
        <is>
          <t>G|ORIG_BAL x ASSET_CLASS / SYS_FLAG|ranr_rate|book|1</t>
        </is>
      </c>
      <c r="B3592" t="n">
        <v>4.824938532</v>
      </c>
      <c r="C3592" t="n">
        <v>1.713783385</v>
      </c>
      <c r="D3592" t="n">
        <v>3.231514138</v>
      </c>
      <c r="E3592" t="n">
        <v>-1.67253932</v>
      </c>
      <c r="F3592" t="n">
        <v>2.490828654</v>
      </c>
      <c r="G3592" t="n">
        <v>0.618729408</v>
      </c>
      <c r="H3592" t="n">
        <v>1.854449378</v>
      </c>
      <c r="I3592" t="n">
        <v>0.298528393</v>
      </c>
      <c r="J3592" t="n">
        <v>1.868984711</v>
      </c>
    </row>
    <row r="3593">
      <c r="A3593" t="inlineStr">
        <is>
          <t>G|ORIG_BAL x ASSET_CLASS / SYS_FLAG|ranr_rate|band|1</t>
        </is>
      </c>
      <c r="B3593" t="n">
        <v>3.474116847</v>
      </c>
      <c r="C3593" t="n">
        <v>-0.174913471</v>
      </c>
      <c r="D3593" t="n">
        <v>1.60969443</v>
      </c>
      <c r="E3593" t="n">
        <v>-3.948550388</v>
      </c>
      <c r="F3593" t="n">
        <v>0.695556582</v>
      </c>
      <c r="G3593" t="n">
        <v>-1.408623643</v>
      </c>
      <c r="H3593" t="n">
        <v>-0.016933418</v>
      </c>
      <c r="I3593" t="n">
        <v>-1.787658464</v>
      </c>
    </row>
    <row r="3594">
      <c r="A3594" t="inlineStr">
        <is>
          <t>G|ORIG_BAL x ASSET_CLASS / SYS_FLAG|ranr_rate|rate|2</t>
        </is>
      </c>
      <c r="B3594" t="n">
        <v>0.1469879840652782</v>
      </c>
      <c r="C3594" t="n">
        <v>0.1026030522909873</v>
      </c>
      <c r="D3594" t="n">
        <v>0.1255047377985213</v>
      </c>
      <c r="E3594" t="n">
        <v>0.1308177588348792</v>
      </c>
      <c r="F3594" t="n">
        <v>0.1203622319666544</v>
      </c>
      <c r="G3594" t="n">
        <v>0.1015119371033395</v>
      </c>
      <c r="H3594" t="n">
        <v>0.09377246264905374</v>
      </c>
      <c r="I3594" t="n">
        <v>0.1311850681759872</v>
      </c>
      <c r="J3594" t="n">
        <v>0.1190597270318928</v>
      </c>
    </row>
    <row r="3595">
      <c r="A3595" t="inlineStr">
        <is>
          <t>G|ORIG_BAL x ASSET_CLASS / SYS_FLAG|ranr_rate|book|2</t>
        </is>
      </c>
      <c r="B3595" t="n">
        <v>1.899793442</v>
      </c>
      <c r="C3595" t="n">
        <v>-2.538699736</v>
      </c>
      <c r="D3595" t="n">
        <v>-0.248531185</v>
      </c>
      <c r="E3595" t="n">
        <v>0.282770919</v>
      </c>
      <c r="F3595" t="n">
        <v>-0.762781768</v>
      </c>
      <c r="G3595" t="n">
        <v>-2.647811254</v>
      </c>
      <c r="H3595" t="n">
        <v>-3.4217587</v>
      </c>
      <c r="I3595" t="n">
        <v>0.319501853</v>
      </c>
      <c r="J3595" t="n">
        <v>-0.893032262</v>
      </c>
    </row>
    <row r="3596">
      <c r="A3596" t="inlineStr">
        <is>
          <t>G|ORIG_BAL x ASSET_CLASS / SYS_FLAG|ranr_rate|band|2</t>
        </is>
      </c>
      <c r="B3596" t="n">
        <v>3.241854071</v>
      </c>
      <c r="C3596" t="n">
        <v>-1.854931427</v>
      </c>
      <c r="D3596" t="n">
        <v>0.72957519</v>
      </c>
      <c r="E3596" t="n">
        <v>1.318287271</v>
      </c>
      <c r="F3596" t="n">
        <v>0.152251217</v>
      </c>
      <c r="G3596" t="n">
        <v>-1.992447745</v>
      </c>
      <c r="H3596" t="n">
        <v>-2.944626282</v>
      </c>
      <c r="I3596" t="n">
        <v>1.376248497</v>
      </c>
    </row>
    <row r="3597">
      <c r="A3597" t="inlineStr">
        <is>
          <t>G|ORIG_BAL x ASSET_CLASS / SYS_FLAG|ranr_rate|rate|3</t>
        </is>
      </c>
      <c r="B3597" t="n">
        <v>0.1390020442669093</v>
      </c>
      <c r="C3597" t="n">
        <v>0.130159425166618</v>
      </c>
      <c r="D3597" t="n">
        <v>0.1391589892053816</v>
      </c>
      <c r="E3597" t="n">
        <v>0.1228987370954112</v>
      </c>
      <c r="F3597" t="n">
        <v>0.1339264829545374</v>
      </c>
      <c r="G3597" t="n">
        <v>0.136607210435126</v>
      </c>
      <c r="H3597" t="n">
        <v>0.1336109603303161</v>
      </c>
      <c r="I3597" t="n">
        <v>0.1117344061294539</v>
      </c>
      <c r="J3597" t="n">
        <v>0.1312994440713134</v>
      </c>
    </row>
    <row r="3598">
      <c r="A3598" t="inlineStr">
        <is>
          <t>G|ORIG_BAL x ASSET_CLASS / SYS_FLAG|ranr_rate|book|3</t>
        </is>
      </c>
      <c r="B3598" t="n">
        <v>1.101199462</v>
      </c>
      <c r="C3598" t="n">
        <v>0.216937552</v>
      </c>
      <c r="D3598" t="n">
        <v>1.116893956</v>
      </c>
      <c r="E3598" t="n">
        <v>-0.509131255</v>
      </c>
      <c r="F3598" t="n">
        <v>0.593643331</v>
      </c>
      <c r="G3598" t="n">
        <v>0.861716079</v>
      </c>
      <c r="H3598" t="n">
        <v>0.562091068</v>
      </c>
      <c r="I3598" t="n">
        <v>-1.625564352</v>
      </c>
      <c r="J3598" t="n">
        <v>0.330939442</v>
      </c>
    </row>
    <row r="3599">
      <c r="A3599" t="inlineStr">
        <is>
          <t>G|ORIG_BAL x ASSET_CLASS / SYS_FLAG|ranr_rate|band|3</t>
        </is>
      </c>
      <c r="B3599" t="n">
        <v>0.888861702</v>
      </c>
      <c r="C3599" t="n">
        <v>-0.127923062</v>
      </c>
      <c r="D3599" t="n">
        <v>0.933569972</v>
      </c>
      <c r="E3599" t="n">
        <v>-0.948018662</v>
      </c>
      <c r="F3599" t="n">
        <v>0.299406692</v>
      </c>
      <c r="G3599" t="n">
        <v>0.593675346</v>
      </c>
      <c r="H3599" t="n">
        <v>0.267298143</v>
      </c>
      <c r="I3599" t="n">
        <v>-2.228353815</v>
      </c>
    </row>
    <row r="3600">
      <c r="A3600" t="inlineStr">
        <is>
          <t>G|ORIG_BAL x ASSET_CLASS / SYS_FLAG|ranr_rate|rate|4</t>
        </is>
      </c>
      <c r="B3600" t="n">
        <v>0.140071043511119</v>
      </c>
      <c r="C3600" t="n">
        <v>0.1289667174912146</v>
      </c>
      <c r="D3600" t="n">
        <v>0.1476099886963977</v>
      </c>
      <c r="E3600" t="n">
        <v>0.1239792151671739</v>
      </c>
      <c r="F3600" t="n">
        <v>0.1406694530167586</v>
      </c>
      <c r="G3600" t="n">
        <v>0.09086001341967721</v>
      </c>
      <c r="H3600" t="n">
        <v>0.1371560416648463</v>
      </c>
      <c r="I3600" t="n">
        <v>0.06294244542938228</v>
      </c>
      <c r="J3600" t="n">
        <v>0.1224284738147315</v>
      </c>
    </row>
    <row r="3601">
      <c r="A3601" t="inlineStr">
        <is>
          <t>G|ORIG_BAL x ASSET_CLASS / SYS_FLAG|ranr_rate|book|4</t>
        </is>
      </c>
      <c r="B3601" t="n">
        <v>1.208099386</v>
      </c>
      <c r="C3601" t="n">
        <v>0.09766678400000001</v>
      </c>
      <c r="D3601" t="n">
        <v>1.961993905</v>
      </c>
      <c r="E3601" t="n">
        <v>-0.401083448</v>
      </c>
      <c r="F3601" t="n">
        <v>1.267940337</v>
      </c>
      <c r="G3601" t="n">
        <v>-3.713003623</v>
      </c>
      <c r="H3601" t="n">
        <v>0.916599202</v>
      </c>
      <c r="I3601" t="n">
        <v>-6.504760422</v>
      </c>
      <c r="J3601" t="n">
        <v>-0.556157583</v>
      </c>
    </row>
    <row r="3602">
      <c r="A3602" t="inlineStr">
        <is>
          <t>G|ORIG_BAL x ASSET_CLASS / SYS_FLAG|ranr_rate|band|4</t>
        </is>
      </c>
      <c r="B3602" t="n">
        <v>2.025077744</v>
      </c>
      <c r="C3602" t="n">
        <v>0.735422991</v>
      </c>
      <c r="D3602" t="n">
        <v>2.922444911</v>
      </c>
      <c r="E3602" t="n">
        <v>0.177066302</v>
      </c>
      <c r="F3602" t="n">
        <v>2.06656547</v>
      </c>
      <c r="G3602" t="n">
        <v>-3.592153076</v>
      </c>
      <c r="H3602" t="n">
        <v>1.713580305</v>
      </c>
      <c r="I3602" t="n">
        <v>-6.749470168</v>
      </c>
    </row>
    <row r="3603">
      <c r="A3603" t="inlineStr">
        <is>
          <t>G|ORIG_BAL x ASSET_CLASS / SYS_FLAG|ranr_rate|rate|5</t>
        </is>
      </c>
      <c r="B3603" t="n">
        <v>0.1530163316614484</v>
      </c>
      <c r="C3603" t="n">
        <v>0.1198509850320753</v>
      </c>
      <c r="D3603" t="n">
        <v>0.1454540254647117</v>
      </c>
      <c r="E3603" t="n">
        <v>0.1095398721533875</v>
      </c>
      <c r="F3603" t="n">
        <v>0.1434917227991685</v>
      </c>
      <c r="G3603" t="n">
        <v>0.1225120577257538</v>
      </c>
      <c r="H3603" t="n">
        <v>0.1364650676468008</v>
      </c>
      <c r="I3603" t="n">
        <v>0.1033932404821314</v>
      </c>
      <c r="J3603" t="n">
        <v>0.1304237269597046</v>
      </c>
    </row>
    <row r="3604">
      <c r="A3604" t="inlineStr">
        <is>
          <t>G|ORIG_BAL x ASSET_CLASS / SYS_FLAG|ranr_rate|book|5</t>
        </is>
      </c>
      <c r="B3604" t="n">
        <v>2.502628201</v>
      </c>
      <c r="C3604" t="n">
        <v>-0.8139064620000001</v>
      </c>
      <c r="D3604" t="n">
        <v>1.746397582</v>
      </c>
      <c r="E3604" t="n">
        <v>-1.845017749</v>
      </c>
      <c r="F3604" t="n">
        <v>1.550167315</v>
      </c>
      <c r="G3604" t="n">
        <v>-0.547799192</v>
      </c>
      <c r="H3604" t="n">
        <v>0.8475018</v>
      </c>
      <c r="I3604" t="n">
        <v>-2.459680917</v>
      </c>
      <c r="J3604" t="n">
        <v>0.243367731</v>
      </c>
    </row>
    <row r="3605">
      <c r="A3605" t="inlineStr">
        <is>
          <t>G|ORIG_BAL x ASSET_CLASS / SYS_FLAG|ranr_rate|band|5</t>
        </is>
      </c>
      <c r="B3605" t="n">
        <v>2.615737812</v>
      </c>
      <c r="C3605" t="n">
        <v>-1.203519247</v>
      </c>
      <c r="D3605" t="n">
        <v>1.718805739</v>
      </c>
      <c r="E3605" t="n">
        <v>-2.381193655</v>
      </c>
      <c r="F3605" t="n">
        <v>1.522558272</v>
      </c>
      <c r="G3605" t="n">
        <v>-0.890211411</v>
      </c>
      <c r="H3605" t="n">
        <v>0.69739009</v>
      </c>
      <c r="I3605" t="n">
        <v>-3.026962453</v>
      </c>
    </row>
    <row r="3606">
      <c r="A3606" t="inlineStr">
        <is>
          <t>G|ORIG_BAL x ASSET_CLASS / SYS_FLAG|ranr_rate|rate|6</t>
        </is>
      </c>
    </row>
    <row r="3607">
      <c r="A3607" t="inlineStr">
        <is>
          <t>G|ORIG_BAL x ASSET_CLASS / SYS_FLAG|ranr_rate|book|6</t>
        </is>
      </c>
    </row>
    <row r="3608">
      <c r="A3608" t="inlineStr">
        <is>
          <t>G|ORIG_BAL x ASSET_CLASS / SYS_FLAG|ranr_rate|band|6</t>
        </is>
      </c>
    </row>
    <row r="3609">
      <c r="A3609" t="inlineStr">
        <is>
          <t>G|ORIG_BAL x ASSET_CLASS / SYS_FLAG|ranr_rate|rate|7</t>
        </is>
      </c>
      <c r="B3609" t="n">
        <v>0.147728983035105</v>
      </c>
      <c r="C3609" t="n">
        <v>0.1235529127423794</v>
      </c>
      <c r="D3609" t="n">
        <v>0.1434312623085464</v>
      </c>
      <c r="E3609" t="n">
        <v>0.1188036462606204</v>
      </c>
      <c r="F3609" t="n">
        <v>0.1381391917896836</v>
      </c>
      <c r="G3609" t="n">
        <v>0.1139107040211185</v>
      </c>
      <c r="H3609" t="n">
        <v>0.131065555320466</v>
      </c>
      <c r="I3609" t="n">
        <v>0.09945745884195703</v>
      </c>
      <c r="J3609" t="n">
        <v>0.1279900496481476</v>
      </c>
    </row>
    <row r="3610">
      <c r="A3610" t="inlineStr">
        <is>
          <t>G|ORIG_BAL x ASSET_CLASS / SYS_FLAG|ranr_rate|book|7</t>
        </is>
      </c>
      <c r="B3610" t="n">
        <v>1.973893339</v>
      </c>
      <c r="C3610" t="n">
        <v>-0.443713691</v>
      </c>
      <c r="D3610" t="n">
        <v>1.544121266</v>
      </c>
      <c r="E3610" t="n">
        <v>-0.918640339</v>
      </c>
      <c r="F3610" t="n">
        <v>1.014914214</v>
      </c>
      <c r="G3610" t="n">
        <v>-1.407934563</v>
      </c>
      <c r="H3610" t="n">
        <v>0.307550567</v>
      </c>
      <c r="I3610" t="n">
        <v>-2.853259081</v>
      </c>
      <c r="J3610" t="n">
        <v>0</v>
      </c>
    </row>
    <row r="3611">
      <c r="A3611" t="inlineStr">
        <is>
          <t>G|ORIG_BAL x ASSET_CLASS / SYS_FLAG|ranr_rate|band|7</t>
        </is>
      </c>
    </row>
    <row r="3612">
      <c r="A3612" t="inlineStr">
        <is>
          <t>G|ORIG_BAL x ASSET_CLASS / SYS_FLAG|ranr_rate|meta</t>
        </is>
      </c>
      <c r="B3612" t="inlineStr">
        <is>
          <t>pts</t>
        </is>
      </c>
      <c r="C3612" t="n">
        <v>6.749470168</v>
      </c>
      <c r="D3612" t="n">
        <v>10</v>
      </c>
      <c r="E3612" t="n">
        <v>0.1279900496481481</v>
      </c>
      <c r="F3612" t="n">
        <v>65</v>
      </c>
    </row>
    <row r="3613">
      <c r="A3613" t="inlineStr">
        <is>
          <t>G|ORIG_BAL x ASSET_CLASS / SYS_FLAG|contribution_rate|rate|1</t>
        </is>
      </c>
      <c r="B3613" t="n">
        <v>0.1978216459598678</v>
      </c>
      <c r="C3613" t="n">
        <v>0.1928473003499398</v>
      </c>
      <c r="D3613" t="n">
        <v>0.1808054654902682</v>
      </c>
      <c r="E3613" t="n">
        <v>0.1685685070337879</v>
      </c>
      <c r="F3613" t="n">
        <v>0.1864301396502303</v>
      </c>
      <c r="G3613" t="n">
        <v>0.1917278573460729</v>
      </c>
      <c r="H3613" t="n">
        <v>0.1941786089689732</v>
      </c>
      <c r="I3613" t="n">
        <v>0.1883800785812211</v>
      </c>
      <c r="J3613" t="n">
        <v>0.1880773485524348</v>
      </c>
    </row>
    <row r="3614">
      <c r="A3614" t="inlineStr">
        <is>
          <t>G|ORIG_BAL x ASSET_CLASS / SYS_FLAG|contribution_rate|book|1</t>
        </is>
      </c>
      <c r="B3614" t="n">
        <v>2.822919022</v>
      </c>
      <c r="C3614" t="n">
        <v>2.325484461</v>
      </c>
      <c r="D3614" t="n">
        <v>1.121300976</v>
      </c>
      <c r="E3614" t="n">
        <v>-0.10239487</v>
      </c>
      <c r="F3614" t="n">
        <v>1.683768392</v>
      </c>
      <c r="G3614" t="n">
        <v>2.213540161</v>
      </c>
      <c r="H3614" t="n">
        <v>2.458615323</v>
      </c>
      <c r="I3614" t="n">
        <v>1.878762285</v>
      </c>
      <c r="J3614" t="n">
        <v>1.848489282</v>
      </c>
    </row>
    <row r="3615">
      <c r="A3615" t="inlineStr">
        <is>
          <t>G|ORIG_BAL x ASSET_CLASS / SYS_FLAG|contribution_rate|band|1</t>
        </is>
      </c>
      <c r="B3615" t="n">
        <v>1.145242106</v>
      </c>
      <c r="C3615" t="n">
        <v>0.537578416</v>
      </c>
      <c r="D3615" t="n">
        <v>-0.859101421</v>
      </c>
      <c r="E3615" t="n">
        <v>-2.175098717</v>
      </c>
      <c r="F3615" t="n">
        <v>-0.184246708</v>
      </c>
      <c r="G3615" t="n">
        <v>0.411291436</v>
      </c>
      <c r="H3615" t="n">
        <v>0.710786573</v>
      </c>
      <c r="I3615" t="n">
        <v>0.034459914</v>
      </c>
    </row>
    <row r="3616">
      <c r="A3616" t="inlineStr">
        <is>
          <t>G|ORIG_BAL x ASSET_CLASS / SYS_FLAG|contribution_rate|rate|2</t>
        </is>
      </c>
      <c r="B3616" t="n">
        <v>0.192117981519354</v>
      </c>
      <c r="C3616" t="n">
        <v>0.1692605140092568</v>
      </c>
      <c r="D3616" t="n">
        <v>0.1638839359682658</v>
      </c>
      <c r="E3616" t="n">
        <v>0.160723684793171</v>
      </c>
      <c r="F3616" t="n">
        <v>0.1716455352340999</v>
      </c>
      <c r="G3616" t="n">
        <v>0.1681323893177444</v>
      </c>
      <c r="H3616" t="n">
        <v>0.1582748465132555</v>
      </c>
      <c r="I3616" t="n">
        <v>0.1918282456194665</v>
      </c>
      <c r="J3616" t="n">
        <v>0.1722199062366802</v>
      </c>
    </row>
    <row r="3617">
      <c r="A3617" t="inlineStr">
        <is>
          <t>G|ORIG_BAL x ASSET_CLASS / SYS_FLAG|contribution_rate|book|2</t>
        </is>
      </c>
      <c r="B3617" t="n">
        <v>2.252552578</v>
      </c>
      <c r="C3617" t="n">
        <v>-0.033194173</v>
      </c>
      <c r="D3617" t="n">
        <v>-0.570851977</v>
      </c>
      <c r="E3617" t="n">
        <v>-0.886877094</v>
      </c>
      <c r="F3617" t="n">
        <v>0.20530795</v>
      </c>
      <c r="G3617" t="n">
        <v>-0.146006642</v>
      </c>
      <c r="H3617" t="n">
        <v>-1.131760922</v>
      </c>
      <c r="I3617" t="n">
        <v>2.223578988</v>
      </c>
      <c r="J3617" t="n">
        <v>0.26274505</v>
      </c>
    </row>
    <row r="3618">
      <c r="A3618" t="inlineStr">
        <is>
          <t>G|ORIG_BAL x ASSET_CLASS / SYS_FLAG|contribution_rate|band|2</t>
        </is>
      </c>
      <c r="B3618" t="n">
        <v>2.309727251</v>
      </c>
      <c r="C3618" t="n">
        <v>-0.333571012</v>
      </c>
      <c r="D3618" t="n">
        <v>-0.943631797</v>
      </c>
      <c r="E3618" t="n">
        <v>-1.288933611</v>
      </c>
      <c r="F3618" t="n">
        <v>-0.067138851</v>
      </c>
      <c r="G3618" t="n">
        <v>-0.464113367</v>
      </c>
      <c r="H3618" t="n">
        <v>-1.623860484</v>
      </c>
      <c r="I3618" t="n">
        <v>2.225582545</v>
      </c>
    </row>
    <row r="3619">
      <c r="A3619" t="inlineStr">
        <is>
          <t>G|ORIG_BAL x ASSET_CLASS / SYS_FLAG|contribution_rate|rate|3</t>
        </is>
      </c>
      <c r="B3619" t="n">
        <v>0.1724395835330208</v>
      </c>
      <c r="C3619" t="n">
        <v>0.1695387812678755</v>
      </c>
      <c r="D3619" t="n">
        <v>0.1566906429330407</v>
      </c>
      <c r="E3619" t="n">
        <v>0.165754357770011</v>
      </c>
      <c r="F3619" t="n">
        <v>0.1621666456549517</v>
      </c>
      <c r="G3619" t="n">
        <v>0.1718353318001772</v>
      </c>
      <c r="H3619" t="n">
        <v>0.1773567856754636</v>
      </c>
      <c r="I3619" t="n">
        <v>0.1768338794546308</v>
      </c>
      <c r="J3619" t="n">
        <v>0.1687501739092803</v>
      </c>
    </row>
    <row r="3620">
      <c r="A3620" t="inlineStr">
        <is>
          <t>G|ORIG_BAL x ASSET_CLASS / SYS_FLAG|contribution_rate|book|3</t>
        </is>
      </c>
      <c r="B3620" t="n">
        <v>0.28471278</v>
      </c>
      <c r="C3620" t="n">
        <v>-0.005367447</v>
      </c>
      <c r="D3620" t="n">
        <v>-1.29018128</v>
      </c>
      <c r="E3620" t="n">
        <v>-0.383809796</v>
      </c>
      <c r="F3620" t="n">
        <v>-0.742581008</v>
      </c>
      <c r="G3620" t="n">
        <v>0.224287607</v>
      </c>
      <c r="H3620" t="n">
        <v>0.776432994</v>
      </c>
      <c r="I3620" t="n">
        <v>0.724142372</v>
      </c>
      <c r="J3620" t="n">
        <v>-0.084228183</v>
      </c>
    </row>
    <row r="3621">
      <c r="A3621" t="inlineStr">
        <is>
          <t>G|ORIG_BAL x ASSET_CLASS / SYS_FLAG|contribution_rate|band|3</t>
        </is>
      </c>
      <c r="B3621" t="n">
        <v>0.425749076</v>
      </c>
      <c r="C3621" t="n">
        <v>0.08849069699999999</v>
      </c>
      <c r="D3621" t="n">
        <v>-1.432451344</v>
      </c>
      <c r="E3621" t="n">
        <v>-0.338077452</v>
      </c>
      <c r="F3621" t="n">
        <v>-0.7503324099999999</v>
      </c>
      <c r="G3621" t="n">
        <v>0.345075885</v>
      </c>
      <c r="H3621" t="n">
        <v>0.995247745</v>
      </c>
      <c r="I3621" t="n">
        <v>0.920691089</v>
      </c>
    </row>
    <row r="3622">
      <c r="A3622" t="inlineStr">
        <is>
          <t>G|ORIG_BAL x ASSET_CLASS / SYS_FLAG|contribution_rate|rate|4</t>
        </is>
      </c>
      <c r="B3622" t="n">
        <v>0.1597559262386171</v>
      </c>
      <c r="C3622" t="n">
        <v>0.1704981082632374</v>
      </c>
      <c r="D3622" t="n">
        <v>0.1742170214888749</v>
      </c>
      <c r="E3622" t="n">
        <v>0.1678791427414002</v>
      </c>
      <c r="F3622" t="n">
        <v>0.1770508616456425</v>
      </c>
      <c r="G3622" t="n">
        <v>0.1606415113674031</v>
      </c>
      <c r="H3622" t="n">
        <v>0.1762159593527407</v>
      </c>
      <c r="I3622" t="n">
        <v>0.1662296443178715</v>
      </c>
      <c r="J3622" t="n">
        <v>0.1691805976256633</v>
      </c>
    </row>
    <row r="3623">
      <c r="A3623" t="inlineStr">
        <is>
          <t>G|ORIG_BAL x ASSET_CLASS / SYS_FLAG|contribution_rate|book|4</t>
        </is>
      </c>
      <c r="B3623" t="n">
        <v>-0.98365295</v>
      </c>
      <c r="C3623" t="n">
        <v>0.090565253</v>
      </c>
      <c r="D3623" t="n">
        <v>0.462456575</v>
      </c>
      <c r="E3623" t="n">
        <v>-0.171331299</v>
      </c>
      <c r="F3623" t="n">
        <v>0.745840591</v>
      </c>
      <c r="G3623" t="n">
        <v>-0.895094437</v>
      </c>
      <c r="H3623" t="n">
        <v>0.662350362</v>
      </c>
      <c r="I3623" t="n">
        <v>-0.336281142</v>
      </c>
      <c r="J3623" t="n">
        <v>-0.041185811</v>
      </c>
    </row>
    <row r="3624">
      <c r="A3624" t="inlineStr">
        <is>
          <t>G|ORIG_BAL x ASSET_CLASS / SYS_FLAG|contribution_rate|band|4</t>
        </is>
      </c>
      <c r="B3624" t="n">
        <v>-1.081181802</v>
      </c>
      <c r="C3624" t="n">
        <v>0.148204404</v>
      </c>
      <c r="D3624" t="n">
        <v>0.584556479</v>
      </c>
      <c r="E3624" t="n">
        <v>-0.148614353</v>
      </c>
      <c r="F3624" t="n">
        <v>0.891709126</v>
      </c>
      <c r="G3624" t="n">
        <v>-0.971733003</v>
      </c>
      <c r="H3624" t="n">
        <v>0.818653874</v>
      </c>
      <c r="I3624" t="n">
        <v>-0.334850042</v>
      </c>
    </row>
    <row r="3625">
      <c r="A3625" t="inlineStr">
        <is>
          <t>G|ORIG_BAL x ASSET_CLASS / SYS_FLAG|contribution_rate|rate|5</t>
        </is>
      </c>
      <c r="B3625" t="n">
        <v>0.1679187672957926</v>
      </c>
      <c r="C3625" t="n">
        <v>0.1790333472910162</v>
      </c>
      <c r="D3625" t="n">
        <v>0.1692912131104163</v>
      </c>
      <c r="E3625" t="n">
        <v>0.1513804767721622</v>
      </c>
      <c r="F3625" t="n">
        <v>0.160557185036755</v>
      </c>
      <c r="G3625" t="n">
        <v>0.1595617925666591</v>
      </c>
      <c r="H3625" t="n">
        <v>0.1705564266288198</v>
      </c>
      <c r="I3625" t="n">
        <v>0.1696841892181561</v>
      </c>
      <c r="J3625" t="n">
        <v>0.1659766215946924</v>
      </c>
    </row>
    <row r="3626">
      <c r="A3626" t="inlineStr">
        <is>
          <t>G|ORIG_BAL x ASSET_CLASS / SYS_FLAG|contribution_rate|book|5</t>
        </is>
      </c>
      <c r="B3626" t="n">
        <v>-0.167368844</v>
      </c>
      <c r="C3626" t="n">
        <v>0.944089156</v>
      </c>
      <c r="D3626" t="n">
        <v>-0.030124262</v>
      </c>
      <c r="E3626" t="n">
        <v>-1.821197896</v>
      </c>
      <c r="F3626" t="n">
        <v>-0.90352707</v>
      </c>
      <c r="G3626" t="n">
        <v>-1.003066317</v>
      </c>
      <c r="H3626" t="n">
        <v>0.09639708900000001</v>
      </c>
      <c r="I3626" t="n">
        <v>0.009173348</v>
      </c>
      <c r="J3626" t="n">
        <v>-0.361583414</v>
      </c>
    </row>
    <row r="3627">
      <c r="A3627" t="inlineStr">
        <is>
          <t>G|ORIG_BAL x ASSET_CLASS / SYS_FLAG|contribution_rate|band|5</t>
        </is>
      </c>
      <c r="B3627" t="n">
        <v>0.22485871</v>
      </c>
      <c r="C3627" t="n">
        <v>1.486276766</v>
      </c>
      <c r="D3627" t="n">
        <v>0.379043631</v>
      </c>
      <c r="E3627" t="n">
        <v>-1.664263986</v>
      </c>
      <c r="F3627" t="n">
        <v>-0.631421074</v>
      </c>
      <c r="G3627" t="n">
        <v>-0.72178877</v>
      </c>
      <c r="H3627" t="n">
        <v>0.528675804</v>
      </c>
      <c r="I3627" t="n">
        <v>0.415185572</v>
      </c>
    </row>
    <row r="3628">
      <c r="A3628" t="inlineStr">
        <is>
          <t>G|ORIG_BAL x ASSET_CLASS / SYS_FLAG|contribution_rate|rate|6</t>
        </is>
      </c>
    </row>
    <row r="3629">
      <c r="A3629" t="inlineStr">
        <is>
          <t>G|ORIG_BAL x ASSET_CLASS / SYS_FLAG|contribution_rate|book|6</t>
        </is>
      </c>
    </row>
    <row r="3630">
      <c r="A3630" t="inlineStr">
        <is>
          <t>G|ORIG_BAL x ASSET_CLASS / SYS_FLAG|contribution_rate|band|6</t>
        </is>
      </c>
    </row>
    <row r="3631">
      <c r="A3631" t="inlineStr">
        <is>
          <t>G|ORIG_BAL x ASSET_CLASS / SYS_FLAG|contribution_rate|rate|7</t>
        </is>
      </c>
      <c r="B3631" t="n">
        <v>0.1720175555717958</v>
      </c>
      <c r="C3631" t="n">
        <v>0.1746105286323749</v>
      </c>
      <c r="D3631" t="n">
        <v>0.1679470896613688</v>
      </c>
      <c r="E3631" t="n">
        <v>0.1608585159559363</v>
      </c>
      <c r="F3631" t="n">
        <v>0.1678337458030882</v>
      </c>
      <c r="G3631" t="n">
        <v>0.1652986533572751</v>
      </c>
      <c r="H3631" t="n">
        <v>0.1733503472186024</v>
      </c>
      <c r="I3631" t="n">
        <v>0.1744144949802069</v>
      </c>
      <c r="J3631" t="n">
        <v>0.1695924557349811</v>
      </c>
    </row>
    <row r="3632">
      <c r="A3632" t="inlineStr">
        <is>
          <t>G|ORIG_BAL x ASSET_CLASS / SYS_FLAG|contribution_rate|book|7</t>
        </is>
      </c>
      <c r="B3632" t="n">
        <v>0.242509984</v>
      </c>
      <c r="C3632" t="n">
        <v>0.50180729</v>
      </c>
      <c r="D3632" t="n">
        <v>-0.164536607</v>
      </c>
      <c r="E3632" t="n">
        <v>-0.873393978</v>
      </c>
      <c r="F3632" t="n">
        <v>-0.175870993</v>
      </c>
      <c r="G3632" t="n">
        <v>-0.429380238</v>
      </c>
      <c r="H3632" t="n">
        <v>0.375789148</v>
      </c>
      <c r="I3632" t="n">
        <v>0.482203925</v>
      </c>
      <c r="J3632" t="n">
        <v>0</v>
      </c>
    </row>
    <row r="3633">
      <c r="A3633" t="inlineStr">
        <is>
          <t>G|ORIG_BAL x ASSET_CLASS / SYS_FLAG|contribution_rate|band|7</t>
        </is>
      </c>
    </row>
    <row r="3634">
      <c r="A3634" t="inlineStr">
        <is>
          <t>G|ORIG_BAL x ASSET_CLASS / SYS_FLAG|contribution_rate|meta</t>
        </is>
      </c>
      <c r="B3634" t="inlineStr">
        <is>
          <t>pts</t>
        </is>
      </c>
      <c r="C3634" t="n">
        <v>2.822919022</v>
      </c>
      <c r="D3634" t="n">
        <v>10</v>
      </c>
      <c r="E3634" t="n">
        <v>0.1695924557349815</v>
      </c>
      <c r="F3634" t="n">
        <v>65</v>
      </c>
    </row>
    <row r="3635">
      <c r="A3635" t="inlineStr">
        <is>
          <t>G|ORIG_BAL x ASSET_CLASS / SYS_FLAG|loan_size|rate|1</t>
        </is>
      </c>
      <c r="B3635" t="n">
        <v>10215.85012658228</v>
      </c>
      <c r="C3635" t="n">
        <v>10163.39955555556</v>
      </c>
      <c r="D3635" t="n">
        <v>10215.38102459016</v>
      </c>
      <c r="E3635" t="n">
        <v>10458.4115</v>
      </c>
      <c r="F3635" t="n">
        <v>10119.55535294118</v>
      </c>
      <c r="G3635" t="n">
        <v>9918.738206521739</v>
      </c>
      <c r="H3635" t="n">
        <v>10038.8827510917</v>
      </c>
      <c r="I3635" t="n">
        <v>10062.92765306122</v>
      </c>
      <c r="J3635" t="n">
        <v>10145.6733875</v>
      </c>
    </row>
    <row r="3636">
      <c r="A3636" t="inlineStr">
        <is>
          <t>G|ORIG_BAL x ASSET_CLASS / SYS_FLAG|loan_size|median|1</t>
        </is>
      </c>
      <c r="B3636" t="n">
        <v>10247.71</v>
      </c>
      <c r="C3636" t="n">
        <v>10074.185</v>
      </c>
      <c r="D3636" t="n">
        <v>10169.67</v>
      </c>
      <c r="E3636" t="n">
        <v>10613.415</v>
      </c>
      <c r="F3636" t="n">
        <v>9953.065000000001</v>
      </c>
      <c r="G3636" t="n">
        <v>10035.045</v>
      </c>
      <c r="H3636" t="n">
        <v>9973.889999999999</v>
      </c>
      <c r="I3636" t="n">
        <v>10140.595</v>
      </c>
      <c r="J3636" t="n">
        <v>10109.435</v>
      </c>
    </row>
    <row r="3637">
      <c r="A3637" t="inlineStr">
        <is>
          <t>G|ORIG_BAL x ASSET_CLASS / SYS_FLAG|loan_size|book|1</t>
        </is>
      </c>
      <c r="B3637" t="n">
        <v>0.3166469454891522</v>
      </c>
      <c r="C3637" t="n">
        <v>0.3150212057906461</v>
      </c>
      <c r="D3637" t="n">
        <v>0.3166324053665893</v>
      </c>
      <c r="E3637" t="n">
        <v>0.3241652936476203</v>
      </c>
      <c r="F3637" t="n">
        <v>0.3136622261009259</v>
      </c>
      <c r="G3637" t="n">
        <v>0.3074377675167008</v>
      </c>
      <c r="H3637" t="n">
        <v>0.3111617261284538</v>
      </c>
      <c r="I3637" t="n">
        <v>0.3119070135660038</v>
      </c>
      <c r="J3637" t="n">
        <v>0.3144717716368096</v>
      </c>
    </row>
    <row r="3638">
      <c r="A3638" t="inlineStr">
        <is>
          <t>G|ORIG_BAL x ASSET_CLASS / SYS_FLAG|loan_size|band|1</t>
        </is>
      </c>
      <c r="B3638" t="n">
        <v>1.008129411036988</v>
      </c>
      <c r="C3638" t="n">
        <v>1.001969073003597</v>
      </c>
      <c r="D3638" t="n">
        <v>1.008117027828895</v>
      </c>
      <c r="E3638" t="n">
        <v>1.034367459128666</v>
      </c>
      <c r="F3638" t="n">
        <v>0.9971205425142062</v>
      </c>
      <c r="G3638" t="n">
        <v>0.9747990322134522</v>
      </c>
      <c r="H3638" t="n">
        <v>0.9877376996150076</v>
      </c>
      <c r="I3638" t="n">
        <v>0.9907162502310158</v>
      </c>
    </row>
    <row r="3639">
      <c r="A3639" t="inlineStr">
        <is>
          <t>G|ORIG_BAL x ASSET_CLASS / SYS_FLAG|loan_size|rate|2</t>
        </is>
      </c>
      <c r="B3639" t="n">
        <v>20658.8953125</v>
      </c>
      <c r="C3639" t="n">
        <v>20939.62288888889</v>
      </c>
      <c r="D3639" t="n">
        <v>20945.42741935484</v>
      </c>
      <c r="E3639" t="n">
        <v>21241.35376470588</v>
      </c>
      <c r="F3639" t="n">
        <v>20631.70547008547</v>
      </c>
      <c r="G3639" t="n">
        <v>20649.17160621762</v>
      </c>
      <c r="H3639" t="n">
        <v>21160.62578475336</v>
      </c>
      <c r="I3639" t="n">
        <v>20917.56715789474</v>
      </c>
      <c r="J3639" t="n">
        <v>20881.1692625</v>
      </c>
    </row>
    <row r="3640">
      <c r="A3640" t="inlineStr">
        <is>
          <t>G|ORIG_BAL x ASSET_CLASS / SYS_FLAG|loan_size|median|2</t>
        </is>
      </c>
      <c r="B3640" t="n">
        <v>20475.045</v>
      </c>
      <c r="C3640" t="n">
        <v>21133.51</v>
      </c>
      <c r="D3640" t="n">
        <v>21528.245</v>
      </c>
      <c r="E3640" t="n">
        <v>20929.71</v>
      </c>
      <c r="F3640" t="n">
        <v>20634.15</v>
      </c>
      <c r="G3640" t="n">
        <v>20660.2</v>
      </c>
      <c r="H3640" t="n">
        <v>21387.04</v>
      </c>
      <c r="I3640" t="n">
        <v>20769.945</v>
      </c>
      <c r="J3640" t="n">
        <v>20863.035</v>
      </c>
    </row>
    <row r="3641">
      <c r="A3641" t="inlineStr">
        <is>
          <t>G|ORIG_BAL x ASSET_CLASS / SYS_FLAG|loan_size|book|2</t>
        </is>
      </c>
      <c r="B3641" t="n">
        <v>0.6403359501977914</v>
      </c>
      <c r="C3641" t="n">
        <v>0.6490372847393793</v>
      </c>
      <c r="D3641" t="n">
        <v>0.6492171999514532</v>
      </c>
      <c r="E3641" t="n">
        <v>0.6583896302616193</v>
      </c>
      <c r="F3641" t="n">
        <v>0.6394931832775437</v>
      </c>
      <c r="G3641" t="n">
        <v>0.6400345575721166</v>
      </c>
      <c r="H3641" t="n">
        <v>0.6558874138086821</v>
      </c>
      <c r="I3641" t="n">
        <v>0.6483536529551133</v>
      </c>
      <c r="J3641" t="n">
        <v>0.6472254764200065</v>
      </c>
    </row>
    <row r="3642">
      <c r="A3642" t="inlineStr">
        <is>
          <t>G|ORIG_BAL x ASSET_CLASS / SYS_FLAG|loan_size|band|2</t>
        </is>
      </c>
      <c r="B3642" t="n">
        <v>0.9876438440117966</v>
      </c>
      <c r="C3642" t="n">
        <v>1.003155312800022</v>
      </c>
      <c r="D3642" t="n">
        <v>1.003483532448967</v>
      </c>
      <c r="E3642" t="n">
        <v>1.01933951759124</v>
      </c>
      <c r="F3642" t="n">
        <v>0.9860352198822502</v>
      </c>
      <c r="G3642" t="n">
        <v>0.9873848244827559</v>
      </c>
      <c r="H3642" t="n">
        <v>1.015584316914623</v>
      </c>
      <c r="I3642" t="n">
        <v>1.00197844667915</v>
      </c>
    </row>
    <row r="3643">
      <c r="A3643" t="inlineStr">
        <is>
          <t>G|ORIG_BAL x ASSET_CLASS / SYS_FLAG|loan_size|rate|3</t>
        </is>
      </c>
      <c r="B3643" t="n">
        <v>31875.89493023256</v>
      </c>
      <c r="C3643" t="n">
        <v>32309.11190751445</v>
      </c>
      <c r="D3643" t="n">
        <v>32100.2661660079</v>
      </c>
      <c r="E3643" t="n">
        <v>32672.9787150838</v>
      </c>
      <c r="F3643" t="n">
        <v>31799.23984848485</v>
      </c>
      <c r="G3643" t="n">
        <v>32199.5799408284</v>
      </c>
      <c r="H3643" t="n">
        <v>31860.91279816514</v>
      </c>
      <c r="I3643" t="n">
        <v>32298.8962371134</v>
      </c>
      <c r="J3643" t="n">
        <v>32121.49322076298</v>
      </c>
    </row>
    <row r="3644">
      <c r="A3644" t="inlineStr">
        <is>
          <t>G|ORIG_BAL x ASSET_CLASS / SYS_FLAG|loan_size|median|3</t>
        </is>
      </c>
      <c r="B3644" t="n">
        <v>31719.68</v>
      </c>
      <c r="C3644" t="n">
        <v>32343.46</v>
      </c>
      <c r="D3644" t="n">
        <v>32147.3</v>
      </c>
      <c r="E3644" t="n">
        <v>32848.57</v>
      </c>
      <c r="F3644" t="n">
        <v>31874.03</v>
      </c>
      <c r="G3644" t="n">
        <v>32237.03</v>
      </c>
      <c r="H3644" t="n">
        <v>31737.305</v>
      </c>
      <c r="I3644" t="n">
        <v>32363.505</v>
      </c>
      <c r="J3644" t="n">
        <v>32112.83</v>
      </c>
    </row>
    <row r="3645">
      <c r="A3645" t="inlineStr">
        <is>
          <t>G|ORIG_BAL x ASSET_CLASS / SYS_FLAG|loan_size|book|3</t>
        </is>
      </c>
      <c r="B3645" t="n">
        <v>0.9880141779025934</v>
      </c>
      <c r="C3645" t="n">
        <v>1.001442020998432</v>
      </c>
      <c r="D3645" t="n">
        <v>0.9949687108669153</v>
      </c>
      <c r="E3645" t="n">
        <v>1.012720310299283</v>
      </c>
      <c r="F3645" t="n">
        <v>0.9856382035890632</v>
      </c>
      <c r="G3645" t="n">
        <v>0.998047006168065</v>
      </c>
      <c r="H3645" t="n">
        <v>0.9875497969360285</v>
      </c>
      <c r="I3645" t="n">
        <v>1.001125379623654</v>
      </c>
      <c r="J3645" t="n">
        <v>0.9956266572900363</v>
      </c>
    </row>
    <row r="3646">
      <c r="A3646" t="inlineStr">
        <is>
          <t>G|ORIG_BAL x ASSET_CLASS / SYS_FLAG|loan_size|band|3</t>
        </is>
      </c>
      <c r="B3646" t="n">
        <v>0.9911767933336478</v>
      </c>
      <c r="C3646" t="n">
        <v>1.006554161797767</v>
      </c>
      <c r="D3646" t="n">
        <v>0.9992150473208891</v>
      </c>
      <c r="E3646" t="n">
        <v>1.019374897697253</v>
      </c>
      <c r="F3646" t="n">
        <v>0.9885660379328622</v>
      </c>
      <c r="G3646" t="n">
        <v>1.002719059250073</v>
      </c>
      <c r="H3646" t="n">
        <v>0.9906190883133859</v>
      </c>
      <c r="I3646" t="n">
        <v>1.006290261899313</v>
      </c>
    </row>
    <row r="3647">
      <c r="A3647" t="inlineStr">
        <is>
          <t>G|ORIG_BAL x ASSET_CLASS / SYS_FLAG|loan_size|rate|4</t>
        </is>
      </c>
      <c r="B3647" t="n">
        <v>43366.02101449276</v>
      </c>
      <c r="C3647" t="n">
        <v>43690.98163841808</v>
      </c>
      <c r="D3647" t="n">
        <v>43629.22624434389</v>
      </c>
      <c r="E3647" t="n">
        <v>43500.92226130653</v>
      </c>
      <c r="F3647" t="n">
        <v>43730.28326203208</v>
      </c>
      <c r="G3647" t="n">
        <v>43313.73974358974</v>
      </c>
      <c r="H3647" t="n">
        <v>43534.2796</v>
      </c>
      <c r="I3647" t="n">
        <v>43757.10015873016</v>
      </c>
      <c r="J3647" t="n">
        <v>43561.16230625</v>
      </c>
    </row>
    <row r="3648">
      <c r="A3648" t="inlineStr">
        <is>
          <t>G|ORIG_BAL x ASSET_CLASS / SYS_FLAG|loan_size|median|4</t>
        </is>
      </c>
      <c r="B3648" t="n">
        <v>43534.85</v>
      </c>
      <c r="C3648" t="n">
        <v>43868.39</v>
      </c>
      <c r="D3648" t="n">
        <v>43936.63</v>
      </c>
      <c r="E3648" t="n">
        <v>43424.71</v>
      </c>
      <c r="F3648" t="n">
        <v>43673.2</v>
      </c>
      <c r="G3648" t="n">
        <v>43139.16</v>
      </c>
      <c r="H3648" t="n">
        <v>43626.49</v>
      </c>
      <c r="I3648" t="n">
        <v>43291.87</v>
      </c>
      <c r="J3648" t="n">
        <v>43587.85</v>
      </c>
    </row>
    <row r="3649">
      <c r="A3649" t="inlineStr">
        <is>
          <t>G|ORIG_BAL x ASSET_CLASS / SYS_FLAG|loan_size|book|4</t>
        </is>
      </c>
      <c r="B3649" t="n">
        <v>1.344158138785409</v>
      </c>
      <c r="C3649" t="n">
        <v>1.354230505518987</v>
      </c>
      <c r="D3649" t="n">
        <v>1.352316356754197</v>
      </c>
      <c r="E3649" t="n">
        <v>1.348339491019141</v>
      </c>
      <c r="F3649" t="n">
        <v>1.355448685006346</v>
      </c>
      <c r="G3649" t="n">
        <v>1.342537646654788</v>
      </c>
      <c r="H3649" t="n">
        <v>1.349373423513849</v>
      </c>
      <c r="I3649" t="n">
        <v>1.356279892230583</v>
      </c>
      <c r="J3649" t="n">
        <v>1.350206670548121</v>
      </c>
    </row>
    <row r="3650">
      <c r="A3650" t="inlineStr">
        <is>
          <t>G|ORIG_BAL x ASSET_CLASS / SYS_FLAG|loan_size|band|4</t>
        </is>
      </c>
      <c r="B3650" t="n">
        <v>0.9948580295637411</v>
      </c>
      <c r="C3650" t="n">
        <v>1.003352092632925</v>
      </c>
      <c r="D3650" t="n">
        <v>1.00181335191104</v>
      </c>
      <c r="E3650" t="n">
        <v>0.9984209991030168</v>
      </c>
      <c r="F3650" t="n">
        <v>1.004398443175313</v>
      </c>
      <c r="G3650" t="n">
        <v>0.9935368940506997</v>
      </c>
      <c r="H3650" t="n">
        <v>0.9992819627794083</v>
      </c>
      <c r="I3650" t="n">
        <v>1.005103564322785</v>
      </c>
    </row>
    <row r="3651">
      <c r="A3651" t="inlineStr">
        <is>
          <t>G|ORIG_BAL x ASSET_CLASS / SYS_FLAG|loan_size|rate|5</t>
        </is>
      </c>
      <c r="B3651" t="n">
        <v>54616.08293577981</v>
      </c>
      <c r="C3651" t="n">
        <v>54441.84815384616</v>
      </c>
      <c r="D3651" t="n">
        <v>54565.65641791045</v>
      </c>
      <c r="E3651" t="n">
        <v>54533.2745177665</v>
      </c>
      <c r="F3651" t="n">
        <v>54780.40685840708</v>
      </c>
      <c r="G3651" t="n">
        <v>54302.95273743018</v>
      </c>
      <c r="H3651" t="n">
        <v>54848.00431924882</v>
      </c>
      <c r="I3651" t="n">
        <v>54672.08502923976</v>
      </c>
      <c r="J3651" t="n">
        <v>54603.356525</v>
      </c>
    </row>
    <row r="3652">
      <c r="A3652" t="inlineStr">
        <is>
          <t>G|ORIG_BAL x ASSET_CLASS / SYS_FLAG|loan_size|median|5</t>
        </is>
      </c>
      <c r="B3652" t="n">
        <v>54419.83</v>
      </c>
      <c r="C3652" t="n">
        <v>54077.6</v>
      </c>
      <c r="D3652" t="n">
        <v>54537.97</v>
      </c>
      <c r="E3652" t="n">
        <v>54546.42</v>
      </c>
      <c r="F3652" t="n">
        <v>54781.96000000001</v>
      </c>
      <c r="G3652" t="n">
        <v>54197.19</v>
      </c>
      <c r="H3652" t="n">
        <v>54772.37</v>
      </c>
      <c r="I3652" t="n">
        <v>54473.26</v>
      </c>
      <c r="J3652" t="n">
        <v>54496</v>
      </c>
    </row>
    <row r="3653">
      <c r="A3653" t="inlineStr">
        <is>
          <t>G|ORIG_BAL x ASSET_CLASS / SYS_FLAG|loan_size|book|5</t>
        </is>
      </c>
      <c r="B3653" t="n">
        <v>1.692861154178132</v>
      </c>
      <c r="C3653" t="n">
        <v>1.687460633339078</v>
      </c>
      <c r="D3653" t="n">
        <v>1.691298151328918</v>
      </c>
      <c r="E3653" t="n">
        <v>1.690294453189001</v>
      </c>
      <c r="F3653" t="n">
        <v>1.697954481461323</v>
      </c>
      <c r="G3653" t="n">
        <v>1.683155479210385</v>
      </c>
      <c r="H3653" t="n">
        <v>1.700049708900366</v>
      </c>
      <c r="I3653" t="n">
        <v>1.694596975633553</v>
      </c>
      <c r="J3653" t="n">
        <v>1.692466690765833</v>
      </c>
    </row>
    <row r="3654">
      <c r="A3654" t="inlineStr">
        <is>
          <t>G|ORIG_BAL x ASSET_CLASS / SYS_FLAG|loan_size|band|5</t>
        </is>
      </c>
      <c r="B3654" t="n">
        <v>1.000269845079851</v>
      </c>
      <c r="C3654" t="n">
        <v>0.9966330155883324</v>
      </c>
      <c r="D3654" t="n">
        <v>0.9992104449182829</v>
      </c>
      <c r="E3654" t="n">
        <v>0.9985365723934762</v>
      </c>
      <c r="F3654" t="n">
        <v>1.003777829421296</v>
      </c>
      <c r="G3654" t="n">
        <v>0.9938097085232874</v>
      </c>
      <c r="H3654" t="n">
        <v>1.005172070174102</v>
      </c>
      <c r="I3654" t="n">
        <v>1.001409518318017</v>
      </c>
    </row>
    <row r="3655">
      <c r="A3655" t="inlineStr">
        <is>
          <t>G|ORIG_BAL x ASSET_CLASS / SYS_FLAG|loan_size|rate|6</t>
        </is>
      </c>
    </row>
    <row r="3656">
      <c r="A3656" t="inlineStr">
        <is>
          <t>G|ORIG_BAL x ASSET_CLASS / SYS_FLAG|loan_size|median|6</t>
        </is>
      </c>
    </row>
    <row r="3657">
      <c r="A3657" t="inlineStr">
        <is>
          <t>G|ORIG_BAL x ASSET_CLASS / SYS_FLAG|loan_size|book|6</t>
        </is>
      </c>
    </row>
    <row r="3658">
      <c r="A3658" t="inlineStr">
        <is>
          <t>G|ORIG_BAL x ASSET_CLASS / SYS_FLAG|loan_size|band|6</t>
        </is>
      </c>
    </row>
    <row r="3659">
      <c r="A3659" t="inlineStr">
        <is>
          <t>G|ORIG_BAL x ASSET_CLASS / SYS_FLAG|loan_size|rate|7</t>
        </is>
      </c>
      <c r="B3659" t="n">
        <v>31594.13158038147</v>
      </c>
      <c r="C3659" t="n">
        <v>32638.1044640884</v>
      </c>
      <c r="D3659" t="n">
        <v>31782.37624434389</v>
      </c>
      <c r="E3659" t="n">
        <v>33737.65500552487</v>
      </c>
      <c r="F3659" t="n">
        <v>32908.69743842365</v>
      </c>
      <c r="G3659" t="n">
        <v>31976.60298913044</v>
      </c>
      <c r="H3659" t="n">
        <v>31986.67916967509</v>
      </c>
      <c r="I3659" t="n">
        <v>31735.82544680851</v>
      </c>
      <c r="J3659" t="n">
        <v>32262.58857732217</v>
      </c>
    </row>
    <row r="3660">
      <c r="A3660" t="inlineStr">
        <is>
          <t>G|ORIG_BAL x ASSET_CLASS / SYS_FLAG|loan_size|median|7</t>
        </is>
      </c>
      <c r="B3660" t="n">
        <v>30767.26</v>
      </c>
      <c r="C3660" t="n">
        <v>32843.59</v>
      </c>
      <c r="D3660" t="n">
        <v>31745.09</v>
      </c>
      <c r="E3660" t="n">
        <v>34831.73</v>
      </c>
      <c r="F3660" t="n">
        <v>32117.38</v>
      </c>
      <c r="G3660" t="n">
        <v>32062.34</v>
      </c>
      <c r="H3660" t="n">
        <v>31475.255</v>
      </c>
      <c r="I3660" t="n">
        <v>31537.565</v>
      </c>
      <c r="J3660" t="n">
        <v>32112.83</v>
      </c>
    </row>
    <row r="3661">
      <c r="A3661" t="inlineStr">
        <is>
          <t>G|ORIG_BAL x ASSET_CLASS / SYS_FLAG|loan_size|book|7</t>
        </is>
      </c>
      <c r="B3661" t="n">
        <v>0.9792807388861982</v>
      </c>
      <c r="C3661" t="n">
        <v>1.011639360117253</v>
      </c>
      <c r="D3661" t="n">
        <v>0.9851155051670024</v>
      </c>
      <c r="E3661" t="n">
        <v>1.045720647141114</v>
      </c>
      <c r="F3661" t="n">
        <v>1.020026566050426</v>
      </c>
      <c r="G3661" t="n">
        <v>0.9911356899491706</v>
      </c>
      <c r="H3661" t="n">
        <v>0.9914480077447655</v>
      </c>
      <c r="I3661" t="n">
        <v>0.9836726328003351</v>
      </c>
      <c r="J3661" t="n">
        <v>1</v>
      </c>
    </row>
    <row r="3662">
      <c r="A3662" t="inlineStr">
        <is>
          <t>G|ORIG_BAL x ASSET_CLASS / SYS_FLAG|loan_size|band|7</t>
        </is>
      </c>
    </row>
    <row r="3663">
      <c r="A3663" t="inlineStr">
        <is>
          <t>G|ORIG_BAL x ASSET_CLASS / SYS_FLAG|loan_size|meta</t>
        </is>
      </c>
      <c r="B3663" t="inlineStr">
        <is>
          <t>size</t>
        </is>
      </c>
      <c r="C3663" t="n">
        <v>1</v>
      </c>
      <c r="E3663" t="n">
        <v>32262.58857732217</v>
      </c>
      <c r="F3663" t="n">
        <v>65</v>
      </c>
    </row>
    <row r="3664">
      <c r="A3664" t="inlineStr">
        <is>
          <t>G|ORIG_BAL x ASSET_CLASS / SYS_FLAG|where N|cols</t>
        </is>
      </c>
      <c r="B3664" t="inlineStr">
        <is>
          <t>1 · N</t>
        </is>
      </c>
      <c r="C3664" t="inlineStr">
        <is>
          <t>1 · Y</t>
        </is>
      </c>
      <c r="D3664" t="inlineStr">
        <is>
          <t>2 · N</t>
        </is>
      </c>
      <c r="E3664" t="inlineStr">
        <is>
          <t>2 · Y</t>
        </is>
      </c>
      <c r="F3664" t="inlineStr">
        <is>
          <t>3 · N</t>
        </is>
      </c>
      <c r="G3664" t="inlineStr">
        <is>
          <t>3 · Y</t>
        </is>
      </c>
      <c r="H3664" t="inlineStr">
        <is>
          <t>4 · N</t>
        </is>
      </c>
      <c r="I3664" t="inlineStr">
        <is>
          <t>4 · Y</t>
        </is>
      </c>
      <c r="J3664" t="inlineStr">
        <is>
          <t>All</t>
        </is>
      </c>
    </row>
    <row r="3665">
      <c r="A3665" t="inlineStr">
        <is>
          <t>G|ORIG_BAL x ASSET_CLASS / SYS_FLAG|where N|heads</t>
        </is>
      </c>
      <c r="B3665" t="inlineStr">
        <is>
          <t>N</t>
        </is>
      </c>
      <c r="C3665" t="inlineStr">
        <is>
          <t>Y</t>
        </is>
      </c>
      <c r="D3665" t="inlineStr">
        <is>
          <t>N</t>
        </is>
      </c>
      <c r="E3665" t="inlineStr">
        <is>
          <t>Y</t>
        </is>
      </c>
      <c r="F3665" t="inlineStr">
        <is>
          <t>N</t>
        </is>
      </c>
      <c r="G3665" t="inlineStr">
        <is>
          <t>Y</t>
        </is>
      </c>
      <c r="H3665" t="inlineStr">
        <is>
          <t>N</t>
        </is>
      </c>
      <c r="I3665" t="inlineStr">
        <is>
          <t>Y</t>
        </is>
      </c>
      <c r="J3665" t="inlineStr">
        <is>
          <t>All</t>
        </is>
      </c>
    </row>
    <row r="3666">
      <c r="A3666" t="inlineStr">
        <is>
          <t>G|ORIG_BAL x ASSET_CLASS / SYS_FLAG|where N|segs</t>
        </is>
      </c>
      <c r="B3666" t="inlineStr">
        <is>
          <t>1</t>
        </is>
      </c>
      <c r="C3666" t="inlineStr">
        <is>
          <t>2</t>
        </is>
      </c>
      <c r="D3666" t="inlineStr">
        <is>
          <t>3</t>
        </is>
      </c>
      <c r="E3666" t="inlineStr">
        <is>
          <t>4</t>
        </is>
      </c>
    </row>
    <row r="3667">
      <c r="A3667" t="inlineStr">
        <is>
          <t>G|ORIG_BAL x ASSET_CLASS / SYS_FLAG|where N|rows</t>
        </is>
      </c>
      <c r="B3667" t="inlineStr">
        <is>
          <t>5,005 - 15,448</t>
        </is>
      </c>
      <c r="C3667" t="inlineStr">
        <is>
          <t>15,449 - 26,323</t>
        </is>
      </c>
      <c r="D3667" t="inlineStr">
        <is>
          <t>26,324 - 37,950</t>
        </is>
      </c>
      <c r="E3667" t="inlineStr">
        <is>
          <t>37,951 - 49,151</t>
        </is>
      </c>
      <c r="F3667" t="inlineStr">
        <is>
          <t>49,152 - 59,984</t>
        </is>
      </c>
      <c r="G3667" t="inlineStr">
        <is>
          <t>(blank)</t>
        </is>
      </c>
      <c r="H3667" t="inlineStr">
        <is>
          <t>All</t>
        </is>
      </c>
    </row>
    <row r="3668">
      <c r="A3668" t="inlineStr">
        <is>
          <t>G|ORIG_BAL x ASSET_CLASS / SYS_FLAG|where N|names</t>
        </is>
      </c>
      <c r="B3668" t="inlineStr">
        <is>
          <t>ORIG_BAL</t>
        </is>
      </c>
      <c r="C3668" t="inlineStr">
        <is>
          <t>ASSET_CLASS / SYS_FLAG</t>
        </is>
      </c>
    </row>
    <row r="3669">
      <c r="A3669" t="inlineStr">
        <is>
          <t>G|ORIG_BAL x ASSET_CLASS / SYS_FLAG|where N|total</t>
        </is>
      </c>
      <c r="B3669" t="n">
        <v>4329</v>
      </c>
    </row>
    <row r="3670">
      <c r="A3670" t="inlineStr">
        <is>
          <t>G|ORIG_BAL x ASSET_CLASS / SYS_FLAG|where N|loans|1</t>
        </is>
      </c>
      <c r="B3670" t="n">
        <v>237</v>
      </c>
      <c r="D3670" t="n">
        <v>244</v>
      </c>
      <c r="F3670" t="n">
        <v>170</v>
      </c>
      <c r="H3670" t="n">
        <v>229</v>
      </c>
      <c r="J3670" t="n">
        <v>880</v>
      </c>
    </row>
    <row r="3671">
      <c r="A3671" t="inlineStr">
        <is>
          <t>G|ORIG_BAL x ASSET_CLASS / SYS_FLAG|where N|loans|2</t>
        </is>
      </c>
      <c r="B3671" t="n">
        <v>224</v>
      </c>
      <c r="D3671" t="n">
        <v>186</v>
      </c>
      <c r="F3671" t="n">
        <v>234</v>
      </c>
      <c r="H3671" t="n">
        <v>223</v>
      </c>
      <c r="J3671" t="n">
        <v>867</v>
      </c>
    </row>
    <row r="3672">
      <c r="A3672" t="inlineStr">
        <is>
          <t>G|ORIG_BAL x ASSET_CLASS / SYS_FLAG|where N|loans|3</t>
        </is>
      </c>
      <c r="B3672" t="n">
        <v>215</v>
      </c>
      <c r="D3672" t="n">
        <v>253</v>
      </c>
      <c r="F3672" t="n">
        <v>198</v>
      </c>
      <c r="H3672" t="n">
        <v>218</v>
      </c>
      <c r="J3672" t="n">
        <v>884</v>
      </c>
    </row>
    <row r="3673">
      <c r="A3673" t="inlineStr">
        <is>
          <t>G|ORIG_BAL x ASSET_CLASS / SYS_FLAG|where N|loans|4</t>
        </is>
      </c>
      <c r="B3673" t="n">
        <v>207</v>
      </c>
      <c r="D3673" t="n">
        <v>221</v>
      </c>
      <c r="F3673" t="n">
        <v>187</v>
      </c>
      <c r="H3673" t="n">
        <v>225</v>
      </c>
      <c r="J3673" t="n">
        <v>840</v>
      </c>
    </row>
    <row r="3674">
      <c r="A3674" t="inlineStr">
        <is>
          <t>G|ORIG_BAL x ASSET_CLASS / SYS_FLAG|where N|loans|5</t>
        </is>
      </c>
      <c r="B3674" t="n">
        <v>218</v>
      </c>
      <c r="D3674" t="n">
        <v>201</v>
      </c>
      <c r="F3674" t="n">
        <v>226</v>
      </c>
      <c r="H3674" t="n">
        <v>213</v>
      </c>
      <c r="J3674" t="n">
        <v>858</v>
      </c>
    </row>
    <row r="3675">
      <c r="A3675" t="inlineStr">
        <is>
          <t>G|ORIG_BAL x ASSET_CLASS / SYS_FLAG|where N|loans|6</t>
        </is>
      </c>
    </row>
    <row r="3676">
      <c r="A3676" t="inlineStr">
        <is>
          <t>G|ORIG_BAL x ASSET_CLASS / SYS_FLAG|where N|loans|7</t>
        </is>
      </c>
      <c r="B3676" t="n">
        <v>1101</v>
      </c>
      <c r="D3676" t="n">
        <v>1105</v>
      </c>
      <c r="F3676" t="n">
        <v>1015</v>
      </c>
      <c r="H3676" t="n">
        <v>1108</v>
      </c>
      <c r="J3676" t="n">
        <v>4329</v>
      </c>
    </row>
    <row r="3677">
      <c r="A3677" t="inlineStr">
        <is>
          <t>G|ORIG_BAL x ASSET_CLASS / SYS_FLAG|where N|outcome_loans|rate|1</t>
        </is>
      </c>
      <c r="B3677" t="n">
        <v>0.03375527426160337</v>
      </c>
      <c r="D3677" t="n">
        <v>0.04098360655737705</v>
      </c>
      <c r="F3677" t="n">
        <v>0.06470588235294118</v>
      </c>
      <c r="H3677" t="n">
        <v>0.09606986899563319</v>
      </c>
      <c r="J3677" t="n">
        <v>0.05795454545454545</v>
      </c>
    </row>
    <row r="3678">
      <c r="A3678" t="inlineStr">
        <is>
          <t>G|ORIG_BAL x ASSET_CLASS / SYS_FLAG|where N|outcome_loans|book|1</t>
        </is>
      </c>
      <c r="D3678" t="n">
        <v>0.5296088349797399</v>
      </c>
      <c r="F3678" t="n">
        <v>0.8361588900503659</v>
      </c>
      <c r="H3678" t="n">
        <v>1.241458614048578</v>
      </c>
      <c r="J3678" t="n">
        <v>0.7489150389190776</v>
      </c>
    </row>
    <row r="3679">
      <c r="A3679" t="inlineStr">
        <is>
          <t>G|ORIG_BAL x ASSET_CLASS / SYS_FLAG|where N|outcome_loans|band|1</t>
        </is>
      </c>
      <c r="D3679" t="n">
        <v>0.6357457017193122</v>
      </c>
      <c r="F3679" t="n">
        <v>1.148529411764706</v>
      </c>
      <c r="H3679" t="n">
        <v>2.1566029212468</v>
      </c>
    </row>
    <row r="3680">
      <c r="A3680" t="inlineStr">
        <is>
          <t>G|ORIG_BAL x ASSET_CLASS / SYS_FLAG|where N|outcome_loans|rate|2</t>
        </is>
      </c>
      <c r="B3680" t="n">
        <v>0.08035714285714286</v>
      </c>
      <c r="D3680" t="n">
        <v>0.06451612903225806</v>
      </c>
      <c r="F3680" t="n">
        <v>0.08547008547008547</v>
      </c>
      <c r="H3680" t="n">
        <v>0.1165919282511211</v>
      </c>
      <c r="J3680" t="n">
        <v>0.08765859284890427</v>
      </c>
    </row>
    <row r="3681">
      <c r="A3681" t="inlineStr">
        <is>
          <t>G|ORIG_BAL x ASSET_CLASS / SYS_FLAG|where N|outcome_loans|book|2</t>
        </is>
      </c>
      <c r="B3681" t="n">
        <v>1.038411608585276</v>
      </c>
      <c r="D3681" t="n">
        <v>0.8337068111939131</v>
      </c>
      <c r="F3681" t="n">
        <v>1.104483382350911</v>
      </c>
      <c r="H3681" t="n">
        <v>1.506654013054471</v>
      </c>
      <c r="J3681" t="n">
        <v>1.132764271725986</v>
      </c>
    </row>
    <row r="3682">
      <c r="A3682" t="inlineStr">
        <is>
          <t>G|ORIG_BAL x ASSET_CLASS / SYS_FLAG|where N|outcome_loans|band|2</t>
        </is>
      </c>
      <c r="B3682" t="n">
        <v>0.8908559113300494</v>
      </c>
      <c r="D3682" t="n">
        <v>0.686491935483871</v>
      </c>
      <c r="F3682" t="n">
        <v>0.9661172161172161</v>
      </c>
      <c r="H3682" t="n">
        <v>1.50170403587444</v>
      </c>
    </row>
    <row r="3683">
      <c r="A3683" t="inlineStr">
        <is>
          <t>G|ORIG_BAL x ASSET_CLASS / SYS_FLAG|where N|outcome_loans|rate|3</t>
        </is>
      </c>
      <c r="B3683" t="n">
        <v>0.05581395348837209</v>
      </c>
      <c r="D3683" t="n">
        <v>0.03174603174603174</v>
      </c>
      <c r="F3683" t="n">
        <v>0.04545454545454546</v>
      </c>
      <c r="H3683" t="n">
        <v>0.07798165137614679</v>
      </c>
      <c r="J3683" t="n">
        <v>0.0520951302378256</v>
      </c>
    </row>
    <row r="3684">
      <c r="A3684" t="inlineStr">
        <is>
          <t>G|ORIG_BAL x ASSET_CLASS / SYS_FLAG|where N|outcome_loans|book|3</t>
        </is>
      </c>
      <c r="B3684" t="n">
        <v>0.7212533343351992</v>
      </c>
      <c r="H3684" t="n">
        <v>1.007714425456863</v>
      </c>
      <c r="J3684" t="n">
        <v>0.6731970060942923</v>
      </c>
    </row>
    <row r="3685">
      <c r="A3685" t="inlineStr">
        <is>
          <t>G|ORIG_BAL x ASSET_CLASS / SYS_FLAG|where N|outcome_loans|band|3</t>
        </is>
      </c>
      <c r="B3685" t="n">
        <v>1.096580027359781</v>
      </c>
      <c r="H3685" t="n">
        <v>1.788199936728883</v>
      </c>
    </row>
    <row r="3686">
      <c r="A3686" t="inlineStr">
        <is>
          <t>G|ORIG_BAL x ASSET_CLASS / SYS_FLAG|where N|outcome_loans|rate|4</t>
        </is>
      </c>
      <c r="B3686" t="n">
        <v>0.02898550724637681</v>
      </c>
      <c r="D3686" t="n">
        <v>0.04072398190045249</v>
      </c>
      <c r="F3686" t="n">
        <v>0.06417112299465241</v>
      </c>
      <c r="H3686" t="n">
        <v>0.07111111111111111</v>
      </c>
      <c r="J3686" t="n">
        <v>0.05119047619047619</v>
      </c>
    </row>
    <row r="3687">
      <c r="A3687" t="inlineStr">
        <is>
          <t>G|ORIG_BAL x ASSET_CLASS / SYS_FLAG|where N|outcome_loans|book|4</t>
        </is>
      </c>
      <c r="F3687" t="n">
        <v>0.8292484860003629</v>
      </c>
      <c r="H3687" t="n">
        <v>0.9189301741159576</v>
      </c>
      <c r="J3687" t="n">
        <v>0.6615066543580275</v>
      </c>
    </row>
    <row r="3688">
      <c r="A3688" t="inlineStr">
        <is>
          <t>G|ORIG_BAL x ASSET_CLASS / SYS_FLAG|where N|outcome_loans|band|4</t>
        </is>
      </c>
      <c r="F3688" t="n">
        <v>1.351733655338968</v>
      </c>
      <c r="H3688" t="n">
        <v>1.619753086419753</v>
      </c>
    </row>
    <row r="3689">
      <c r="A3689" t="inlineStr">
        <is>
          <t>G|ORIG_BAL x ASSET_CLASS / SYS_FLAG|where N|outcome_loans|rate|5</t>
        </is>
      </c>
      <c r="B3689" t="n">
        <v>0.02293577981651376</v>
      </c>
      <c r="D3689" t="n">
        <v>0.03980099502487562</v>
      </c>
      <c r="F3689" t="n">
        <v>0.03539823008849557</v>
      </c>
      <c r="H3689" t="n">
        <v>0.05633802816901409</v>
      </c>
      <c r="J3689" t="n">
        <v>0.03846153846153846</v>
      </c>
    </row>
    <row r="3690">
      <c r="A3690" t="inlineStr">
        <is>
          <t>G|ORIG_BAL x ASSET_CLASS / SYS_FLAG|where N|outcome_loans|book|5</t>
        </is>
      </c>
      <c r="H3690" t="n">
        <v>0.7280256661129946</v>
      </c>
      <c r="J3690" t="n">
        <v>0.4970175220579098</v>
      </c>
    </row>
    <row r="3691">
      <c r="A3691" t="inlineStr">
        <is>
          <t>G|ORIG_BAL x ASSET_CLASS / SYS_FLAG|where N|outcome_loans|band|5</t>
        </is>
      </c>
      <c r="H3691" t="n">
        <v>1.730382293762575</v>
      </c>
    </row>
    <row r="3692">
      <c r="A3692" t="inlineStr">
        <is>
          <t>G|ORIG_BAL x ASSET_CLASS / SYS_FLAG|where N|outcome_loans|rate|6</t>
        </is>
      </c>
    </row>
    <row r="3693">
      <c r="A3693" t="inlineStr">
        <is>
          <t>G|ORIG_BAL x ASSET_CLASS / SYS_FLAG|where N|outcome_loans|book|6</t>
        </is>
      </c>
    </row>
    <row r="3694">
      <c r="A3694" t="inlineStr">
        <is>
          <t>G|ORIG_BAL x ASSET_CLASS / SYS_FLAG|where N|outcome_loans|band|6</t>
        </is>
      </c>
    </row>
    <row r="3695">
      <c r="A3695" t="inlineStr">
        <is>
          <t>G|ORIG_BAL x ASSET_CLASS / SYS_FLAG|where N|outcome_loans|rate|7</t>
        </is>
      </c>
      <c r="B3695" t="n">
        <v>0.04450499545867393</v>
      </c>
      <c r="D3695" t="n">
        <v>0.04257246376811594</v>
      </c>
      <c r="F3695" t="n">
        <v>0.05911330049261083</v>
      </c>
      <c r="H3695" t="n">
        <v>0.08393501805054152</v>
      </c>
      <c r="J3695" t="n">
        <v>0.05753234750462107</v>
      </c>
    </row>
    <row r="3696">
      <c r="A3696" t="inlineStr">
        <is>
          <t>G|ORIG_BAL x ASSET_CLASS / SYS_FLAG|where N|outcome_loans|book|7</t>
        </is>
      </c>
      <c r="B3696" t="n">
        <v>0.5751138266137847</v>
      </c>
      <c r="D3696" t="n">
        <v>0.5501407716981573</v>
      </c>
      <c r="F3696" t="n">
        <v>0.7638889994190534</v>
      </c>
      <c r="H3696" t="n">
        <v>1.084646541819518</v>
      </c>
      <c r="J3696" t="n">
        <v>0.7434592046679547</v>
      </c>
    </row>
    <row r="3697">
      <c r="A3697" t="inlineStr">
        <is>
          <t>G|ORIG_BAL x ASSET_CLASS / SYS_FLAG|where N|outcome_loans|band|7</t>
        </is>
      </c>
    </row>
    <row r="3698">
      <c r="A3698" t="inlineStr">
        <is>
          <t>G|ORIG_BAL x ASSET_CLASS / SYS_FLAG|where N|outcome_loans|meta</t>
        </is>
      </c>
      <c r="B3698" t="inlineStr">
        <is>
          <t>x</t>
        </is>
      </c>
      <c r="C3698" t="n">
        <v>2.1566029212468</v>
      </c>
      <c r="D3698" t="n">
        <v>10</v>
      </c>
      <c r="E3698" t="n">
        <v>0.07738467308413552</v>
      </c>
      <c r="F3698" t="n">
        <v>65</v>
      </c>
    </row>
    <row r="3699">
      <c r="A3699" t="inlineStr">
        <is>
          <t>G|ORIG_BAL x ASSET_CLASS / SYS_FLAG|where N|outcome_booked|rate|1</t>
        </is>
      </c>
      <c r="B3699" t="n">
        <v>0.03679993042002801</v>
      </c>
      <c r="D3699" t="n">
        <v>0.03821151291320404</v>
      </c>
      <c r="F3699" t="n">
        <v>0.05841988256156872</v>
      </c>
      <c r="H3699" t="n">
        <v>0.09667721031344426</v>
      </c>
      <c r="J3699" t="n">
        <v>0.05676692253235505</v>
      </c>
    </row>
    <row r="3700">
      <c r="A3700" t="inlineStr">
        <is>
          <t>G|ORIG_BAL x ASSET_CLASS / SYS_FLAG|where N|outcome_booked|book|1</t>
        </is>
      </c>
      <c r="D3700" t="n">
        <v>0.5106520202919443</v>
      </c>
      <c r="F3700" t="n">
        <v>0.7807131615815879</v>
      </c>
      <c r="H3700" t="n">
        <v>1.291977443418373</v>
      </c>
      <c r="J3700" t="n">
        <v>0.7586232909110101</v>
      </c>
    </row>
    <row r="3701">
      <c r="A3701" t="inlineStr">
        <is>
          <t>G|ORIG_BAL x ASSET_CLASS / SYS_FLAG|where N|outcome_booked|band|1</t>
        </is>
      </c>
      <c r="D3701" t="n">
        <v>0.5975383052731965</v>
      </c>
      <c r="F3701" t="n">
        <v>1.036315785267434</v>
      </c>
      <c r="H3701" t="n">
        <v>2.251619929148984</v>
      </c>
    </row>
    <row r="3702">
      <c r="A3702" t="inlineStr">
        <is>
          <t>G|ORIG_BAL x ASSET_CLASS / SYS_FLAG|where N|outcome_booked|rate|2</t>
        </is>
      </c>
      <c r="B3702" t="n">
        <v>0.08089546690967853</v>
      </c>
      <c r="D3702" t="n">
        <v>0.06463109008702723</v>
      </c>
      <c r="F3702" t="n">
        <v>0.08871680626441367</v>
      </c>
      <c r="H3702" t="n">
        <v>0.113990347437634</v>
      </c>
      <c r="J3702" t="n">
        <v>0.08812095851693781</v>
      </c>
    </row>
    <row r="3703">
      <c r="A3703" t="inlineStr">
        <is>
          <t>G|ORIG_BAL x ASSET_CLASS / SYS_FLAG|where N|outcome_booked|book|2</t>
        </is>
      </c>
      <c r="B3703" t="n">
        <v>1.081072966247639</v>
      </c>
      <c r="D3703" t="n">
        <v>0.8637186599122209</v>
      </c>
      <c r="F3703" t="n">
        <v>1.185595986625204</v>
      </c>
      <c r="H3703" t="n">
        <v>1.523347200228079</v>
      </c>
      <c r="J3703" t="n">
        <v>1.177633180841353</v>
      </c>
    </row>
    <row r="3704">
      <c r="A3704" t="inlineStr">
        <is>
          <t>G|ORIG_BAL x ASSET_CLASS / SYS_FLAG|where N|outcome_booked|band|2</t>
        </is>
      </c>
      <c r="B3704" t="n">
        <v>0.8928037372761037</v>
      </c>
      <c r="D3704" t="n">
        <v>0.6833682404976514</v>
      </c>
      <c r="F3704" t="n">
        <v>1.009249663736879</v>
      </c>
      <c r="H3704" t="n">
        <v>1.44332176693069</v>
      </c>
    </row>
    <row r="3705">
      <c r="A3705" t="inlineStr">
        <is>
          <t>G|ORIG_BAL x ASSET_CLASS / SYS_FLAG|where N|outcome_booked|rate|3</t>
        </is>
      </c>
      <c r="B3705" t="n">
        <v>0.05664606303416495</v>
      </c>
      <c r="D3705" t="n">
        <v>0.0308754698179161</v>
      </c>
      <c r="F3705" t="n">
        <v>0.04518810927868743</v>
      </c>
      <c r="H3705" t="n">
        <v>0.08018408290994168</v>
      </c>
      <c r="J3705" t="n">
        <v>0.05249434506141384</v>
      </c>
    </row>
    <row r="3706">
      <c r="A3706" t="inlineStr">
        <is>
          <t>G|ORIG_BAL x ASSET_CLASS / SYS_FLAG|where N|outcome_booked|book|3</t>
        </is>
      </c>
      <c r="B3706" t="n">
        <v>0.7570081455734665</v>
      </c>
      <c r="H3706" t="n">
        <v>1.071566154060063</v>
      </c>
      <c r="J3706" t="n">
        <v>0.7015253078411994</v>
      </c>
    </row>
    <row r="3707">
      <c r="A3707" t="inlineStr">
        <is>
          <t>G|ORIG_BAL x ASSET_CLASS / SYS_FLAG|where N|outcome_booked|band|3</t>
        </is>
      </c>
      <c r="B3707" t="n">
        <v>1.107229778766627</v>
      </c>
      <c r="H3707" t="n">
        <v>1.845987453398257</v>
      </c>
    </row>
    <row r="3708">
      <c r="A3708" t="inlineStr">
        <is>
          <t>G|ORIG_BAL x ASSET_CLASS / SYS_FLAG|where N|outcome_booked|rate|4</t>
        </is>
      </c>
      <c r="B3708" t="n">
        <v>0.02991064148617389</v>
      </c>
      <c r="D3708" t="n">
        <v>0.04097025853088018</v>
      </c>
      <c r="F3708" t="n">
        <v>0.06425475681784935</v>
      </c>
      <c r="H3708" t="n">
        <v>0.07141326548255705</v>
      </c>
      <c r="J3708" t="n">
        <v>0.05161003854763531</v>
      </c>
    </row>
    <row r="3709">
      <c r="A3709" t="inlineStr">
        <is>
          <t>G|ORIG_BAL x ASSET_CLASS / SYS_FLAG|where N|outcome_booked|book|4</t>
        </is>
      </c>
      <c r="F3709" t="n">
        <v>0.8586894074812775</v>
      </c>
      <c r="H3709" t="n">
        <v>0.9543544736673172</v>
      </c>
      <c r="J3709" t="n">
        <v>0.6897075892168659</v>
      </c>
    </row>
    <row r="3710">
      <c r="A3710" t="inlineStr">
        <is>
          <t>G|ORIG_BAL x ASSET_CLASS / SYS_FLAG|where N|outcome_booked|band|4</t>
        </is>
      </c>
      <c r="F3710" t="n">
        <v>1.339453162075143</v>
      </c>
      <c r="H3710" t="n">
        <v>1.609453684791959</v>
      </c>
    </row>
    <row r="3711">
      <c r="A3711" t="inlineStr">
        <is>
          <t>G|ORIG_BAL x ASSET_CLASS / SYS_FLAG|where N|outcome_booked|rate|5</t>
        </is>
      </c>
      <c r="B3711" t="n">
        <v>0.02296048817854681</v>
      </c>
      <c r="D3711" t="n">
        <v>0.04127241320364201</v>
      </c>
      <c r="F3711" t="n">
        <v>0.03484243298522226</v>
      </c>
      <c r="H3711" t="n">
        <v>0.05749854459934164</v>
      </c>
      <c r="J3711" t="n">
        <v>0.03896998389941195</v>
      </c>
    </row>
    <row r="3712">
      <c r="A3712" t="inlineStr">
        <is>
          <t>G|ORIG_BAL x ASSET_CLASS / SYS_FLAG|where N|outcome_booked|book|5</t>
        </is>
      </c>
      <c r="H3712" t="n">
        <v>0.7684005611134618</v>
      </c>
      <c r="J3712" t="n">
        <v>0.5207880947865519</v>
      </c>
    </row>
    <row r="3713">
      <c r="A3713" t="inlineStr">
        <is>
          <t>G|ORIG_BAL x ASSET_CLASS / SYS_FLAG|where N|outcome_booked|band|5</t>
        </is>
      </c>
      <c r="H3713" t="n">
        <v>1.751403923668285</v>
      </c>
    </row>
    <row r="3714">
      <c r="A3714" t="inlineStr">
        <is>
          <t>G|ORIG_BAL x ASSET_CLASS / SYS_FLAG|where N|outcome_booked|rate|6</t>
        </is>
      </c>
    </row>
    <row r="3715">
      <c r="A3715" t="inlineStr">
        <is>
          <t>G|ORIG_BAL x ASSET_CLASS / SYS_FLAG|where N|outcome_booked|book|6</t>
        </is>
      </c>
    </row>
    <row r="3716">
      <c r="A3716" t="inlineStr">
        <is>
          <t>G|ORIG_BAL x ASSET_CLASS / SYS_FLAG|where N|outcome_booked|band|6</t>
        </is>
      </c>
    </row>
    <row r="3717">
      <c r="A3717" t="inlineStr">
        <is>
          <t>G|ORIG_BAL x ASSET_CLASS / SYS_FLAG|where N|outcome_booked|rate|7</t>
        </is>
      </c>
      <c r="B3717" t="n">
        <v>0.04006131886401176</v>
      </c>
      <c r="D3717" t="n">
        <v>0.0411699749517607</v>
      </c>
      <c r="F3717" t="n">
        <v>0.05299436180913607</v>
      </c>
      <c r="H3717" t="n">
        <v>0.07585305848656564</v>
      </c>
      <c r="J3717" t="n">
        <v>0.05260097895035094</v>
      </c>
    </row>
    <row r="3718">
      <c r="A3718" t="inlineStr">
        <is>
          <t>G|ORIG_BAL x ASSET_CLASS / SYS_FLAG|where N|outcome_booked|book|7</t>
        </is>
      </c>
      <c r="B3718" t="n">
        <v>0.5353725056617246</v>
      </c>
      <c r="D3718" t="n">
        <v>0.5501883930175567</v>
      </c>
      <c r="F3718" t="n">
        <v>0.7082074447925457</v>
      </c>
      <c r="H3718" t="n">
        <v>1.013687096071587</v>
      </c>
      <c r="J3718" t="n">
        <v>0.7029503446080243</v>
      </c>
    </row>
    <row r="3719">
      <c r="A3719" t="inlineStr">
        <is>
          <t>G|ORIG_BAL x ASSET_CLASS / SYS_FLAG|where N|outcome_booked|band|7</t>
        </is>
      </c>
    </row>
    <row r="3720">
      <c r="A3720" t="inlineStr">
        <is>
          <t>G|ORIG_BAL x ASSET_CLASS / SYS_FLAG|where N|outcome_booked|meta</t>
        </is>
      </c>
      <c r="B3720" t="inlineStr">
        <is>
          <t>x</t>
        </is>
      </c>
      <c r="C3720" t="n">
        <v>2.251619929148984</v>
      </c>
      <c r="D3720" t="n">
        <v>10</v>
      </c>
      <c r="E3720" t="n">
        <v>0.07482886857347235</v>
      </c>
      <c r="F3720" t="n">
        <v>65</v>
      </c>
    </row>
    <row r="3721">
      <c r="A3721" t="inlineStr">
        <is>
          <t>G|ORIG_BAL x ASSET_CLASS / SYS_FLAG|where N|gco_rate|rate|1</t>
        </is>
      </c>
      <c r="B3721" t="n">
        <v>0.02158221099364878</v>
      </c>
      <c r="D3721" t="n">
        <v>0.02050027446357541</v>
      </c>
      <c r="F3721" t="n">
        <v>0.03353180345793035</v>
      </c>
      <c r="H3721" t="n">
        <v>0.04764406554314145</v>
      </c>
      <c r="J3721" t="n">
        <v>0.03028865191912375</v>
      </c>
    </row>
    <row r="3722">
      <c r="A3722" t="inlineStr">
        <is>
          <t>G|ORIG_BAL x ASSET_CLASS / SYS_FLAG|where N|gco_rate|book|1</t>
        </is>
      </c>
      <c r="D3722" t="n">
        <v>0.4927326937907987</v>
      </c>
      <c r="F3722" t="n">
        <v>0.8059509581125891</v>
      </c>
      <c r="H3722" t="n">
        <v>1.145145095492692</v>
      </c>
      <c r="J3722" t="n">
        <v>0.7280004508192712</v>
      </c>
    </row>
    <row r="3723">
      <c r="A3723" t="inlineStr">
        <is>
          <t>G|ORIG_BAL x ASSET_CLASS / SYS_FLAG|where N|gco_rate|band|1</t>
        </is>
      </c>
      <c r="D3723" t="n">
        <v>0.6015878486647732</v>
      </c>
      <c r="F3723" t="n">
        <v>1.136089468421009</v>
      </c>
      <c r="H3723" t="n">
        <v>1.962724982777365</v>
      </c>
    </row>
    <row r="3724">
      <c r="A3724" t="inlineStr">
        <is>
          <t>G|ORIG_BAL x ASSET_CLASS / SYS_FLAG|where N|gco_rate|rate|2</t>
        </is>
      </c>
      <c r="B3724" t="n">
        <v>0.04512999745407575</v>
      </c>
      <c r="D3724" t="n">
        <v>0.03837919816974449</v>
      </c>
      <c r="F3724" t="n">
        <v>0.05128330326744554</v>
      </c>
      <c r="H3724" t="n">
        <v>0.06450238386420175</v>
      </c>
      <c r="J3724" t="n">
        <v>0.05037744192296543</v>
      </c>
    </row>
    <row r="3725">
      <c r="A3725" t="inlineStr">
        <is>
          <t>G|ORIG_BAL x ASSET_CLASS / SYS_FLAG|where N|gco_rate|book|2</t>
        </is>
      </c>
      <c r="B3725" t="n">
        <v>1.084718414664597</v>
      </c>
      <c r="D3725" t="n">
        <v>0.9224601228295422</v>
      </c>
      <c r="F3725" t="n">
        <v>1.232615700358375</v>
      </c>
      <c r="H3725" t="n">
        <v>1.550341846096102</v>
      </c>
      <c r="J3725" t="n">
        <v>1.210842943058969</v>
      </c>
    </row>
    <row r="3726">
      <c r="A3726" t="inlineStr">
        <is>
          <t>G|ORIG_BAL x ASSET_CLASS / SYS_FLAG|where N|gco_rate|band|2</t>
        </is>
      </c>
      <c r="B3726" t="n">
        <v>0.8648263917598132</v>
      </c>
      <c r="D3726" t="n">
        <v>0.715026488344188</v>
      </c>
      <c r="F3726" t="n">
        <v>1.024699035378357</v>
      </c>
      <c r="H3726" t="n">
        <v>1.421221425359867</v>
      </c>
    </row>
    <row r="3727">
      <c r="A3727" t="inlineStr">
        <is>
          <t>G|ORIG_BAL x ASSET_CLASS / SYS_FLAG|where N|gco_rate|rate|3</t>
        </is>
      </c>
      <c r="B3727" t="n">
        <v>0.03343753926611142</v>
      </c>
      <c r="D3727" t="n">
        <v>0.0175316537276591</v>
      </c>
      <c r="F3727" t="n">
        <v>0.02824016270041421</v>
      </c>
      <c r="H3727" t="n">
        <v>0.04374582534514742</v>
      </c>
      <c r="J3727" t="n">
        <v>0.03023717386085458</v>
      </c>
    </row>
    <row r="3728">
      <c r="A3728" t="inlineStr">
        <is>
          <t>G|ORIG_BAL x ASSET_CLASS / SYS_FLAG|where N|gco_rate|book|3</t>
        </is>
      </c>
      <c r="B3728" t="n">
        <v>0.8036852787312968</v>
      </c>
      <c r="H3728" t="n">
        <v>1.05144925755579</v>
      </c>
      <c r="J3728" t="n">
        <v>0.7267631541007734</v>
      </c>
    </row>
    <row r="3729">
      <c r="A3729" t="inlineStr">
        <is>
          <t>G|ORIG_BAL x ASSET_CLASS / SYS_FLAG|where N|gco_rate|band|3</t>
        </is>
      </c>
      <c r="B3729" t="n">
        <v>1.144709550712721</v>
      </c>
      <c r="H3729" t="n">
        <v>1.693858277472971</v>
      </c>
    </row>
    <row r="3730">
      <c r="A3730" t="inlineStr">
        <is>
          <t>G|ORIG_BAL x ASSET_CLASS / SYS_FLAG|where N|gco_rate|rate|4</t>
        </is>
      </c>
      <c r="B3730" t="n">
        <v>0.0197137893080877</v>
      </c>
      <c r="D3730" t="n">
        <v>0.0266070327924772</v>
      </c>
      <c r="F3730" t="n">
        <v>0.03638140862888396</v>
      </c>
      <c r="H3730" t="n">
        <v>0.03905991768789436</v>
      </c>
      <c r="J3730" t="n">
        <v>0.03044551141022513</v>
      </c>
    </row>
    <row r="3731">
      <c r="A3731" t="inlineStr">
        <is>
          <t>G|ORIG_BAL x ASSET_CLASS / SYS_FLAG|where N|gco_rate|book|4</t>
        </is>
      </c>
      <c r="F3731" t="n">
        <v>0.8744424134157333</v>
      </c>
      <c r="H3731" t="n">
        <v>0.9388215019169254</v>
      </c>
      <c r="J3731" t="n">
        <v>0.7317706344689764</v>
      </c>
    </row>
    <row r="3732">
      <c r="A3732" t="inlineStr">
        <is>
          <t>G|ORIG_BAL x ASSET_CLASS / SYS_FLAG|where N|gco_rate|band|4</t>
        </is>
      </c>
      <c r="F3732" t="n">
        <v>1.266110995020215</v>
      </c>
      <c r="H3732" t="n">
        <v>1.431190260668067</v>
      </c>
    </row>
    <row r="3733">
      <c r="A3733" t="inlineStr">
        <is>
          <t>G|ORIG_BAL x ASSET_CLASS / SYS_FLAG|where N|gco_rate|rate|5</t>
        </is>
      </c>
      <c r="B3733" t="n">
        <v>0.01490243563434412</v>
      </c>
      <c r="D3733" t="n">
        <v>0.02383718764570459</v>
      </c>
      <c r="F3733" t="n">
        <v>0.0170654622375865</v>
      </c>
      <c r="H3733" t="n">
        <v>0.03409135898201892</v>
      </c>
      <c r="J3733" t="n">
        <v>0.0223368630815147</v>
      </c>
    </row>
    <row r="3734">
      <c r="A3734" t="inlineStr">
        <is>
          <t>G|ORIG_BAL x ASSET_CLASS / SYS_FLAG|where N|gco_rate|book|5</t>
        </is>
      </c>
      <c r="H3734" t="n">
        <v>0.8194001097910001</v>
      </c>
      <c r="J3734" t="n">
        <v>0.536875871420476</v>
      </c>
    </row>
    <row r="3735">
      <c r="A3735" t="inlineStr">
        <is>
          <t>G|ORIG_BAL x ASSET_CLASS / SYS_FLAG|where N|gco_rate|band|5</t>
        </is>
      </c>
      <c r="H3735" t="n">
        <v>1.848606949303161</v>
      </c>
    </row>
    <row r="3736">
      <c r="A3736" t="inlineStr">
        <is>
          <t>G|ORIG_BAL x ASSET_CLASS / SYS_FLAG|where N|gco_rate|rate|6</t>
        </is>
      </c>
    </row>
    <row r="3737">
      <c r="A3737" t="inlineStr">
        <is>
          <t>G|ORIG_BAL x ASSET_CLASS / SYS_FLAG|where N|gco_rate|book|6</t>
        </is>
      </c>
    </row>
    <row r="3738">
      <c r="A3738" t="inlineStr">
        <is>
          <t>G|ORIG_BAL x ASSET_CLASS / SYS_FLAG|where N|gco_rate|band|6</t>
        </is>
      </c>
    </row>
    <row r="3739">
      <c r="A3739" t="inlineStr">
        <is>
          <t>G|ORIG_BAL x ASSET_CLASS / SYS_FLAG|where N|gco_rate|rate|7</t>
        </is>
      </c>
      <c r="B3739" t="n">
        <v>0.02428726127203878</v>
      </c>
      <c r="D3739" t="n">
        <v>0.02451582735282238</v>
      </c>
      <c r="F3739" t="n">
        <v>0.02969455401340456</v>
      </c>
      <c r="H3739" t="n">
        <v>0.04228479189813641</v>
      </c>
      <c r="J3739" t="n">
        <v>0.03024578450313006</v>
      </c>
    </row>
    <row r="3740">
      <c r="A3740" t="inlineStr">
        <is>
          <t>G|ORIG_BAL x ASSET_CLASS / SYS_FLAG|where N|gco_rate|book|7</t>
        </is>
      </c>
      <c r="B3740" t="n">
        <v>0.5837545098547645</v>
      </c>
      <c r="D3740" t="n">
        <v>0.58924819145858</v>
      </c>
      <c r="F3740" t="n">
        <v>0.713721058512568</v>
      </c>
      <c r="H3740" t="n">
        <v>1.016332705953357</v>
      </c>
      <c r="J3740" t="n">
        <v>0.7269701144988503</v>
      </c>
    </row>
    <row r="3741">
      <c r="A3741" t="inlineStr">
        <is>
          <t>G|ORIG_BAL x ASSET_CLASS / SYS_FLAG|where N|gco_rate|band|7</t>
        </is>
      </c>
    </row>
    <row r="3742">
      <c r="A3742" t="inlineStr">
        <is>
          <t>G|ORIG_BAL x ASSET_CLASS / SYS_FLAG|where N|gco_rate|meta</t>
        </is>
      </c>
      <c r="B3742" t="inlineStr">
        <is>
          <t>x</t>
        </is>
      </c>
      <c r="C3742" t="n">
        <v>1.962724982777365</v>
      </c>
      <c r="D3742" t="n">
        <v>10</v>
      </c>
      <c r="E3742" t="n">
        <v>0.04160526533333565</v>
      </c>
      <c r="F3742" t="n">
        <v>65</v>
      </c>
    </row>
    <row r="3743">
      <c r="A3743" t="inlineStr">
        <is>
          <t>G|ORIG_BAL x ASSET_CLASS / SYS_FLAG|where N|ranr_rate|rate|1</t>
        </is>
      </c>
      <c r="B3743" t="n">
        <v>0.176239434966219</v>
      </c>
      <c r="D3743" t="n">
        <v>0.1603051910266928</v>
      </c>
      <c r="F3743" t="n">
        <v>0.1528983361923</v>
      </c>
      <c r="H3743" t="n">
        <v>0.1465345434258317</v>
      </c>
      <c r="J3743" t="n">
        <v>0.1596536367322222</v>
      </c>
    </row>
    <row r="3744">
      <c r="A3744" t="inlineStr">
        <is>
          <t>G|ORIG_BAL x ASSET_CLASS / SYS_FLAG|where N|ranr_rate|book|1</t>
        </is>
      </c>
      <c r="B3744" t="n">
        <v>4.824938532</v>
      </c>
      <c r="D3744" t="n">
        <v>3.231514138</v>
      </c>
      <c r="F3744" t="n">
        <v>2.490828654</v>
      </c>
      <c r="H3744" t="n">
        <v>1.854449378</v>
      </c>
      <c r="J3744" t="n">
        <v>3.166358708</v>
      </c>
    </row>
    <row r="3745">
      <c r="A3745" t="inlineStr">
        <is>
          <t>G|ORIG_BAL x ASSET_CLASS / SYS_FLAG|where N|ranr_rate|band|1</t>
        </is>
      </c>
      <c r="B3745" t="n">
        <v>2.275259187</v>
      </c>
      <c r="D3745" t="n">
        <v>0.090371835</v>
      </c>
      <c r="F3745" t="n">
        <v>-0.836654843</v>
      </c>
      <c r="H3745" t="n">
        <v>-1.766527722</v>
      </c>
    </row>
    <row r="3746">
      <c r="A3746" t="inlineStr">
        <is>
          <t>G|ORIG_BAL x ASSET_CLASS / SYS_FLAG|where N|ranr_rate|rate|2</t>
        </is>
      </c>
      <c r="B3746" t="n">
        <v>0.1469879840652782</v>
      </c>
      <c r="D3746" t="n">
        <v>0.1255047377985213</v>
      </c>
      <c r="F3746" t="n">
        <v>0.1203622319666544</v>
      </c>
      <c r="H3746" t="n">
        <v>0.09377246264905374</v>
      </c>
      <c r="J3746" t="n">
        <v>0.1213459153188463</v>
      </c>
    </row>
    <row r="3747">
      <c r="A3747" t="inlineStr">
        <is>
          <t>G|ORIG_BAL x ASSET_CLASS / SYS_FLAG|where N|ranr_rate|book|2</t>
        </is>
      </c>
      <c r="B3747" t="n">
        <v>1.899793442</v>
      </c>
      <c r="D3747" t="n">
        <v>-0.248531185</v>
      </c>
      <c r="F3747" t="n">
        <v>-0.762781768</v>
      </c>
      <c r="H3747" t="n">
        <v>-3.4217587</v>
      </c>
      <c r="J3747" t="n">
        <v>-0.664413433</v>
      </c>
    </row>
    <row r="3748">
      <c r="A3748" t="inlineStr">
        <is>
          <t>G|ORIG_BAL x ASSET_CLASS / SYS_FLAG|where N|ranr_rate|band|2</t>
        </is>
      </c>
      <c r="B3748" t="n">
        <v>3.446938145</v>
      </c>
      <c r="D3748" t="n">
        <v>0.5301893050000001</v>
      </c>
      <c r="F3748" t="n">
        <v>-0.134231131</v>
      </c>
      <c r="H3748" t="n">
        <v>-3.731891014</v>
      </c>
    </row>
    <row r="3749">
      <c r="A3749" t="inlineStr">
        <is>
          <t>G|ORIG_BAL x ASSET_CLASS / SYS_FLAG|where N|ranr_rate|rate|3</t>
        </is>
      </c>
      <c r="B3749" t="n">
        <v>0.1390020442669093</v>
      </c>
      <c r="D3749" t="n">
        <v>0.1391589892053816</v>
      </c>
      <c r="F3749" t="n">
        <v>0.1339264829545374</v>
      </c>
      <c r="H3749" t="n">
        <v>0.1336109603303161</v>
      </c>
      <c r="J3749" t="n">
        <v>0.136587610943413</v>
      </c>
    </row>
    <row r="3750">
      <c r="A3750" t="inlineStr">
        <is>
          <t>G|ORIG_BAL x ASSET_CLASS / SYS_FLAG|where N|ranr_rate|book|3</t>
        </is>
      </c>
      <c r="B3750" t="n">
        <v>1.101199462</v>
      </c>
      <c r="D3750" t="n">
        <v>1.116893956</v>
      </c>
      <c r="F3750" t="n">
        <v>0.593643331</v>
      </c>
      <c r="H3750" t="n">
        <v>0.562091068</v>
      </c>
      <c r="J3750" t="n">
        <v>0.85975613</v>
      </c>
    </row>
    <row r="3751">
      <c r="A3751" t="inlineStr">
        <is>
          <t>G|ORIG_BAL x ASSET_CLASS / SYS_FLAG|where N|ranr_rate|band|3</t>
        </is>
      </c>
      <c r="B3751" t="n">
        <v>0.318898038</v>
      </c>
      <c r="D3751" t="n">
        <v>0.361058463</v>
      </c>
      <c r="F3751" t="n">
        <v>-0.342549148</v>
      </c>
      <c r="H3751" t="n">
        <v>-0.394862765</v>
      </c>
    </row>
    <row r="3752">
      <c r="A3752" t="inlineStr">
        <is>
          <t>G|ORIG_BAL x ASSET_CLASS / SYS_FLAG|where N|ranr_rate|rate|4</t>
        </is>
      </c>
      <c r="B3752" t="n">
        <v>0.140071043511119</v>
      </c>
      <c r="D3752" t="n">
        <v>0.1476099886963977</v>
      </c>
      <c r="F3752" t="n">
        <v>0.1406694530167586</v>
      </c>
      <c r="H3752" t="n">
        <v>0.1371560416648463</v>
      </c>
      <c r="J3752" t="n">
        <v>0.1414110073367784</v>
      </c>
    </row>
    <row r="3753">
      <c r="A3753" t="inlineStr">
        <is>
          <t>G|ORIG_BAL x ASSET_CLASS / SYS_FLAG|where N|ranr_rate|book|4</t>
        </is>
      </c>
      <c r="B3753" t="n">
        <v>1.208099386</v>
      </c>
      <c r="D3753" t="n">
        <v>1.961993905</v>
      </c>
      <c r="F3753" t="n">
        <v>1.267940337</v>
      </c>
      <c r="H3753" t="n">
        <v>0.916599202</v>
      </c>
      <c r="J3753" t="n">
        <v>1.342095769</v>
      </c>
    </row>
    <row r="3754">
      <c r="A3754" t="inlineStr">
        <is>
          <t>G|ORIG_BAL x ASSET_CLASS / SYS_FLAG|where N|ranr_rate|band|4</t>
        </is>
      </c>
      <c r="B3754" t="n">
        <v>-0.177554645</v>
      </c>
      <c r="D3754" t="n">
        <v>0.841686482</v>
      </c>
      <c r="F3754" t="n">
        <v>-0.095497373</v>
      </c>
      <c r="H3754" t="n">
        <v>-0.581033553</v>
      </c>
    </row>
    <row r="3755">
      <c r="A3755" t="inlineStr">
        <is>
          <t>G|ORIG_BAL x ASSET_CLASS / SYS_FLAG|where N|ranr_rate|rate|5</t>
        </is>
      </c>
      <c r="B3755" t="n">
        <v>0.1530163316614484</v>
      </c>
      <c r="D3755" t="n">
        <v>0.1454540254647117</v>
      </c>
      <c r="F3755" t="n">
        <v>0.1434917227991685</v>
      </c>
      <c r="H3755" t="n">
        <v>0.1364650676468008</v>
      </c>
      <c r="J3755" t="n">
        <v>0.1446173821485803</v>
      </c>
    </row>
    <row r="3756">
      <c r="A3756" t="inlineStr">
        <is>
          <t>G|ORIG_BAL x ASSET_CLASS / SYS_FLAG|where N|ranr_rate|book|5</t>
        </is>
      </c>
      <c r="B3756" t="n">
        <v>2.502628201</v>
      </c>
      <c r="D3756" t="n">
        <v>1.746397582</v>
      </c>
      <c r="F3756" t="n">
        <v>1.550167315</v>
      </c>
      <c r="H3756" t="n">
        <v>0.8475018</v>
      </c>
      <c r="J3756" t="n">
        <v>1.66273325</v>
      </c>
    </row>
    <row r="3757">
      <c r="A3757" t="inlineStr">
        <is>
          <t>G|ORIG_BAL x ASSET_CLASS / SYS_FLAG|where N|ranr_rate|band|5</t>
        </is>
      </c>
      <c r="B3757" t="n">
        <v>1.125360218</v>
      </c>
      <c r="D3757" t="n">
        <v>0.109175113</v>
      </c>
      <c r="F3757" t="n">
        <v>-0.15289418</v>
      </c>
      <c r="H3757" t="n">
        <v>-1.085383545</v>
      </c>
    </row>
    <row r="3758">
      <c r="A3758" t="inlineStr">
        <is>
          <t>G|ORIG_BAL x ASSET_CLASS / SYS_FLAG|where N|ranr_rate|rate|6</t>
        </is>
      </c>
    </row>
    <row r="3759">
      <c r="A3759" t="inlineStr">
        <is>
          <t>G|ORIG_BAL x ASSET_CLASS / SYS_FLAG|where N|ranr_rate|book|6</t>
        </is>
      </c>
    </row>
    <row r="3760">
      <c r="A3760" t="inlineStr">
        <is>
          <t>G|ORIG_BAL x ASSET_CLASS / SYS_FLAG|where N|ranr_rate|band|6</t>
        </is>
      </c>
    </row>
    <row r="3761">
      <c r="A3761" t="inlineStr">
        <is>
          <t>G|ORIG_BAL x ASSET_CLASS / SYS_FLAG|where N|ranr_rate|rate|7</t>
        </is>
      </c>
      <c r="B3761" t="n">
        <v>0.147728983035105</v>
      </c>
      <c r="D3761" t="n">
        <v>0.1434312623085464</v>
      </c>
      <c r="F3761" t="n">
        <v>0.1381391917896836</v>
      </c>
      <c r="H3761" t="n">
        <v>0.131065555320466</v>
      </c>
      <c r="J3761" t="n">
        <v>0.1400760724959788</v>
      </c>
    </row>
    <row r="3762">
      <c r="A3762" t="inlineStr">
        <is>
          <t>G|ORIG_BAL x ASSET_CLASS / SYS_FLAG|where N|ranr_rate|book|7</t>
        </is>
      </c>
      <c r="B3762" t="n">
        <v>1.973893339</v>
      </c>
      <c r="D3762" t="n">
        <v>1.544121266</v>
      </c>
      <c r="F3762" t="n">
        <v>1.014914214</v>
      </c>
      <c r="H3762" t="n">
        <v>0.307550567</v>
      </c>
      <c r="J3762" t="n">
        <v>1.208602285</v>
      </c>
    </row>
    <row r="3763">
      <c r="A3763" t="inlineStr">
        <is>
          <t>G|ORIG_BAL x ASSET_CLASS / SYS_FLAG|where N|ranr_rate|band|7</t>
        </is>
      </c>
    </row>
    <row r="3764">
      <c r="A3764" t="inlineStr">
        <is>
          <t>G|ORIG_BAL x ASSET_CLASS / SYS_FLAG|where N|ranr_rate|meta</t>
        </is>
      </c>
      <c r="B3764" t="inlineStr">
        <is>
          <t>pts</t>
        </is>
      </c>
      <c r="C3764" t="n">
        <v>4.824938532</v>
      </c>
      <c r="D3764" t="n">
        <v>10</v>
      </c>
      <c r="E3764" t="n">
        <v>0.1279900496481481</v>
      </c>
      <c r="F3764" t="n">
        <v>65</v>
      </c>
    </row>
    <row r="3765">
      <c r="A3765" t="inlineStr">
        <is>
          <t>G|ORIG_BAL x ASSET_CLASS / SYS_FLAG|where N|contribution_rate|rate|1</t>
        </is>
      </c>
      <c r="B3765" t="n">
        <v>0.1978216459598678</v>
      </c>
      <c r="D3765" t="n">
        <v>0.1808054654902682</v>
      </c>
      <c r="F3765" t="n">
        <v>0.1864301396502303</v>
      </c>
      <c r="H3765" t="n">
        <v>0.1941786089689732</v>
      </c>
      <c r="J3765" t="n">
        <v>0.189942288651346</v>
      </c>
    </row>
    <row r="3766">
      <c r="A3766" t="inlineStr">
        <is>
          <t>G|ORIG_BAL x ASSET_CLASS / SYS_FLAG|where N|contribution_rate|book|1</t>
        </is>
      </c>
      <c r="B3766" t="n">
        <v>2.822919022</v>
      </c>
      <c r="D3766" t="n">
        <v>1.121300976</v>
      </c>
      <c r="F3766" t="n">
        <v>1.683768392</v>
      </c>
      <c r="H3766" t="n">
        <v>2.458615323</v>
      </c>
      <c r="J3766" t="n">
        <v>2.034983292</v>
      </c>
    </row>
    <row r="3767">
      <c r="A3767" t="inlineStr">
        <is>
          <t>G|ORIG_BAL x ASSET_CLASS / SYS_FLAG|where N|contribution_rate|band|1</t>
        </is>
      </c>
      <c r="B3767" t="n">
        <v>1.080899445</v>
      </c>
      <c r="D3767" t="n">
        <v>-1.267294958</v>
      </c>
      <c r="F3767" t="n">
        <v>-0.434985306</v>
      </c>
      <c r="H3767" t="n">
        <v>0.570434031</v>
      </c>
    </row>
    <row r="3768">
      <c r="A3768" t="inlineStr">
        <is>
          <t>G|ORIG_BAL x ASSET_CLASS / SYS_FLAG|where N|contribution_rate|rate|2</t>
        </is>
      </c>
      <c r="B3768" t="n">
        <v>0.192117981519354</v>
      </c>
      <c r="D3768" t="n">
        <v>0.1638839359682658</v>
      </c>
      <c r="F3768" t="n">
        <v>0.1716455352340999</v>
      </c>
      <c r="H3768" t="n">
        <v>0.1582748465132555</v>
      </c>
      <c r="J3768" t="n">
        <v>0.1717233572418117</v>
      </c>
    </row>
    <row r="3769">
      <c r="A3769" t="inlineStr">
        <is>
          <t>G|ORIG_BAL x ASSET_CLASS / SYS_FLAG|where N|contribution_rate|book|2</t>
        </is>
      </c>
      <c r="B3769" t="n">
        <v>2.252552578</v>
      </c>
      <c r="D3769" t="n">
        <v>-0.570851977</v>
      </c>
      <c r="F3769" t="n">
        <v>0.20530795</v>
      </c>
      <c r="H3769" t="n">
        <v>-1.131760922</v>
      </c>
      <c r="J3769" t="n">
        <v>0.213090151</v>
      </c>
    </row>
    <row r="3770">
      <c r="A3770" t="inlineStr">
        <is>
          <t>G|ORIG_BAL x ASSET_CLASS / SYS_FLAG|where N|contribution_rate|band|2</t>
        </is>
      </c>
      <c r="B3770" t="n">
        <v>2.741549798</v>
      </c>
      <c r="D3770" t="n">
        <v>-0.999412053</v>
      </c>
      <c r="F3770" t="n">
        <v>-0.010619409</v>
      </c>
      <c r="H3770" t="n">
        <v>-1.820170181</v>
      </c>
    </row>
    <row r="3771">
      <c r="A3771" t="inlineStr">
        <is>
          <t>G|ORIG_BAL x ASSET_CLASS / SYS_FLAG|where N|contribution_rate|rate|3</t>
        </is>
      </c>
      <c r="B3771" t="n">
        <v>0.1724395835330208</v>
      </c>
      <c r="D3771" t="n">
        <v>0.1566906429330407</v>
      </c>
      <c r="F3771" t="n">
        <v>0.1621666456549517</v>
      </c>
      <c r="H3771" t="n">
        <v>0.1773567856754636</v>
      </c>
      <c r="J3771" t="n">
        <v>0.1668247848042676</v>
      </c>
    </row>
    <row r="3772">
      <c r="A3772" t="inlineStr">
        <is>
          <t>G|ORIG_BAL x ASSET_CLASS / SYS_FLAG|where N|contribution_rate|book|3</t>
        </is>
      </c>
      <c r="B3772" t="n">
        <v>0.28471278</v>
      </c>
      <c r="D3772" t="n">
        <v>-1.29018128</v>
      </c>
      <c r="F3772" t="n">
        <v>-0.742581008</v>
      </c>
      <c r="H3772" t="n">
        <v>0.776432994</v>
      </c>
      <c r="J3772" t="n">
        <v>-0.276767093</v>
      </c>
    </row>
    <row r="3773">
      <c r="A3773" t="inlineStr">
        <is>
          <t>G|ORIG_BAL x ASSET_CLASS / SYS_FLAG|where N|contribution_rate|band|3</t>
        </is>
      </c>
      <c r="B3773" t="n">
        <v>0.741601883</v>
      </c>
      <c r="D3773" t="n">
        <v>-1.422979162</v>
      </c>
      <c r="F3773" t="n">
        <v>-0.599610993</v>
      </c>
      <c r="H3773" t="n">
        <v>1.397105514</v>
      </c>
    </row>
    <row r="3774">
      <c r="A3774" t="inlineStr">
        <is>
          <t>G|ORIG_BAL x ASSET_CLASS / SYS_FLAG|where N|contribution_rate|rate|4</t>
        </is>
      </c>
      <c r="B3774" t="n">
        <v>0.1597559262386171</v>
      </c>
      <c r="D3774" t="n">
        <v>0.1742170214888749</v>
      </c>
      <c r="F3774" t="n">
        <v>0.1770508616456425</v>
      </c>
      <c r="H3774" t="n">
        <v>0.1762159593527407</v>
      </c>
      <c r="J3774" t="n">
        <v>0.1718509057779426</v>
      </c>
    </row>
    <row r="3775">
      <c r="A3775" t="inlineStr">
        <is>
          <t>G|ORIG_BAL x ASSET_CLASS / SYS_FLAG|where N|contribution_rate|book|4</t>
        </is>
      </c>
      <c r="B3775" t="n">
        <v>-0.98365295</v>
      </c>
      <c r="D3775" t="n">
        <v>0.462456575</v>
      </c>
      <c r="F3775" t="n">
        <v>0.745840591</v>
      </c>
      <c r="H3775" t="n">
        <v>0.662350362</v>
      </c>
      <c r="J3775" t="n">
        <v>0.225845004</v>
      </c>
    </row>
    <row r="3776">
      <c r="A3776" t="inlineStr">
        <is>
          <t>G|ORIG_BAL x ASSET_CLASS / SYS_FLAG|where N|contribution_rate|band|4</t>
        </is>
      </c>
      <c r="B3776" t="n">
        <v>-1.600931846</v>
      </c>
      <c r="D3776" t="n">
        <v>0.321391756</v>
      </c>
      <c r="F3776" t="n">
        <v>0.669859675</v>
      </c>
      <c r="H3776" t="n">
        <v>0.596303176</v>
      </c>
    </row>
    <row r="3777">
      <c r="A3777" t="inlineStr">
        <is>
          <t>G|ORIG_BAL x ASSET_CLASS / SYS_FLAG|where N|contribution_rate|rate|5</t>
        </is>
      </c>
      <c r="B3777" t="n">
        <v>0.1679187672957926</v>
      </c>
      <c r="D3777" t="n">
        <v>0.1692912131104163</v>
      </c>
      <c r="F3777" t="n">
        <v>0.160557185036755</v>
      </c>
      <c r="H3777" t="n">
        <v>0.1705564266288198</v>
      </c>
      <c r="J3777" t="n">
        <v>0.166954245230095</v>
      </c>
    </row>
    <row r="3778">
      <c r="A3778" t="inlineStr">
        <is>
          <t>G|ORIG_BAL x ASSET_CLASS / SYS_FLAG|where N|contribution_rate|book|5</t>
        </is>
      </c>
      <c r="B3778" t="n">
        <v>-0.167368844</v>
      </c>
      <c r="D3778" t="n">
        <v>-0.030124262</v>
      </c>
      <c r="F3778" t="n">
        <v>-0.90352707</v>
      </c>
      <c r="H3778" t="n">
        <v>0.09639708900000001</v>
      </c>
      <c r="J3778" t="n">
        <v>-0.26382105</v>
      </c>
    </row>
    <row r="3779">
      <c r="A3779" t="inlineStr">
        <is>
          <t>G|ORIG_BAL x ASSET_CLASS / SYS_FLAG|where N|contribution_rate|band|5</t>
        </is>
      </c>
      <c r="B3779" t="n">
        <v>0.129234586</v>
      </c>
      <c r="D3779" t="n">
        <v>0.304955204</v>
      </c>
      <c r="F3779" t="n">
        <v>-0.868889216</v>
      </c>
      <c r="H3779" t="n">
        <v>0.479587535</v>
      </c>
    </row>
    <row r="3780">
      <c r="A3780" t="inlineStr">
        <is>
          <t>G|ORIG_BAL x ASSET_CLASS / SYS_FLAG|where N|contribution_rate|rate|6</t>
        </is>
      </c>
    </row>
    <row r="3781">
      <c r="A3781" t="inlineStr">
        <is>
          <t>G|ORIG_BAL x ASSET_CLASS / SYS_FLAG|where N|contribution_rate|book|6</t>
        </is>
      </c>
    </row>
    <row r="3782">
      <c r="A3782" t="inlineStr">
        <is>
          <t>G|ORIG_BAL x ASSET_CLASS / SYS_FLAG|where N|contribution_rate|band|6</t>
        </is>
      </c>
    </row>
    <row r="3783">
      <c r="A3783" t="inlineStr">
        <is>
          <t>G|ORIG_BAL x ASSET_CLASS / SYS_FLAG|where N|contribution_rate|rate|7</t>
        </is>
      </c>
      <c r="B3783" t="n">
        <v>0.1720175555717958</v>
      </c>
      <c r="D3783" t="n">
        <v>0.1679470896613688</v>
      </c>
      <c r="F3783" t="n">
        <v>0.1678337458030882</v>
      </c>
      <c r="H3783" t="n">
        <v>0.1733503472186024</v>
      </c>
      <c r="J3783" t="n">
        <v>0.1703199959681274</v>
      </c>
    </row>
    <row r="3784">
      <c r="A3784" t="inlineStr">
        <is>
          <t>G|ORIG_BAL x ASSET_CLASS / SYS_FLAG|where N|contribution_rate|book|7</t>
        </is>
      </c>
      <c r="B3784" t="n">
        <v>0.242509984</v>
      </c>
      <c r="D3784" t="n">
        <v>-0.164536607</v>
      </c>
      <c r="F3784" t="n">
        <v>-0.175870993</v>
      </c>
      <c r="H3784" t="n">
        <v>0.375789148</v>
      </c>
      <c r="J3784" t="n">
        <v>0.072754023</v>
      </c>
    </row>
    <row r="3785">
      <c r="A3785" t="inlineStr">
        <is>
          <t>G|ORIG_BAL x ASSET_CLASS / SYS_FLAG|where N|contribution_rate|band|7</t>
        </is>
      </c>
    </row>
    <row r="3786">
      <c r="A3786" t="inlineStr">
        <is>
          <t>G|ORIG_BAL x ASSET_CLASS / SYS_FLAG|where N|contribution_rate|meta</t>
        </is>
      </c>
      <c r="B3786" t="inlineStr">
        <is>
          <t>pts</t>
        </is>
      </c>
      <c r="C3786" t="n">
        <v>2.822919022</v>
      </c>
      <c r="D3786" t="n">
        <v>10</v>
      </c>
      <c r="E3786" t="n">
        <v>0.1695924557349815</v>
      </c>
      <c r="F3786" t="n">
        <v>65</v>
      </c>
    </row>
    <row r="3787">
      <c r="A3787" t="inlineStr">
        <is>
          <t>G|ORIG_BAL x ASSET_CLASS / SYS_FLAG|where N|loan_size|rate|1</t>
        </is>
      </c>
      <c r="B3787" t="n">
        <v>10215.85012658228</v>
      </c>
      <c r="D3787" t="n">
        <v>10215.38102459016</v>
      </c>
      <c r="F3787" t="n">
        <v>10119.55535294118</v>
      </c>
      <c r="H3787" t="n">
        <v>10038.8827510917</v>
      </c>
      <c r="J3787" t="n">
        <v>10151.06592045454</v>
      </c>
    </row>
    <row r="3788">
      <c r="A3788" t="inlineStr">
        <is>
          <t>G|ORIG_BAL x ASSET_CLASS / SYS_FLAG|where N|loan_size|median|1</t>
        </is>
      </c>
      <c r="B3788" t="n">
        <v>10247.71</v>
      </c>
      <c r="D3788" t="n">
        <v>10169.67</v>
      </c>
      <c r="F3788" t="n">
        <v>9953.065000000001</v>
      </c>
      <c r="H3788" t="n">
        <v>9973.889999999999</v>
      </c>
      <c r="J3788" t="n">
        <v>10103.33</v>
      </c>
    </row>
    <row r="3789">
      <c r="A3789" t="inlineStr">
        <is>
          <t>G|ORIG_BAL x ASSET_CLASS / SYS_FLAG|where N|loan_size|book|1</t>
        </is>
      </c>
      <c r="B3789" t="n">
        <v>0.3166469454891522</v>
      </c>
      <c r="D3789" t="n">
        <v>0.3166324053665893</v>
      </c>
      <c r="F3789" t="n">
        <v>0.3136622261009259</v>
      </c>
      <c r="H3789" t="n">
        <v>0.3111617261284538</v>
      </c>
      <c r="J3789" t="n">
        <v>0.3146389167169888</v>
      </c>
    </row>
    <row r="3790">
      <c r="A3790" t="inlineStr">
        <is>
          <t>G|ORIG_BAL x ASSET_CLASS / SYS_FLAG|where N|loan_size|band|1</t>
        </is>
      </c>
      <c r="B3790" t="n">
        <v>1.008754916166913</v>
      </c>
      <c r="D3790" t="n">
        <v>1.00878787390627</v>
      </c>
      <c r="F3790" t="n">
        <v>0.9961554436505838</v>
      </c>
      <c r="H3790" t="n">
        <v>0.9851189802279212</v>
      </c>
    </row>
    <row r="3791">
      <c r="A3791" t="inlineStr">
        <is>
          <t>G|ORIG_BAL x ASSET_CLASS / SYS_FLAG|where N|loan_size|rate|2</t>
        </is>
      </c>
      <c r="B3791" t="n">
        <v>20658.8953125</v>
      </c>
      <c r="D3791" t="n">
        <v>20945.42741935484</v>
      </c>
      <c r="F3791" t="n">
        <v>20631.70547008547</v>
      </c>
      <c r="H3791" t="n">
        <v>21160.62578475336</v>
      </c>
      <c r="J3791" t="n">
        <v>20842.0769088812</v>
      </c>
    </row>
    <row r="3792">
      <c r="A3792" t="inlineStr">
        <is>
          <t>G|ORIG_BAL x ASSET_CLASS / SYS_FLAG|where N|loan_size|median|2</t>
        </is>
      </c>
      <c r="B3792" t="n">
        <v>20475.045</v>
      </c>
      <c r="D3792" t="n">
        <v>21528.245</v>
      </c>
      <c r="F3792" t="n">
        <v>20634.15</v>
      </c>
      <c r="H3792" t="n">
        <v>21387.04</v>
      </c>
      <c r="J3792" t="n">
        <v>20891.92</v>
      </c>
    </row>
    <row r="3793">
      <c r="A3793" t="inlineStr">
        <is>
          <t>G|ORIG_BAL x ASSET_CLASS / SYS_FLAG|where N|loan_size|book|2</t>
        </is>
      </c>
      <c r="B3793" t="n">
        <v>0.6403359501977914</v>
      </c>
      <c r="D3793" t="n">
        <v>0.6492171999514532</v>
      </c>
      <c r="F3793" t="n">
        <v>0.6394931832775437</v>
      </c>
      <c r="H3793" t="n">
        <v>0.6558874138086821</v>
      </c>
      <c r="J3793" t="n">
        <v>0.6460137833927991</v>
      </c>
    </row>
    <row r="3794">
      <c r="A3794" t="inlineStr">
        <is>
          <t>G|ORIG_BAL x ASSET_CLASS / SYS_FLAG|where N|loan_size|band|2</t>
        </is>
      </c>
      <c r="B3794" t="n">
        <v>0.9881853387165684</v>
      </c>
      <c r="D3794" t="n">
        <v>1.00632167568334</v>
      </c>
      <c r="F3794" t="n">
        <v>0.9862265190837269</v>
      </c>
      <c r="H3794" t="n">
        <v>1.020685826806323</v>
      </c>
    </row>
    <row r="3795">
      <c r="A3795" t="inlineStr">
        <is>
          <t>G|ORIG_BAL x ASSET_CLASS / SYS_FLAG|where N|loan_size|rate|3</t>
        </is>
      </c>
      <c r="B3795" t="n">
        <v>31875.89493023256</v>
      </c>
      <c r="D3795" t="n">
        <v>32100.2661660079</v>
      </c>
      <c r="F3795" t="n">
        <v>31799.23984848485</v>
      </c>
      <c r="H3795" t="n">
        <v>31860.91279816514</v>
      </c>
      <c r="J3795" t="n">
        <v>31919.24573529412</v>
      </c>
    </row>
    <row r="3796">
      <c r="A3796" t="inlineStr">
        <is>
          <t>G|ORIG_BAL x ASSET_CLASS / SYS_FLAG|where N|loan_size|median|3</t>
        </is>
      </c>
      <c r="B3796" t="n">
        <v>31719.68</v>
      </c>
      <c r="D3796" t="n">
        <v>32147.3</v>
      </c>
      <c r="F3796" t="n">
        <v>31874.03</v>
      </c>
      <c r="H3796" t="n">
        <v>31737.305</v>
      </c>
      <c r="J3796" t="n">
        <v>31804.46</v>
      </c>
    </row>
    <row r="3797">
      <c r="A3797" t="inlineStr">
        <is>
          <t>G|ORIG_BAL x ASSET_CLASS / SYS_FLAG|where N|loan_size|book|3</t>
        </is>
      </c>
      <c r="B3797" t="n">
        <v>0.9880141779025934</v>
      </c>
      <c r="D3797" t="n">
        <v>0.9949687108669153</v>
      </c>
      <c r="F3797" t="n">
        <v>0.9856382035890632</v>
      </c>
      <c r="H3797" t="n">
        <v>0.9875497969360285</v>
      </c>
      <c r="J3797" t="n">
        <v>0.9893578644129817</v>
      </c>
    </row>
    <row r="3798">
      <c r="A3798" t="inlineStr">
        <is>
          <t>G|ORIG_BAL x ASSET_CLASS / SYS_FLAG|where N|loan_size|band|3</t>
        </is>
      </c>
      <c r="B3798" t="n">
        <v>0.9982061704337519</v>
      </c>
      <c r="D3798" t="n">
        <v>1.007963180029094</v>
      </c>
      <c r="F3798" t="n">
        <v>0.9951604268433825</v>
      </c>
      <c r="H3798" t="n">
        <v>0.9975757380545586</v>
      </c>
    </row>
    <row r="3799">
      <c r="A3799" t="inlineStr">
        <is>
          <t>G|ORIG_BAL x ASSET_CLASS / SYS_FLAG|where N|loan_size|rate|4</t>
        </is>
      </c>
      <c r="B3799" t="n">
        <v>43366.02101449276</v>
      </c>
      <c r="D3799" t="n">
        <v>43629.22624434389</v>
      </c>
      <c r="F3799" t="n">
        <v>43730.28326203208</v>
      </c>
      <c r="H3799" t="n">
        <v>43534.2796</v>
      </c>
      <c r="J3799" t="n">
        <v>43561.43003571428</v>
      </c>
    </row>
    <row r="3800">
      <c r="A3800" t="inlineStr">
        <is>
          <t>G|ORIG_BAL x ASSET_CLASS / SYS_FLAG|where N|loan_size|median|4</t>
        </is>
      </c>
      <c r="B3800" t="n">
        <v>43534.85</v>
      </c>
      <c r="D3800" t="n">
        <v>43936.63</v>
      </c>
      <c r="F3800" t="n">
        <v>43673.2</v>
      </c>
      <c r="H3800" t="n">
        <v>43626.49</v>
      </c>
      <c r="J3800" t="n">
        <v>43690.725</v>
      </c>
    </row>
    <row r="3801">
      <c r="A3801" t="inlineStr">
        <is>
          <t>G|ORIG_BAL x ASSET_CLASS / SYS_FLAG|where N|loan_size|book|4</t>
        </is>
      </c>
      <c r="B3801" t="n">
        <v>1.344158138785409</v>
      </c>
      <c r="D3801" t="n">
        <v>1.352316356754197</v>
      </c>
      <c r="F3801" t="n">
        <v>1.355448685006346</v>
      </c>
      <c r="H3801" t="n">
        <v>1.349373423513849</v>
      </c>
      <c r="J3801" t="n">
        <v>1.35021496899769</v>
      </c>
    </row>
    <row r="3802">
      <c r="A3802" t="inlineStr">
        <is>
          <t>G|ORIG_BAL x ASSET_CLASS / SYS_FLAG|where N|loan_size|band|4</t>
        </is>
      </c>
      <c r="B3802" t="n">
        <v>0.9940559638129519</v>
      </c>
      <c r="D3802" t="n">
        <v>1.002113164474663</v>
      </c>
      <c r="F3802" t="n">
        <v>1.004991782892987</v>
      </c>
      <c r="H3802" t="n">
        <v>0.9991489014964388</v>
      </c>
    </row>
    <row r="3803">
      <c r="A3803" t="inlineStr">
        <is>
          <t>G|ORIG_BAL x ASSET_CLASS / SYS_FLAG|where N|loan_size|rate|5</t>
        </is>
      </c>
      <c r="B3803" t="n">
        <v>54616.08293577981</v>
      </c>
      <c r="D3803" t="n">
        <v>54565.65641791045</v>
      </c>
      <c r="F3803" t="n">
        <v>54780.40685840708</v>
      </c>
      <c r="H3803" t="n">
        <v>54848.00431924882</v>
      </c>
      <c r="J3803" t="n">
        <v>54705.12807692308</v>
      </c>
    </row>
    <row r="3804">
      <c r="A3804" t="inlineStr">
        <is>
          <t>G|ORIG_BAL x ASSET_CLASS / SYS_FLAG|where N|loan_size|median|5</t>
        </is>
      </c>
      <c r="B3804" t="n">
        <v>54419.83</v>
      </c>
      <c r="D3804" t="n">
        <v>54537.97</v>
      </c>
      <c r="F3804" t="n">
        <v>54781.96000000001</v>
      </c>
      <c r="H3804" t="n">
        <v>54772.37</v>
      </c>
      <c r="J3804" t="n">
        <v>54664.42</v>
      </c>
    </row>
    <row r="3805">
      <c r="A3805" t="inlineStr">
        <is>
          <t>G|ORIG_BAL x ASSET_CLASS / SYS_FLAG|where N|loan_size|book|5</t>
        </is>
      </c>
      <c r="B3805" t="n">
        <v>1.692861154178132</v>
      </c>
      <c r="D3805" t="n">
        <v>1.691298151328918</v>
      </c>
      <c r="F3805" t="n">
        <v>1.697954481461323</v>
      </c>
      <c r="H3805" t="n">
        <v>1.700049708900366</v>
      </c>
      <c r="J3805" t="n">
        <v>1.695621166473173</v>
      </c>
    </row>
    <row r="3806">
      <c r="A3806" t="inlineStr">
        <is>
          <t>G|ORIG_BAL x ASSET_CLASS / SYS_FLAG|where N|loan_size|band|5</t>
        </is>
      </c>
      <c r="B3806" t="n">
        <v>0.9978190346010473</v>
      </c>
      <c r="D3806" t="n">
        <v>0.9966730886167244</v>
      </c>
      <c r="F3806" t="n">
        <v>1.001869082672806</v>
      </c>
      <c r="H3806" t="n">
        <v>1.003477236967605</v>
      </c>
    </row>
    <row r="3807">
      <c r="A3807" t="inlineStr">
        <is>
          <t>G|ORIG_BAL x ASSET_CLASS / SYS_FLAG|where N|loan_size|rate|6</t>
        </is>
      </c>
    </row>
    <row r="3808">
      <c r="A3808" t="inlineStr">
        <is>
          <t>G|ORIG_BAL x ASSET_CLASS / SYS_FLAG|where N|loan_size|median|6</t>
        </is>
      </c>
    </row>
    <row r="3809">
      <c r="A3809" t="inlineStr">
        <is>
          <t>G|ORIG_BAL x ASSET_CLASS / SYS_FLAG|where N|loan_size|book|6</t>
        </is>
      </c>
    </row>
    <row r="3810">
      <c r="A3810" t="inlineStr">
        <is>
          <t>G|ORIG_BAL x ASSET_CLASS / SYS_FLAG|where N|loan_size|band|6</t>
        </is>
      </c>
    </row>
    <row r="3811">
      <c r="A3811" t="inlineStr">
        <is>
          <t>G|ORIG_BAL x ASSET_CLASS / SYS_FLAG|where N|loan_size|rate|7</t>
        </is>
      </c>
      <c r="B3811" t="n">
        <v>31594.13158038147</v>
      </c>
      <c r="D3811" t="n">
        <v>31782.37624434389</v>
      </c>
      <c r="F3811" t="n">
        <v>32908.69743842365</v>
      </c>
      <c r="H3811" t="n">
        <v>31986.67916967509</v>
      </c>
      <c r="J3811" t="n">
        <v>32050.87388311388</v>
      </c>
    </row>
    <row r="3812">
      <c r="A3812" t="inlineStr">
        <is>
          <t>G|ORIG_BAL x ASSET_CLASS / SYS_FLAG|where N|loan_size|median|7</t>
        </is>
      </c>
      <c r="B3812" t="n">
        <v>30767.26</v>
      </c>
      <c r="D3812" t="n">
        <v>31745.09</v>
      </c>
      <c r="F3812" t="n">
        <v>32117.38</v>
      </c>
      <c r="H3812" t="n">
        <v>31475.255</v>
      </c>
      <c r="J3812" t="n">
        <v>31561.19</v>
      </c>
    </row>
    <row r="3813">
      <c r="A3813" t="inlineStr">
        <is>
          <t>G|ORIG_BAL x ASSET_CLASS / SYS_FLAG|where N|loan_size|book|7</t>
        </is>
      </c>
      <c r="B3813" t="n">
        <v>0.9792807388861982</v>
      </c>
      <c r="D3813" t="n">
        <v>0.9851155051670024</v>
      </c>
      <c r="F3813" t="n">
        <v>1.020026566050426</v>
      </c>
      <c r="H3813" t="n">
        <v>0.9914480077447655</v>
      </c>
      <c r="J3813" t="n">
        <v>0.9934377648061041</v>
      </c>
    </row>
    <row r="3814">
      <c r="A3814" t="inlineStr">
        <is>
          <t>G|ORIG_BAL x ASSET_CLASS / SYS_FLAG|where N|loan_size|band|7</t>
        </is>
      </c>
    </row>
    <row r="3815">
      <c r="A3815" t="inlineStr">
        <is>
          <t>G|ORIG_BAL x ASSET_CLASS / SYS_FLAG|where N|loan_size|meta</t>
        </is>
      </c>
      <c r="B3815" t="inlineStr">
        <is>
          <t>size</t>
        </is>
      </c>
      <c r="C3815" t="n">
        <v>1</v>
      </c>
      <c r="E3815" t="n">
        <v>32262.58857732217</v>
      </c>
      <c r="F3815" t="n">
        <v>65</v>
      </c>
    </row>
    <row r="3816">
      <c r="A3816" t="inlineStr">
        <is>
          <t>G|ORIG_BAL x ASSET_CLASS / SYS_FLAG|where Y|cols</t>
        </is>
      </c>
      <c r="B3816" t="inlineStr">
        <is>
          <t>1 · N</t>
        </is>
      </c>
      <c r="C3816" t="inlineStr">
        <is>
          <t>1 · Y</t>
        </is>
      </c>
      <c r="D3816" t="inlineStr">
        <is>
          <t>2 · N</t>
        </is>
      </c>
      <c r="E3816" t="inlineStr">
        <is>
          <t>2 · Y</t>
        </is>
      </c>
      <c r="F3816" t="inlineStr">
        <is>
          <t>3 · N</t>
        </is>
      </c>
      <c r="G3816" t="inlineStr">
        <is>
          <t>3 · Y</t>
        </is>
      </c>
      <c r="H3816" t="inlineStr">
        <is>
          <t>4 · N</t>
        </is>
      </c>
      <c r="I3816" t="inlineStr">
        <is>
          <t>4 · Y</t>
        </is>
      </c>
      <c r="J3816" t="inlineStr">
        <is>
          <t>All</t>
        </is>
      </c>
    </row>
    <row r="3817">
      <c r="A3817" t="inlineStr">
        <is>
          <t>G|ORIG_BAL x ASSET_CLASS / SYS_FLAG|where Y|heads</t>
        </is>
      </c>
      <c r="B3817" t="inlineStr">
        <is>
          <t>N</t>
        </is>
      </c>
      <c r="C3817" t="inlineStr">
        <is>
          <t>Y</t>
        </is>
      </c>
      <c r="D3817" t="inlineStr">
        <is>
          <t>N</t>
        </is>
      </c>
      <c r="E3817" t="inlineStr">
        <is>
          <t>Y</t>
        </is>
      </c>
      <c r="F3817" t="inlineStr">
        <is>
          <t>N</t>
        </is>
      </c>
      <c r="G3817" t="inlineStr">
        <is>
          <t>Y</t>
        </is>
      </c>
      <c r="H3817" t="inlineStr">
        <is>
          <t>N</t>
        </is>
      </c>
      <c r="I3817" t="inlineStr">
        <is>
          <t>Y</t>
        </is>
      </c>
      <c r="J3817" t="inlineStr">
        <is>
          <t>All</t>
        </is>
      </c>
    </row>
    <row r="3818">
      <c r="A3818" t="inlineStr">
        <is>
          <t>G|ORIG_BAL x ASSET_CLASS / SYS_FLAG|where Y|segs</t>
        </is>
      </c>
      <c r="B3818" t="inlineStr">
        <is>
          <t>1</t>
        </is>
      </c>
      <c r="C3818" t="inlineStr">
        <is>
          <t>2</t>
        </is>
      </c>
      <c r="D3818" t="inlineStr">
        <is>
          <t>3</t>
        </is>
      </c>
      <c r="E3818" t="inlineStr">
        <is>
          <t>4</t>
        </is>
      </c>
    </row>
    <row r="3819">
      <c r="A3819" t="inlineStr">
        <is>
          <t>G|ORIG_BAL x ASSET_CLASS / SYS_FLAG|where Y|rows</t>
        </is>
      </c>
      <c r="B3819" t="inlineStr">
        <is>
          <t>5,005 - 15,448</t>
        </is>
      </c>
      <c r="C3819" t="inlineStr">
        <is>
          <t>15,449 - 26,323</t>
        </is>
      </c>
      <c r="D3819" t="inlineStr">
        <is>
          <t>26,324 - 37,950</t>
        </is>
      </c>
      <c r="E3819" t="inlineStr">
        <is>
          <t>37,951 - 49,151</t>
        </is>
      </c>
      <c r="F3819" t="inlineStr">
        <is>
          <t>49,152 - 59,984</t>
        </is>
      </c>
      <c r="G3819" t="inlineStr">
        <is>
          <t>(blank)</t>
        </is>
      </c>
      <c r="H3819" t="inlineStr">
        <is>
          <t>All</t>
        </is>
      </c>
    </row>
    <row r="3820">
      <c r="A3820" t="inlineStr">
        <is>
          <t>G|ORIG_BAL x ASSET_CLASS / SYS_FLAG|where Y|names</t>
        </is>
      </c>
      <c r="B3820" t="inlineStr">
        <is>
          <t>ORIG_BAL</t>
        </is>
      </c>
      <c r="C3820" t="inlineStr">
        <is>
          <t>ASSET_CLASS / SYS_FLAG</t>
        </is>
      </c>
    </row>
    <row r="3821">
      <c r="A3821" t="inlineStr">
        <is>
          <t>G|ORIG_BAL x ASSET_CLASS / SYS_FLAG|where Y|total</t>
        </is>
      </c>
      <c r="B3821" t="n">
        <v>3671</v>
      </c>
    </row>
    <row r="3822">
      <c r="A3822" t="inlineStr">
        <is>
          <t>G|ORIG_BAL x ASSET_CLASS / SYS_FLAG|where Y|loans|1</t>
        </is>
      </c>
      <c r="C3822" t="n">
        <v>180</v>
      </c>
      <c r="E3822" t="n">
        <v>160</v>
      </c>
      <c r="G3822" t="n">
        <v>184</v>
      </c>
      <c r="I3822" t="n">
        <v>196</v>
      </c>
      <c r="J3822" t="n">
        <v>720</v>
      </c>
    </row>
    <row r="3823">
      <c r="A3823" t="inlineStr">
        <is>
          <t>G|ORIG_BAL x ASSET_CLASS / SYS_FLAG|where Y|loans|2</t>
        </is>
      </c>
      <c r="C3823" t="n">
        <v>180</v>
      </c>
      <c r="E3823" t="n">
        <v>170</v>
      </c>
      <c r="G3823" t="n">
        <v>193</v>
      </c>
      <c r="I3823" t="n">
        <v>190</v>
      </c>
      <c r="J3823" t="n">
        <v>733</v>
      </c>
    </row>
    <row r="3824">
      <c r="A3824" t="inlineStr">
        <is>
          <t>G|ORIG_BAL x ASSET_CLASS / SYS_FLAG|where Y|loans|3</t>
        </is>
      </c>
      <c r="C3824" t="n">
        <v>173</v>
      </c>
      <c r="E3824" t="n">
        <v>179</v>
      </c>
      <c r="G3824" t="n">
        <v>169</v>
      </c>
      <c r="I3824" t="n">
        <v>194</v>
      </c>
      <c r="J3824" t="n">
        <v>715</v>
      </c>
    </row>
    <row r="3825">
      <c r="A3825" t="inlineStr">
        <is>
          <t>G|ORIG_BAL x ASSET_CLASS / SYS_FLAG|where Y|loans|4</t>
        </is>
      </c>
      <c r="C3825" t="n">
        <v>177</v>
      </c>
      <c r="E3825" t="n">
        <v>199</v>
      </c>
      <c r="G3825" t="n">
        <v>195</v>
      </c>
      <c r="I3825" t="n">
        <v>189</v>
      </c>
      <c r="J3825" t="n">
        <v>760</v>
      </c>
    </row>
    <row r="3826">
      <c r="A3826" t="inlineStr">
        <is>
          <t>G|ORIG_BAL x ASSET_CLASS / SYS_FLAG|where Y|loans|5</t>
        </is>
      </c>
      <c r="C3826" t="n">
        <v>195</v>
      </c>
      <c r="E3826" t="n">
        <v>197</v>
      </c>
      <c r="G3826" t="n">
        <v>179</v>
      </c>
      <c r="I3826" t="n">
        <v>171</v>
      </c>
      <c r="J3826" t="n">
        <v>742</v>
      </c>
    </row>
    <row r="3827">
      <c r="A3827" t="inlineStr">
        <is>
          <t>G|ORIG_BAL x ASSET_CLASS / SYS_FLAG|where Y|loans|6</t>
        </is>
      </c>
      <c r="E3827" t="n">
        <v>1</v>
      </c>
      <c r="J3827" t="n">
        <v>1</v>
      </c>
    </row>
    <row r="3828">
      <c r="A3828" t="inlineStr">
        <is>
          <t>G|ORIG_BAL x ASSET_CLASS / SYS_FLAG|where Y|loans|7</t>
        </is>
      </c>
      <c r="C3828" t="n">
        <v>905</v>
      </c>
      <c r="E3828" t="n">
        <v>906</v>
      </c>
      <c r="G3828" t="n">
        <v>920</v>
      </c>
      <c r="I3828" t="n">
        <v>940</v>
      </c>
      <c r="J3828" t="n">
        <v>3671</v>
      </c>
    </row>
    <row r="3829">
      <c r="A3829" t="inlineStr">
        <is>
          <t>G|ORIG_BAL x ASSET_CLASS / SYS_FLAG|where Y|outcome_loans|rate|1</t>
        </is>
      </c>
      <c r="C3829" t="n">
        <v>0.1</v>
      </c>
      <c r="E3829" t="n">
        <v>0.10625</v>
      </c>
      <c r="G3829" t="n">
        <v>0.09782608695652174</v>
      </c>
      <c r="I3829" t="n">
        <v>0.09693877551020408</v>
      </c>
      <c r="J3829" t="n">
        <v>0.1</v>
      </c>
    </row>
    <row r="3830">
      <c r="A3830" t="inlineStr">
        <is>
          <t>G|ORIG_BAL x ASSET_CLASS / SYS_FLAG|where Y|outcome_loans|book|1</t>
        </is>
      </c>
      <c r="C3830" t="n">
        <v>1.292245557350566</v>
      </c>
      <c r="E3830" t="n">
        <v>1.373010904684976</v>
      </c>
      <c r="G3830" t="n">
        <v>1.264153262625553</v>
      </c>
      <c r="I3830" t="n">
        <v>1.25268701988065</v>
      </c>
      <c r="J3830" t="n">
        <v>1.292245557350566</v>
      </c>
    </row>
    <row r="3831">
      <c r="A3831" t="inlineStr">
        <is>
          <t>G|ORIG_BAL x ASSET_CLASS / SYS_FLAG|where Y|outcome_loans|band|1</t>
        </is>
      </c>
      <c r="C3831" t="n">
        <v>1</v>
      </c>
      <c r="E3831" t="n">
        <v>1.081818181818182</v>
      </c>
      <c r="G3831" t="n">
        <v>0.9710144927536233</v>
      </c>
      <c r="I3831" t="n">
        <v>0.9584135541008856</v>
      </c>
    </row>
    <row r="3832">
      <c r="A3832" t="inlineStr">
        <is>
          <t>G|ORIG_BAL x ASSET_CLASS / SYS_FLAG|where Y|outcome_loans|rate|2</t>
        </is>
      </c>
      <c r="C3832" t="n">
        <v>0.1111111111111111</v>
      </c>
      <c r="E3832" t="n">
        <v>0.05882352941176471</v>
      </c>
      <c r="G3832" t="n">
        <v>0.1139896373056995</v>
      </c>
      <c r="I3832" t="n">
        <v>0.1105263157894737</v>
      </c>
      <c r="J3832" t="n">
        <v>0.09959072305593451</v>
      </c>
    </row>
    <row r="3833">
      <c r="A3833" t="inlineStr">
        <is>
          <t>G|ORIG_BAL x ASSET_CLASS / SYS_FLAG|where Y|outcome_loans|book|2</t>
        </is>
      </c>
      <c r="C3833" t="n">
        <v>1.435828397056184</v>
      </c>
      <c r="E3833" t="n">
        <v>0.7601444455003326</v>
      </c>
      <c r="G3833" t="n">
        <v>1.473026023922924</v>
      </c>
      <c r="I3833" t="n">
        <v>1.42827140549273</v>
      </c>
      <c r="J3833" t="n">
        <v>1.286956694223619</v>
      </c>
    </row>
    <row r="3834">
      <c r="A3834" t="inlineStr">
        <is>
          <t>G|ORIG_BAL x ASSET_CLASS / SYS_FLAG|where Y|outcome_loans|band|2</t>
        </is>
      </c>
      <c r="C3834" t="n">
        <v>1.159329140461216</v>
      </c>
      <c r="E3834" t="n">
        <v>0.5256769374416433</v>
      </c>
      <c r="G3834" t="n">
        <v>1.206949100883877</v>
      </c>
      <c r="I3834" t="n">
        <v>1.15414979757085</v>
      </c>
    </row>
    <row r="3835">
      <c r="A3835" t="inlineStr">
        <is>
          <t>G|ORIG_BAL x ASSET_CLASS / SYS_FLAG|where Y|outcome_loans|rate|3</t>
        </is>
      </c>
      <c r="C3835" t="n">
        <v>0.08092485549132948</v>
      </c>
      <c r="E3835" t="n">
        <v>0.08379888268156424</v>
      </c>
      <c r="G3835" t="n">
        <v>0.0650887573964497</v>
      </c>
      <c r="I3835" t="n">
        <v>0.1237113402061856</v>
      </c>
      <c r="J3835" t="n">
        <v>0.08951048951048951</v>
      </c>
    </row>
    <row r="3836">
      <c r="A3836" t="inlineStr">
        <is>
          <t>G|ORIG_BAL x ASSET_CLASS / SYS_FLAG|where Y|outcome_loans|book|3</t>
        </is>
      </c>
      <c r="C3836" t="n">
        <v>1.04574784987907</v>
      </c>
      <c r="E3836" t="n">
        <v>1.082887338561926</v>
      </c>
      <c r="G3836" t="n">
        <v>0.8411065757903088</v>
      </c>
      <c r="I3836" t="n">
        <v>1.598654297753277</v>
      </c>
      <c r="J3836" t="n">
        <v>1.156695324062045</v>
      </c>
    </row>
    <row r="3837">
      <c r="A3837" t="inlineStr">
        <is>
          <t>G|ORIG_BAL x ASSET_CLASS / SYS_FLAG|where Y|outcome_loans|band|3</t>
        </is>
      </c>
      <c r="C3837" t="n">
        <v>0.8772254335260116</v>
      </c>
      <c r="E3837" t="n">
        <v>0.9166571656595599</v>
      </c>
      <c r="G3837" t="n">
        <v>0.6705370101596516</v>
      </c>
      <c r="I3837" t="n">
        <v>1.611340206185567</v>
      </c>
    </row>
    <row r="3838">
      <c r="A3838" t="inlineStr">
        <is>
          <t>G|ORIG_BAL x ASSET_CLASS / SYS_FLAG|where Y|outcome_loans|rate|4</t>
        </is>
      </c>
      <c r="C3838" t="n">
        <v>0.07909604519774012</v>
      </c>
      <c r="E3838" t="n">
        <v>0.08542713567839195</v>
      </c>
      <c r="G3838" t="n">
        <v>0.1282051282051282</v>
      </c>
      <c r="I3838" t="n">
        <v>0.1851851851851852</v>
      </c>
      <c r="J3838" t="n">
        <v>0.1197368421052632</v>
      </c>
    </row>
    <row r="3839">
      <c r="A3839" t="inlineStr">
        <is>
          <t>G|ORIG_BAL x ASSET_CLASS / SYS_FLAG|where Y|outcome_loans|book|4</t>
        </is>
      </c>
      <c r="C3839" t="n">
        <v>1.022115130107792</v>
      </c>
      <c r="E3839" t="n">
        <v>1.10392836557586</v>
      </c>
      <c r="G3839" t="n">
        <v>1.656725073526366</v>
      </c>
      <c r="I3839" t="n">
        <v>2.393047328426973</v>
      </c>
      <c r="J3839" t="n">
        <v>1.547294022617124</v>
      </c>
    </row>
    <row r="3840">
      <c r="A3840" t="inlineStr">
        <is>
          <t>G|ORIG_BAL x ASSET_CLASS / SYS_FLAG|where Y|outcome_loans|band|4</t>
        </is>
      </c>
      <c r="C3840" t="n">
        <v>0.5988700564971752</v>
      </c>
      <c r="E3840" t="n">
        <v>0.6476300421024039</v>
      </c>
      <c r="G3840" t="n">
        <v>1.097513597513597</v>
      </c>
      <c r="I3840" t="n">
        <v>1.888227513227513</v>
      </c>
    </row>
    <row r="3841">
      <c r="A3841" t="inlineStr">
        <is>
          <t>G|ORIG_BAL x ASSET_CLASS / SYS_FLAG|where Y|outcome_loans|rate|5</t>
        </is>
      </c>
      <c r="C3841" t="n">
        <v>0.1076923076923077</v>
      </c>
      <c r="E3841" t="n">
        <v>0.08121827411167512</v>
      </c>
      <c r="G3841" t="n">
        <v>0.0670391061452514</v>
      </c>
      <c r="I3841" t="n">
        <v>0.1228070175438596</v>
      </c>
      <c r="J3841" t="n">
        <v>0.09433962264150944</v>
      </c>
    </row>
    <row r="3842">
      <c r="A3842" t="inlineStr">
        <is>
          <t>G|ORIG_BAL x ASSET_CLASS / SYS_FLAG|where Y|outcome_loans|book|5</t>
        </is>
      </c>
      <c r="C3842" t="n">
        <v>1.391649061762148</v>
      </c>
      <c r="E3842" t="n">
        <v>1.049539538964926</v>
      </c>
      <c r="G3842" t="n">
        <v>0.866309870849541</v>
      </c>
      <c r="I3842" t="n">
        <v>1.586968228325256</v>
      </c>
      <c r="J3842" t="n">
        <v>1.219099582406194</v>
      </c>
    </row>
    <row r="3843">
      <c r="A3843" t="inlineStr">
        <is>
          <t>G|ORIG_BAL x ASSET_CLASS / SYS_FLAG|where Y|outcome_loans|band|5</t>
        </is>
      </c>
      <c r="C3843" t="n">
        <v>1.202197802197802</v>
      </c>
      <c r="E3843" t="n">
        <v>0.819702951682647</v>
      </c>
      <c r="G3843" t="n">
        <v>0.6507416682720093</v>
      </c>
      <c r="I3843" t="n">
        <v>1.431077694235589</v>
      </c>
    </row>
    <row r="3844">
      <c r="A3844" t="inlineStr">
        <is>
          <t>G|ORIG_BAL x ASSET_CLASS / SYS_FLAG|where Y|outcome_loans|rate|6</t>
        </is>
      </c>
      <c r="E3844" t="n">
        <v>0</v>
      </c>
      <c r="J3844" t="n">
        <v>0</v>
      </c>
    </row>
    <row r="3845">
      <c r="A3845" t="inlineStr">
        <is>
          <t>G|ORIG_BAL x ASSET_CLASS / SYS_FLAG|where Y|outcome_loans|book|6</t>
        </is>
      </c>
    </row>
    <row r="3846">
      <c r="A3846" t="inlineStr">
        <is>
          <t>G|ORIG_BAL x ASSET_CLASS / SYS_FLAG|where Y|outcome_loans|band|6</t>
        </is>
      </c>
    </row>
    <row r="3847">
      <c r="A3847" t="inlineStr">
        <is>
          <t>G|ORIG_BAL x ASSET_CLASS / SYS_FLAG|where Y|outcome_loans|rate|7</t>
        </is>
      </c>
      <c r="C3847" t="n">
        <v>0.09613259668508287</v>
      </c>
      <c r="E3847" t="n">
        <v>0.08278145695364239</v>
      </c>
      <c r="G3847" t="n">
        <v>0.09565217391304348</v>
      </c>
      <c r="I3847" t="n">
        <v>0.1276595744680851</v>
      </c>
      <c r="J3847" t="n">
        <v>0.1007899754835195</v>
      </c>
    </row>
    <row r="3848">
      <c r="A3848" t="inlineStr">
        <is>
          <t>G|ORIG_BAL x ASSET_CLASS / SYS_FLAG|where Y|outcome_loans|book|7</t>
        </is>
      </c>
      <c r="C3848" t="n">
        <v>1.24226920982872</v>
      </c>
      <c r="E3848" t="n">
        <v>1.069739699793514</v>
      </c>
      <c r="G3848" t="n">
        <v>1.236060967900541</v>
      </c>
      <c r="I3848" t="n">
        <v>1.649675179596466</v>
      </c>
      <c r="J3848" t="n">
        <v>1.302453980440504</v>
      </c>
    </row>
    <row r="3849">
      <c r="A3849" t="inlineStr">
        <is>
          <t>G|ORIG_BAL x ASSET_CLASS / SYS_FLAG|where Y|outcome_loans|band|7</t>
        </is>
      </c>
    </row>
    <row r="3850">
      <c r="A3850" t="inlineStr">
        <is>
          <t>G|ORIG_BAL x ASSET_CLASS / SYS_FLAG|where Y|outcome_loans|meta</t>
        </is>
      </c>
      <c r="B3850" t="inlineStr">
        <is>
          <t>x</t>
        </is>
      </c>
      <c r="C3850" t="n">
        <v>2.393047328426973</v>
      </c>
      <c r="D3850" t="n">
        <v>10</v>
      </c>
      <c r="E3850" t="n">
        <v>0.07738467308413552</v>
      </c>
      <c r="F3850" t="n">
        <v>65</v>
      </c>
    </row>
    <row r="3851">
      <c r="A3851" t="inlineStr">
        <is>
          <t>G|ORIG_BAL x ASSET_CLASS / SYS_FLAG|where Y|outcome_booked|rate|1</t>
        </is>
      </c>
      <c r="C3851" t="n">
        <v>0.09440597172888215</v>
      </c>
      <c r="E3851" t="n">
        <v>0.1007960374766282</v>
      </c>
      <c r="G3851" t="n">
        <v>0.09493353387894501</v>
      </c>
      <c r="I3851" t="n">
        <v>0.1039781288139145</v>
      </c>
      <c r="J3851" t="n">
        <v>0.09858878297777607</v>
      </c>
    </row>
    <row r="3852">
      <c r="A3852" t="inlineStr">
        <is>
          <t>G|ORIG_BAL x ASSET_CLASS / SYS_FLAG|where Y|outcome_booked|book|1</t>
        </is>
      </c>
      <c r="C3852" t="n">
        <v>1.261625005544319</v>
      </c>
      <c r="E3852" t="n">
        <v>1.347020734085528</v>
      </c>
      <c r="G3852" t="n">
        <v>1.268675254467231</v>
      </c>
      <c r="I3852" t="n">
        <v>1.389545649909451</v>
      </c>
      <c r="J3852" t="n">
        <v>1.317523368417291</v>
      </c>
    </row>
    <row r="3853">
      <c r="A3853" t="inlineStr">
        <is>
          <t>G|ORIG_BAL x ASSET_CLASS / SYS_FLAG|where Y|outcome_booked|band|1</t>
        </is>
      </c>
      <c r="C3853" t="n">
        <v>0.9441775926271867</v>
      </c>
      <c r="E3853" t="n">
        <v>1.029241275811371</v>
      </c>
      <c r="G3853" t="n">
        <v>0.9511690891539093</v>
      </c>
      <c r="I3853" t="n">
        <v>1.076448713890457</v>
      </c>
    </row>
    <row r="3854">
      <c r="A3854" t="inlineStr">
        <is>
          <t>G|ORIG_BAL x ASSET_CLASS / SYS_FLAG|where Y|outcome_booked|rate|2</t>
        </is>
      </c>
      <c r="C3854" t="n">
        <v>0.1123341306486227</v>
      </c>
      <c r="E3854" t="n">
        <v>0.06144707504435287</v>
      </c>
      <c r="G3854" t="n">
        <v>0.1152512856454225</v>
      </c>
      <c r="I3854" t="n">
        <v>0.1097510846687575</v>
      </c>
      <c r="J3854" t="n">
        <v>0.1004438193702694</v>
      </c>
    </row>
    <row r="3855">
      <c r="A3855" t="inlineStr">
        <is>
          <t>G|ORIG_BAL x ASSET_CLASS / SYS_FLAG|where Y|outcome_booked|book|2</t>
        </is>
      </c>
      <c r="C3855" t="n">
        <v>1.501213806785345</v>
      </c>
      <c r="E3855" t="n">
        <v>0.8211680360236868</v>
      </c>
      <c r="G3855" t="n">
        <v>1.540198159380969</v>
      </c>
      <c r="I3855" t="n">
        <v>1.466694429049078</v>
      </c>
      <c r="J3855" t="n">
        <v>1.342313752501102</v>
      </c>
    </row>
    <row r="3856">
      <c r="A3856" t="inlineStr">
        <is>
          <t>G|ORIG_BAL x ASSET_CLASS / SYS_FLAG|where Y|outcome_booked|band|2</t>
        </is>
      </c>
      <c r="C3856" t="n">
        <v>1.163233702918486</v>
      </c>
      <c r="E3856" t="n">
        <v>0.5464387496658136</v>
      </c>
      <c r="G3856" t="n">
        <v>1.210030691505014</v>
      </c>
      <c r="I3856" t="n">
        <v>1.129251852236138</v>
      </c>
    </row>
    <row r="3857">
      <c r="A3857" t="inlineStr">
        <is>
          <t>G|ORIG_BAL x ASSET_CLASS / SYS_FLAG|where Y|outcome_booked|rate|3</t>
        </is>
      </c>
      <c r="C3857" t="n">
        <v>0.07770229660654655</v>
      </c>
      <c r="E3857" t="n">
        <v>0.08353937164816114</v>
      </c>
      <c r="G3857" t="n">
        <v>0.06513303939771156</v>
      </c>
      <c r="I3857" t="n">
        <v>0.1188679459949054</v>
      </c>
      <c r="J3857" t="n">
        <v>0.08736643485781104</v>
      </c>
    </row>
    <row r="3858">
      <c r="A3858" t="inlineStr">
        <is>
          <t>G|ORIG_BAL x ASSET_CLASS / SYS_FLAG|where Y|outcome_booked|book|3</t>
        </is>
      </c>
      <c r="C3858" t="n">
        <v>1.038399993048844</v>
      </c>
      <c r="E3858" t="n">
        <v>1.116405649861406</v>
      </c>
      <c r="G3858" t="n">
        <v>0.8704266232992588</v>
      </c>
      <c r="I3858" t="n">
        <v>1.588530579988555</v>
      </c>
      <c r="J3858" t="n">
        <v>1.16754985774011</v>
      </c>
    </row>
    <row r="3859">
      <c r="A3859" t="inlineStr">
        <is>
          <t>G|ORIG_BAL x ASSET_CLASS / SYS_FLAG|where Y|outcome_booked|band|3</t>
        </is>
      </c>
      <c r="C3859" t="n">
        <v>0.859127453941835</v>
      </c>
      <c r="E3859" t="n">
        <v>0.942239666530384</v>
      </c>
      <c r="G3859" t="n">
        <v>0.6914305601803119</v>
      </c>
      <c r="I3859" t="n">
        <v>1.570818802720765</v>
      </c>
    </row>
    <row r="3860">
      <c r="A3860" t="inlineStr">
        <is>
          <t>G|ORIG_BAL x ASSET_CLASS / SYS_FLAG|where Y|outcome_booked|rate|4</t>
        </is>
      </c>
      <c r="C3860" t="n">
        <v>0.07664499018288271</v>
      </c>
      <c r="E3860" t="n">
        <v>0.08509700596620973</v>
      </c>
      <c r="G3860" t="n">
        <v>0.1256107381334583</v>
      </c>
      <c r="I3860" t="n">
        <v>0.1828690446008137</v>
      </c>
      <c r="J3860" t="n">
        <v>0.1178825890190914</v>
      </c>
    </row>
    <row r="3861">
      <c r="A3861" t="inlineStr">
        <is>
          <t>G|ORIG_BAL x ASSET_CLASS / SYS_FLAG|where Y|outcome_booked|book|4</t>
        </is>
      </c>
      <c r="C3861" t="n">
        <v>1.024270333683145</v>
      </c>
      <c r="E3861" t="n">
        <v>1.137221604288396</v>
      </c>
      <c r="G3861" t="n">
        <v>1.678640082739253</v>
      </c>
      <c r="I3861" t="n">
        <v>2.443830143192126</v>
      </c>
      <c r="J3861" t="n">
        <v>1.575362440544532</v>
      </c>
    </row>
    <row r="3862">
      <c r="A3862" t="inlineStr">
        <is>
          <t>G|ORIG_BAL x ASSET_CLASS / SYS_FLAG|where Y|outcome_booked|band|4</t>
        </is>
      </c>
      <c r="C3862" t="n">
        <v>0.5875376257022785</v>
      </c>
      <c r="E3862" t="n">
        <v>0.6571667160406877</v>
      </c>
      <c r="G3862" t="n">
        <v>1.090033516136658</v>
      </c>
      <c r="I3862" t="n">
        <v>1.900075935785006</v>
      </c>
    </row>
    <row r="3863">
      <c r="A3863" t="inlineStr">
        <is>
          <t>G|ORIG_BAL x ASSET_CLASS / SYS_FLAG|where Y|outcome_booked|rate|5</t>
        </is>
      </c>
      <c r="C3863" t="n">
        <v>0.1084151046817408</v>
      </c>
      <c r="E3863" t="n">
        <v>0.081029372326368</v>
      </c>
      <c r="G3863" t="n">
        <v>0.0668161388723891</v>
      </c>
      <c r="I3863" t="n">
        <v>0.1236107423729956</v>
      </c>
      <c r="J3863" t="n">
        <v>0.09465014265829717</v>
      </c>
    </row>
    <row r="3864">
      <c r="A3864" t="inlineStr">
        <is>
          <t>G|ORIG_BAL x ASSET_CLASS / SYS_FLAG|where Y|outcome_booked|book|5</t>
        </is>
      </c>
      <c r="C3864" t="n">
        <v>1.448840624595187</v>
      </c>
      <c r="E3864" t="n">
        <v>1.082862454973612</v>
      </c>
      <c r="G3864" t="n">
        <v>0.8929192722830525</v>
      </c>
      <c r="I3864" t="n">
        <v>1.65191248684491</v>
      </c>
      <c r="J3864" t="n">
        <v>1.264888063426522</v>
      </c>
    </row>
    <row r="3865">
      <c r="A3865" t="inlineStr">
        <is>
          <t>G|ORIG_BAL x ASSET_CLASS / SYS_FLAG|where Y|outcome_booked|band|5</t>
        </is>
      </c>
      <c r="C3865" t="n">
        <v>1.207988942322579</v>
      </c>
      <c r="E3865" t="n">
        <v>0.8137156282417782</v>
      </c>
      <c r="G3865" t="n">
        <v>0.6458123837603374</v>
      </c>
      <c r="I3865" t="n">
        <v>1.438361468859726</v>
      </c>
    </row>
    <row r="3866">
      <c r="A3866" t="inlineStr">
        <is>
          <t>G|ORIG_BAL x ASSET_CLASS / SYS_FLAG|where Y|outcome_booked|rate|6</t>
        </is>
      </c>
    </row>
    <row r="3867">
      <c r="A3867" t="inlineStr">
        <is>
          <t>G|ORIG_BAL x ASSET_CLASS / SYS_FLAG|where Y|outcome_booked|book|6</t>
        </is>
      </c>
    </row>
    <row r="3868">
      <c r="A3868" t="inlineStr">
        <is>
          <t>G|ORIG_BAL x ASSET_CLASS / SYS_FLAG|where Y|outcome_booked|band|6</t>
        </is>
      </c>
    </row>
    <row r="3869">
      <c r="A3869" t="inlineStr">
        <is>
          <t>G|ORIG_BAL x ASSET_CLASS / SYS_FLAG|where Y|outcome_booked|rate|7</t>
        </is>
      </c>
      <c r="C3869" t="n">
        <v>0.09391781030789159</v>
      </c>
      <c r="E3869" t="n">
        <v>0.08143078150540616</v>
      </c>
      <c r="G3869" t="n">
        <v>0.09169079542439568</v>
      </c>
      <c r="I3869" t="n">
        <v>0.1358979596343108</v>
      </c>
      <c r="J3869" t="n">
        <v>0.1006690692129982</v>
      </c>
    </row>
    <row r="3870">
      <c r="A3870" t="inlineStr">
        <is>
          <t>G|ORIG_BAL x ASSET_CLASS / SYS_FLAG|where Y|outcome_booked|book|7</t>
        </is>
      </c>
      <c r="C3870" t="n">
        <v>1.255101301119853</v>
      </c>
      <c r="E3870" t="n">
        <v>1.088226817507625</v>
      </c>
      <c r="G3870" t="n">
        <v>1.225339861104102</v>
      </c>
      <c r="I3870" t="n">
        <v>1.81611672373312</v>
      </c>
      <c r="J3870" t="n">
        <v>1.345323952267889</v>
      </c>
    </row>
    <row r="3871">
      <c r="A3871" t="inlineStr">
        <is>
          <t>G|ORIG_BAL x ASSET_CLASS / SYS_FLAG|where Y|outcome_booked|band|7</t>
        </is>
      </c>
    </row>
    <row r="3872">
      <c r="A3872" t="inlineStr">
        <is>
          <t>G|ORIG_BAL x ASSET_CLASS / SYS_FLAG|where Y|outcome_booked|meta</t>
        </is>
      </c>
      <c r="B3872" t="inlineStr">
        <is>
          <t>x</t>
        </is>
      </c>
      <c r="C3872" t="n">
        <v>2.443830143192126</v>
      </c>
      <c r="D3872" t="n">
        <v>10</v>
      </c>
      <c r="E3872" t="n">
        <v>0.07482886857347235</v>
      </c>
      <c r="F3872" t="n">
        <v>65</v>
      </c>
    </row>
    <row r="3873">
      <c r="A3873" t="inlineStr">
        <is>
          <t>G|ORIG_BAL x ASSET_CLASS / SYS_FLAG|where Y|gco_rate|rate|1</t>
        </is>
      </c>
      <c r="C3873" t="n">
        <v>0.04771941684954147</v>
      </c>
      <c r="E3873" t="n">
        <v>0.05730385058954697</v>
      </c>
      <c r="G3873" t="n">
        <v>0.05755051362133345</v>
      </c>
      <c r="I3873" t="n">
        <v>0.05740474500406834</v>
      </c>
      <c r="J3873" t="n">
        <v>0.05499092105694458</v>
      </c>
    </row>
    <row r="3874">
      <c r="A3874" t="inlineStr">
        <is>
          <t>G|ORIG_BAL x ASSET_CLASS / SYS_FLAG|where Y|gco_rate|book|1</t>
        </is>
      </c>
      <c r="C3874" t="n">
        <v>1.146956195741575</v>
      </c>
      <c r="E3874" t="n">
        <v>1.377322080040505</v>
      </c>
      <c r="G3874" t="n">
        <v>1.383250729450868</v>
      </c>
      <c r="I3874" t="n">
        <v>1.379747119604921</v>
      </c>
      <c r="J3874" t="n">
        <v>1.321729848767095</v>
      </c>
    </row>
    <row r="3875">
      <c r="A3875" t="inlineStr">
        <is>
          <t>G|ORIG_BAL x ASSET_CLASS / SYS_FLAG|where Y|gco_rate|band|1</t>
        </is>
      </c>
      <c r="C3875" t="n">
        <v>0.8310227891354538</v>
      </c>
      <c r="E3875" t="n">
        <v>1.055259645899176</v>
      </c>
      <c r="G3875" t="n">
        <v>1.063039198218671</v>
      </c>
      <c r="I3875" t="n">
        <v>1.061138182796222</v>
      </c>
    </row>
    <row r="3876">
      <c r="A3876" t="inlineStr">
        <is>
          <t>G|ORIG_BAL x ASSET_CLASS / SYS_FLAG|where Y|gco_rate|rate|2</t>
        </is>
      </c>
      <c r="C3876" t="n">
        <v>0.06665746171826953</v>
      </c>
      <c r="E3876" t="n">
        <v>0.02990592595829179</v>
      </c>
      <c r="G3876" t="n">
        <v>0.06662045221440491</v>
      </c>
      <c r="I3876" t="n">
        <v>0.0606431774434793</v>
      </c>
      <c r="J3876" t="n">
        <v>0.05643820887369715</v>
      </c>
    </row>
    <row r="3877">
      <c r="A3877" t="inlineStr">
        <is>
          <t>G|ORIG_BAL x ASSET_CLASS / SYS_FLAG|where Y|gco_rate|book|2</t>
        </is>
      </c>
      <c r="C3877" t="n">
        <v>1.602140046078763</v>
      </c>
      <c r="E3877" t="n">
        <v>0.7188014718495275</v>
      </c>
      <c r="G3877" t="n">
        <v>1.601250507132956</v>
      </c>
      <c r="I3877" t="n">
        <v>1.457584201365249</v>
      </c>
      <c r="J3877" t="n">
        <v>1.356516018381857</v>
      </c>
    </row>
    <row r="3878">
      <c r="A3878" t="inlineStr">
        <is>
          <t>G|ORIG_BAL x ASSET_CLASS / SYS_FLAG|where Y|gco_rate|band|2</t>
        </is>
      </c>
      <c r="C3878" t="n">
        <v>1.255099708016456</v>
      </c>
      <c r="E3878" t="n">
        <v>0.4628904323291967</v>
      </c>
      <c r="G3878" t="n">
        <v>1.260214709427187</v>
      </c>
      <c r="I3878" t="n">
        <v>1.103249310943735</v>
      </c>
    </row>
    <row r="3879">
      <c r="A3879" t="inlineStr">
        <is>
          <t>G|ORIG_BAL x ASSET_CLASS / SYS_FLAG|where Y|gco_rate|rate|3</t>
        </is>
      </c>
      <c r="C3879" t="n">
        <v>0.03937935610125742</v>
      </c>
      <c r="E3879" t="n">
        <v>0.04285562067459982</v>
      </c>
      <c r="G3879" t="n">
        <v>0.03522812136505121</v>
      </c>
      <c r="I3879" t="n">
        <v>0.06509947332517688</v>
      </c>
      <c r="J3879" t="n">
        <v>0.04624469674154727</v>
      </c>
    </row>
    <row r="3880">
      <c r="A3880" t="inlineStr">
        <is>
          <t>G|ORIG_BAL x ASSET_CLASS / SYS_FLAG|where Y|gco_rate|book|3</t>
        </is>
      </c>
      <c r="C3880" t="n">
        <v>0.9464993381427915</v>
      </c>
      <c r="E3880" t="n">
        <v>1.030052814980184</v>
      </c>
      <c r="G3880" t="n">
        <v>0.8467226703833843</v>
      </c>
      <c r="I3880" t="n">
        <v>1.56469314168793</v>
      </c>
      <c r="J3880" t="n">
        <v>1.11151067950273</v>
      </c>
    </row>
    <row r="3881">
      <c r="A3881" t="inlineStr">
        <is>
          <t>G|ORIG_BAL x ASSET_CLASS / SYS_FLAG|where Y|gco_rate|band|3</t>
        </is>
      </c>
      <c r="C3881" t="n">
        <v>0.81311132761386</v>
      </c>
      <c r="E3881" t="n">
        <v>0.9043063768303193</v>
      </c>
      <c r="G3881" t="n">
        <v>0.7098020837475901</v>
      </c>
      <c r="I3881" t="n">
        <v>1.658774590479079</v>
      </c>
    </row>
    <row r="3882">
      <c r="A3882" t="inlineStr">
        <is>
          <t>G|ORIG_BAL x ASSET_CLASS / SYS_FLAG|where Y|gco_rate|rate|4</t>
        </is>
      </c>
      <c r="C3882" t="n">
        <v>0.04153139077202288</v>
      </c>
      <c r="E3882" t="n">
        <v>0.04389992757422654</v>
      </c>
      <c r="G3882" t="n">
        <v>0.06978149794772584</v>
      </c>
      <c r="I3882" t="n">
        <v>0.1032871988884892</v>
      </c>
      <c r="J3882" t="n">
        <v>0.06478485971440696</v>
      </c>
    </row>
    <row r="3883">
      <c r="A3883" t="inlineStr">
        <is>
          <t>G|ORIG_BAL x ASSET_CLASS / SYS_FLAG|where Y|gco_rate|book|4</t>
        </is>
      </c>
      <c r="C3883" t="n">
        <v>0.9982243939385823</v>
      </c>
      <c r="E3883" t="n">
        <v>1.055153169256496</v>
      </c>
      <c r="G3883" t="n">
        <v>1.67722756695928</v>
      </c>
      <c r="I3883" t="n">
        <v>2.482551140125328</v>
      </c>
      <c r="J3883" t="n">
        <v>1.557131271615734</v>
      </c>
    </row>
    <row r="3884">
      <c r="A3884" t="inlineStr">
        <is>
          <t>G|ORIG_BAL x ASSET_CLASS / SYS_FLAG|where Y|gco_rate|band|4</t>
        </is>
      </c>
      <c r="C3884" t="n">
        <v>0.5778507547774823</v>
      </c>
      <c r="E3884" t="n">
        <v>0.6082054665340298</v>
      </c>
      <c r="G3884" t="n">
        <v>1.10635224837663</v>
      </c>
      <c r="I3884" t="n">
        <v>1.987663555477795</v>
      </c>
    </row>
    <row r="3885">
      <c r="A3885" t="inlineStr">
        <is>
          <t>G|ORIG_BAL x ASSET_CLASS / SYS_FLAG|where Y|gco_rate|rate|5</t>
        </is>
      </c>
      <c r="C3885" t="n">
        <v>0.05918236225894098</v>
      </c>
      <c r="E3885" t="n">
        <v>0.04184060461877476</v>
      </c>
      <c r="G3885" t="n">
        <v>0.03704973484090528</v>
      </c>
      <c r="I3885" t="n">
        <v>0.0662909487360247</v>
      </c>
      <c r="J3885" t="n">
        <v>0.0508965966722594</v>
      </c>
    </row>
    <row r="3886">
      <c r="A3886" t="inlineStr">
        <is>
          <t>G|ORIG_BAL x ASSET_CLASS / SYS_FLAG|where Y|gco_rate|book|5</t>
        </is>
      </c>
      <c r="C3886" t="n">
        <v>1.422472895792877</v>
      </c>
      <c r="E3886" t="n">
        <v>1.005656478418143</v>
      </c>
      <c r="G3886" t="n">
        <v>0.8905059141930215</v>
      </c>
      <c r="I3886" t="n">
        <v>1.593330752848486</v>
      </c>
      <c r="J3886" t="n">
        <v>1.223321045172597</v>
      </c>
    </row>
    <row r="3887">
      <c r="A3887" t="inlineStr">
        <is>
          <t>G|ORIG_BAL x ASSET_CLASS / SYS_FLAG|where Y|gco_rate|band|5</t>
        </is>
      </c>
      <c r="C3887" t="n">
        <v>1.234353845585681</v>
      </c>
      <c r="E3887" t="n">
        <v>0.7723381998034148</v>
      </c>
      <c r="G3887" t="n">
        <v>0.670224060429664</v>
      </c>
      <c r="I3887" t="n">
        <v>1.432826412843157</v>
      </c>
    </row>
    <row r="3888">
      <c r="A3888" t="inlineStr">
        <is>
          <t>G|ORIG_BAL x ASSET_CLASS / SYS_FLAG|where Y|gco_rate|rate|6</t>
        </is>
      </c>
    </row>
    <row r="3889">
      <c r="A3889" t="inlineStr">
        <is>
          <t>G|ORIG_BAL x ASSET_CLASS / SYS_FLAG|where Y|gco_rate|book|6</t>
        </is>
      </c>
    </row>
    <row r="3890">
      <c r="A3890" t="inlineStr">
        <is>
          <t>G|ORIG_BAL x ASSET_CLASS / SYS_FLAG|where Y|gco_rate|band|6</t>
        </is>
      </c>
    </row>
    <row r="3891">
      <c r="A3891" t="inlineStr">
        <is>
          <t>G|ORIG_BAL x ASSET_CLASS / SYS_FLAG|where Y|gco_rate|rate|7</t>
        </is>
      </c>
      <c r="C3891" t="n">
        <v>0.05105761588999549</v>
      </c>
      <c r="E3891" t="n">
        <v>0.04205486969531595</v>
      </c>
      <c r="G3891" t="n">
        <v>0.05138794933615651</v>
      </c>
      <c r="I3891" t="n">
        <v>0.07495703613824994</v>
      </c>
      <c r="J3891" t="n">
        <v>0.0548105476525432</v>
      </c>
    </row>
    <row r="3892">
      <c r="A3892" t="inlineStr">
        <is>
          <t>G|ORIG_BAL x ASSET_CLASS / SYS_FLAG|where Y|gco_rate|book|7</t>
        </is>
      </c>
      <c r="C3892" t="n">
        <v>1.227191209596404</v>
      </c>
      <c r="E3892" t="n">
        <v>1.010806429387678</v>
      </c>
      <c r="G3892" t="n">
        <v>1.235130912504544</v>
      </c>
      <c r="I3892" t="n">
        <v>1.801623797798296</v>
      </c>
      <c r="J3892" t="n">
        <v>1.317394498350357</v>
      </c>
    </row>
    <row r="3893">
      <c r="A3893" t="inlineStr">
        <is>
          <t>G|ORIG_BAL x ASSET_CLASS / SYS_FLAG|where Y|gco_rate|band|7</t>
        </is>
      </c>
    </row>
    <row r="3894">
      <c r="A3894" t="inlineStr">
        <is>
          <t>G|ORIG_BAL x ASSET_CLASS / SYS_FLAG|where Y|gco_rate|meta</t>
        </is>
      </c>
      <c r="B3894" t="inlineStr">
        <is>
          <t>x</t>
        </is>
      </c>
      <c r="C3894" t="n">
        <v>2.482551140125328</v>
      </c>
      <c r="D3894" t="n">
        <v>10</v>
      </c>
      <c r="E3894" t="n">
        <v>0.04160526533333565</v>
      </c>
      <c r="F3894" t="n">
        <v>65</v>
      </c>
    </row>
    <row r="3895">
      <c r="A3895" t="inlineStr">
        <is>
          <t>G|ORIG_BAL x ASSET_CLASS / SYS_FLAG|where Y|ranr_rate|rate|1</t>
        </is>
      </c>
      <c r="C3895" t="n">
        <v>0.1451278835003983</v>
      </c>
      <c r="E3895" t="n">
        <v>0.1112646564442411</v>
      </c>
      <c r="G3895" t="n">
        <v>0.1341773437247396</v>
      </c>
      <c r="I3895" t="n">
        <v>0.1309753335771528</v>
      </c>
      <c r="J3895" t="n">
        <v>0.1308043622690214</v>
      </c>
    </row>
    <row r="3896">
      <c r="A3896" t="inlineStr">
        <is>
          <t>G|ORIG_BAL x ASSET_CLASS / SYS_FLAG|where Y|ranr_rate|book|1</t>
        </is>
      </c>
      <c r="C3896" t="n">
        <v>1.713783385</v>
      </c>
      <c r="E3896" t="n">
        <v>-1.67253932</v>
      </c>
      <c r="G3896" t="n">
        <v>0.618729408</v>
      </c>
      <c r="I3896" t="n">
        <v>0.298528393</v>
      </c>
      <c r="J3896" t="n">
        <v>0.281431262</v>
      </c>
    </row>
    <row r="3897">
      <c r="A3897" t="inlineStr">
        <is>
          <t>G|ORIG_BAL x ASSET_CLASS / SYS_FLAG|where Y|ranr_rate|band|1</t>
        </is>
      </c>
      <c r="C3897" t="n">
        <v>1.911330843</v>
      </c>
      <c r="E3897" t="n">
        <v>-2.535059706</v>
      </c>
      <c r="G3897" t="n">
        <v>0.449731927</v>
      </c>
      <c r="I3897" t="n">
        <v>0.023426425</v>
      </c>
    </row>
    <row r="3898">
      <c r="A3898" t="inlineStr">
        <is>
          <t>G|ORIG_BAL x ASSET_CLASS / SYS_FLAG|where Y|ranr_rate|rate|2</t>
        </is>
      </c>
      <c r="C3898" t="n">
        <v>0.1026030522909873</v>
      </c>
      <c r="E3898" t="n">
        <v>0.1308177588348792</v>
      </c>
      <c r="G3898" t="n">
        <v>0.1015119371033395</v>
      </c>
      <c r="I3898" t="n">
        <v>0.1311850681759872</v>
      </c>
      <c r="J3898" t="n">
        <v>0.1163666258605022</v>
      </c>
    </row>
    <row r="3899">
      <c r="A3899" t="inlineStr">
        <is>
          <t>G|ORIG_BAL x ASSET_CLASS / SYS_FLAG|where Y|ranr_rate|book|2</t>
        </is>
      </c>
      <c r="C3899" t="n">
        <v>-2.538699736</v>
      </c>
      <c r="E3899" t="n">
        <v>0.282770919</v>
      </c>
      <c r="G3899" t="n">
        <v>-2.647811254</v>
      </c>
      <c r="I3899" t="n">
        <v>0.319501853</v>
      </c>
      <c r="J3899" t="n">
        <v>-1.162342379</v>
      </c>
    </row>
    <row r="3900">
      <c r="A3900" t="inlineStr">
        <is>
          <t>G|ORIG_BAL x ASSET_CLASS / SYS_FLAG|where Y|ranr_rate|band|2</t>
        </is>
      </c>
      <c r="C3900" t="n">
        <v>-1.824704609</v>
      </c>
      <c r="E3900" t="n">
        <v>1.890032255</v>
      </c>
      <c r="G3900" t="n">
        <v>-2.006850216</v>
      </c>
      <c r="I3900" t="n">
        <v>2.000024176</v>
      </c>
    </row>
    <row r="3901">
      <c r="A3901" t="inlineStr">
        <is>
          <t>G|ORIG_BAL x ASSET_CLASS / SYS_FLAG|where Y|ranr_rate|rate|3</t>
        </is>
      </c>
      <c r="C3901" t="n">
        <v>0.130159425166618</v>
      </c>
      <c r="E3901" t="n">
        <v>0.1228987370954112</v>
      </c>
      <c r="G3901" t="n">
        <v>0.136607210435126</v>
      </c>
      <c r="I3901" t="n">
        <v>0.1117344061294539</v>
      </c>
      <c r="J3901" t="n">
        <v>0.1248526978893463</v>
      </c>
    </row>
    <row r="3902">
      <c r="A3902" t="inlineStr">
        <is>
          <t>G|ORIG_BAL x ASSET_CLASS / SYS_FLAG|where Y|ranr_rate|book|3</t>
        </is>
      </c>
      <c r="C3902" t="n">
        <v>0.216937552</v>
      </c>
      <c r="E3902" t="n">
        <v>-0.509131255</v>
      </c>
      <c r="G3902" t="n">
        <v>0.861716079</v>
      </c>
      <c r="I3902" t="n">
        <v>-1.625564352</v>
      </c>
      <c r="J3902" t="n">
        <v>-0.313735176</v>
      </c>
    </row>
    <row r="3903">
      <c r="A3903" t="inlineStr">
        <is>
          <t>G|ORIG_BAL x ASSET_CLASS / SYS_FLAG|where Y|ranr_rate|band|3</t>
        </is>
      </c>
      <c r="C3903" t="n">
        <v>0.699626509</v>
      </c>
      <c r="E3903" t="n">
        <v>-0.261462689</v>
      </c>
      <c r="G3903" t="n">
        <v>1.536754584</v>
      </c>
      <c r="I3903" t="n">
        <v>-1.798799821</v>
      </c>
    </row>
    <row r="3904">
      <c r="A3904" t="inlineStr">
        <is>
          <t>G|ORIG_BAL x ASSET_CLASS / SYS_FLAG|where Y|ranr_rate|rate|4</t>
        </is>
      </c>
      <c r="C3904" t="n">
        <v>0.1289667174912146</v>
      </c>
      <c r="E3904" t="n">
        <v>0.1239792151671739</v>
      </c>
      <c r="G3904" t="n">
        <v>0.09086001341967721</v>
      </c>
      <c r="I3904" t="n">
        <v>0.06294244542938228</v>
      </c>
      <c r="J3904" t="n">
        <v>0.1014475073967631</v>
      </c>
    </row>
    <row r="3905">
      <c r="A3905" t="inlineStr">
        <is>
          <t>G|ORIG_BAL x ASSET_CLASS / SYS_FLAG|where Y|ranr_rate|book|4</t>
        </is>
      </c>
      <c r="C3905" t="n">
        <v>0.09766678400000001</v>
      </c>
      <c r="E3905" t="n">
        <v>-0.401083448</v>
      </c>
      <c r="G3905" t="n">
        <v>-3.713003623</v>
      </c>
      <c r="I3905" t="n">
        <v>-6.504760422</v>
      </c>
      <c r="J3905" t="n">
        <v>-2.654254225</v>
      </c>
    </row>
    <row r="3906">
      <c r="A3906" t="inlineStr">
        <is>
          <t>G|ORIG_BAL x ASSET_CLASS / SYS_FLAG|where Y|ranr_rate|band|4</t>
        </is>
      </c>
      <c r="C3906" t="n">
        <v>3.590666095</v>
      </c>
      <c r="E3906" t="n">
        <v>3.0509346</v>
      </c>
      <c r="G3906" t="n">
        <v>-1.421375451</v>
      </c>
      <c r="I3906" t="n">
        <v>-5.132670261</v>
      </c>
    </row>
    <row r="3907">
      <c r="A3907" t="inlineStr">
        <is>
          <t>G|ORIG_BAL x ASSET_CLASS / SYS_FLAG|where Y|ranr_rate|rate|5</t>
        </is>
      </c>
      <c r="C3907" t="n">
        <v>0.1198509850320753</v>
      </c>
      <c r="E3907" t="n">
        <v>0.1095398721533875</v>
      </c>
      <c r="G3907" t="n">
        <v>0.1225120577257538</v>
      </c>
      <c r="I3907" t="n">
        <v>0.1033932404821314</v>
      </c>
      <c r="J3907" t="n">
        <v>0.1139450120628223</v>
      </c>
    </row>
    <row r="3908">
      <c r="A3908" t="inlineStr">
        <is>
          <t>G|ORIG_BAL x ASSET_CLASS / SYS_FLAG|where Y|ranr_rate|book|5</t>
        </is>
      </c>
      <c r="C3908" t="n">
        <v>-0.8139064620000001</v>
      </c>
      <c r="E3908" t="n">
        <v>-1.845017749</v>
      </c>
      <c r="G3908" t="n">
        <v>-0.547799192</v>
      </c>
      <c r="I3908" t="n">
        <v>-2.459680917</v>
      </c>
      <c r="J3908" t="n">
        <v>-1.404503759</v>
      </c>
    </row>
    <row r="3909">
      <c r="A3909" t="inlineStr">
        <is>
          <t>G|ORIG_BAL x ASSET_CLASS / SYS_FLAG|where Y|ranr_rate|band|5</t>
        </is>
      </c>
      <c r="C3909" t="n">
        <v>0.800909635</v>
      </c>
      <c r="E3909" t="n">
        <v>-0.599935105</v>
      </c>
      <c r="G3909" t="n">
        <v>1.127882294</v>
      </c>
      <c r="I3909" t="n">
        <v>-1.372582249</v>
      </c>
    </row>
    <row r="3910">
      <c r="A3910" t="inlineStr">
        <is>
          <t>G|ORIG_BAL x ASSET_CLASS / SYS_FLAG|where Y|ranr_rate|rate|6</t>
        </is>
      </c>
    </row>
    <row r="3911">
      <c r="A3911" t="inlineStr">
        <is>
          <t>G|ORIG_BAL x ASSET_CLASS / SYS_FLAG|where Y|ranr_rate|book|6</t>
        </is>
      </c>
    </row>
    <row r="3912">
      <c r="A3912" t="inlineStr">
        <is>
          <t>G|ORIG_BAL x ASSET_CLASS / SYS_FLAG|where Y|ranr_rate|band|6</t>
        </is>
      </c>
    </row>
    <row r="3913">
      <c r="A3913" t="inlineStr">
        <is>
          <t>G|ORIG_BAL x ASSET_CLASS / SYS_FLAG|where Y|ranr_rate|rate|7</t>
        </is>
      </c>
      <c r="C3913" t="n">
        <v>0.1235529127423794</v>
      </c>
      <c r="E3913" t="n">
        <v>0.1188036462606204</v>
      </c>
      <c r="G3913" t="n">
        <v>0.1139107040211185</v>
      </c>
      <c r="I3913" t="n">
        <v>0.09945745884195703</v>
      </c>
      <c r="J3913" t="n">
        <v>0.1139361498721039</v>
      </c>
    </row>
    <row r="3914">
      <c r="A3914" t="inlineStr">
        <is>
          <t>G|ORIG_BAL x ASSET_CLASS / SYS_FLAG|where Y|ranr_rate|book|7</t>
        </is>
      </c>
      <c r="C3914" t="n">
        <v>-0.443713691</v>
      </c>
      <c r="E3914" t="n">
        <v>-0.918640339</v>
      </c>
      <c r="G3914" t="n">
        <v>-1.407934563</v>
      </c>
      <c r="I3914" t="n">
        <v>-2.853259081</v>
      </c>
      <c r="J3914" t="n">
        <v>-1.405389978</v>
      </c>
    </row>
    <row r="3915">
      <c r="A3915" t="inlineStr">
        <is>
          <t>G|ORIG_BAL x ASSET_CLASS / SYS_FLAG|where Y|ranr_rate|band|7</t>
        </is>
      </c>
    </row>
    <row r="3916">
      <c r="A3916" t="inlineStr">
        <is>
          <t>G|ORIG_BAL x ASSET_CLASS / SYS_FLAG|where Y|ranr_rate|meta</t>
        </is>
      </c>
      <c r="B3916" t="inlineStr">
        <is>
          <t>pts</t>
        </is>
      </c>
      <c r="C3916" t="n">
        <v>6.504760422</v>
      </c>
      <c r="D3916" t="n">
        <v>10</v>
      </c>
      <c r="E3916" t="n">
        <v>0.1279900496481481</v>
      </c>
      <c r="F3916" t="n">
        <v>65</v>
      </c>
    </row>
    <row r="3917">
      <c r="A3917" t="inlineStr">
        <is>
          <t>G|ORIG_BAL x ASSET_CLASS / SYS_FLAG|where Y|contribution_rate|rate|1</t>
        </is>
      </c>
      <c r="C3917" t="n">
        <v>0.1928473003499398</v>
      </c>
      <c r="E3917" t="n">
        <v>0.1685685070337879</v>
      </c>
      <c r="G3917" t="n">
        <v>0.1917278573460729</v>
      </c>
      <c r="I3917" t="n">
        <v>0.1883800785812211</v>
      </c>
      <c r="J3917" t="n">
        <v>0.185795283325966</v>
      </c>
    </row>
    <row r="3918">
      <c r="A3918" t="inlineStr">
        <is>
          <t>G|ORIG_BAL x ASSET_CLASS / SYS_FLAG|where Y|contribution_rate|book|1</t>
        </is>
      </c>
      <c r="C3918" t="n">
        <v>2.325484461</v>
      </c>
      <c r="E3918" t="n">
        <v>-0.10239487</v>
      </c>
      <c r="G3918" t="n">
        <v>2.213540161</v>
      </c>
      <c r="I3918" t="n">
        <v>1.878762285</v>
      </c>
      <c r="J3918" t="n">
        <v>1.620282759</v>
      </c>
    </row>
    <row r="3919">
      <c r="A3919" t="inlineStr">
        <is>
          <t>G|ORIG_BAL x ASSET_CLASS / SYS_FLAG|where Y|contribution_rate|band|1</t>
        </is>
      </c>
      <c r="C3919" t="n">
        <v>0.941021235</v>
      </c>
      <c r="E3919" t="n">
        <v>-2.234982801</v>
      </c>
      <c r="G3919" t="n">
        <v>0.791011744</v>
      </c>
      <c r="I3919" t="n">
        <v>0.354167685</v>
      </c>
    </row>
    <row r="3920">
      <c r="A3920" t="inlineStr">
        <is>
          <t>G|ORIG_BAL x ASSET_CLASS / SYS_FLAG|where Y|contribution_rate|rate|2</t>
        </is>
      </c>
      <c r="C3920" t="n">
        <v>0.1692605140092568</v>
      </c>
      <c r="E3920" t="n">
        <v>0.160723684793171</v>
      </c>
      <c r="G3920" t="n">
        <v>0.1681323893177444</v>
      </c>
      <c r="I3920" t="n">
        <v>0.1918282456194665</v>
      </c>
      <c r="J3920" t="n">
        <v>0.1728048347341994</v>
      </c>
    </row>
    <row r="3921">
      <c r="A3921" t="inlineStr">
        <is>
          <t>G|ORIG_BAL x ASSET_CLASS / SYS_FLAG|where Y|contribution_rate|book|2</t>
        </is>
      </c>
      <c r="C3921" t="n">
        <v>-0.033194173</v>
      </c>
      <c r="E3921" t="n">
        <v>-0.886877094</v>
      </c>
      <c r="G3921" t="n">
        <v>-0.146006642</v>
      </c>
      <c r="I3921" t="n">
        <v>2.223578988</v>
      </c>
      <c r="J3921" t="n">
        <v>0.3212379</v>
      </c>
    </row>
    <row r="3922">
      <c r="A3922" t="inlineStr">
        <is>
          <t>G|ORIG_BAL x ASSET_CLASS / SYS_FLAG|where Y|contribution_rate|band|2</t>
        </is>
      </c>
      <c r="C3922" t="n">
        <v>-0.469888022</v>
      </c>
      <c r="E3922" t="n">
        <v>-1.580067328</v>
      </c>
      <c r="G3922" t="n">
        <v>-0.63124164</v>
      </c>
      <c r="I3922" t="n">
        <v>2.56756283</v>
      </c>
    </row>
    <row r="3923">
      <c r="A3923" t="inlineStr">
        <is>
          <t>G|ORIG_BAL x ASSET_CLASS / SYS_FLAG|where Y|contribution_rate|rate|3</t>
        </is>
      </c>
      <c r="C3923" t="n">
        <v>0.1695387812678755</v>
      </c>
      <c r="E3923" t="n">
        <v>0.165754357770011</v>
      </c>
      <c r="G3923" t="n">
        <v>0.1718353318001772</v>
      </c>
      <c r="I3923" t="n">
        <v>0.1768338794546308</v>
      </c>
      <c r="J3923" t="n">
        <v>0.1710973946308936</v>
      </c>
    </row>
    <row r="3924">
      <c r="A3924" t="inlineStr">
        <is>
          <t>G|ORIG_BAL x ASSET_CLASS / SYS_FLAG|where Y|contribution_rate|book|3</t>
        </is>
      </c>
      <c r="C3924" t="n">
        <v>-0.005367447</v>
      </c>
      <c r="E3924" t="n">
        <v>-0.383809796</v>
      </c>
      <c r="G3924" t="n">
        <v>0.224287607</v>
      </c>
      <c r="I3924" t="n">
        <v>0.724142372</v>
      </c>
      <c r="J3924" t="n">
        <v>0.15049389</v>
      </c>
    </row>
    <row r="3925">
      <c r="A3925" t="inlineStr">
        <is>
          <t>G|ORIG_BAL x ASSET_CLASS / SYS_FLAG|where Y|contribution_rate|band|3</t>
        </is>
      </c>
      <c r="C3925" t="n">
        <v>-0.205483939</v>
      </c>
      <c r="E3925" t="n">
        <v>-0.714960499</v>
      </c>
      <c r="G3925" t="n">
        <v>0.09647599799999999</v>
      </c>
      <c r="I3925" t="n">
        <v>0.786595394</v>
      </c>
    </row>
    <row r="3926">
      <c r="A3926" t="inlineStr">
        <is>
          <t>G|ORIG_BAL x ASSET_CLASS / SYS_FLAG|where Y|contribution_rate|rate|4</t>
        </is>
      </c>
      <c r="C3926" t="n">
        <v>0.1704981082632374</v>
      </c>
      <c r="E3926" t="n">
        <v>0.1678791427414002</v>
      </c>
      <c r="G3926" t="n">
        <v>0.1606415113674031</v>
      </c>
      <c r="I3926" t="n">
        <v>0.1662296443178715</v>
      </c>
      <c r="J3926" t="n">
        <v>0.16623236711117</v>
      </c>
    </row>
    <row r="3927">
      <c r="A3927" t="inlineStr">
        <is>
          <t>G|ORIG_BAL x ASSET_CLASS / SYS_FLAG|where Y|contribution_rate|book|4</t>
        </is>
      </c>
      <c r="C3927" t="n">
        <v>0.090565253</v>
      </c>
      <c r="E3927" t="n">
        <v>-0.171331299</v>
      </c>
      <c r="G3927" t="n">
        <v>-0.895094437</v>
      </c>
      <c r="I3927" t="n">
        <v>-0.336281142</v>
      </c>
      <c r="J3927" t="n">
        <v>-0.336008862</v>
      </c>
    </row>
    <row r="3928">
      <c r="A3928" t="inlineStr">
        <is>
          <t>G|ORIG_BAL x ASSET_CLASS / SYS_FLAG|where Y|contribution_rate|band|4</t>
        </is>
      </c>
      <c r="C3928" t="n">
        <v>0.556587637</v>
      </c>
      <c r="E3928" t="n">
        <v>0.222983752</v>
      </c>
      <c r="G3928" t="n">
        <v>-0.750574699</v>
      </c>
      <c r="I3928" t="n">
        <v>-0.000362944</v>
      </c>
    </row>
    <row r="3929">
      <c r="A3929" t="inlineStr">
        <is>
          <t>G|ORIG_BAL x ASSET_CLASS / SYS_FLAG|where Y|contribution_rate|rate|5</t>
        </is>
      </c>
      <c r="C3929" t="n">
        <v>0.1790333472910162</v>
      </c>
      <c r="E3929" t="n">
        <v>0.1513804767721622</v>
      </c>
      <c r="G3929" t="n">
        <v>0.1595617925666591</v>
      </c>
      <c r="I3929" t="n">
        <v>0.1696841892181561</v>
      </c>
      <c r="J3929" t="n">
        <v>0.1648416087350817</v>
      </c>
    </row>
    <row r="3930">
      <c r="A3930" t="inlineStr">
        <is>
          <t>G|ORIG_BAL x ASSET_CLASS / SYS_FLAG|where Y|contribution_rate|book|5</t>
        </is>
      </c>
      <c r="C3930" t="n">
        <v>0.944089156</v>
      </c>
      <c r="E3930" t="n">
        <v>-1.821197896</v>
      </c>
      <c r="G3930" t="n">
        <v>-1.003066317</v>
      </c>
      <c r="I3930" t="n">
        <v>0.009173348</v>
      </c>
      <c r="J3930" t="n">
        <v>-0.4750847</v>
      </c>
    </row>
    <row r="3931">
      <c r="A3931" t="inlineStr">
        <is>
          <t>G|ORIG_BAL x ASSET_CLASS / SYS_FLAG|where Y|contribution_rate|band|5</t>
        </is>
      </c>
      <c r="C3931" t="n">
        <v>1.924543206</v>
      </c>
      <c r="E3931" t="n">
        <v>-1.833268815</v>
      </c>
      <c r="G3931" t="n">
        <v>-0.695106739</v>
      </c>
      <c r="I3931" t="n">
        <v>0.62992645</v>
      </c>
    </row>
    <row r="3932">
      <c r="A3932" t="inlineStr">
        <is>
          <t>G|ORIG_BAL x ASSET_CLASS / SYS_FLAG|where Y|contribution_rate|rate|6</t>
        </is>
      </c>
    </row>
    <row r="3933">
      <c r="A3933" t="inlineStr">
        <is>
          <t>G|ORIG_BAL x ASSET_CLASS / SYS_FLAG|where Y|contribution_rate|book|6</t>
        </is>
      </c>
    </row>
    <row r="3934">
      <c r="A3934" t="inlineStr">
        <is>
          <t>G|ORIG_BAL x ASSET_CLASS / SYS_FLAG|where Y|contribution_rate|band|6</t>
        </is>
      </c>
    </row>
    <row r="3935">
      <c r="A3935" t="inlineStr">
        <is>
          <t>G|ORIG_BAL x ASSET_CLASS / SYS_FLAG|where Y|contribution_rate|rate|7</t>
        </is>
      </c>
      <c r="C3935" t="n">
        <v>0.1746105286323749</v>
      </c>
      <c r="E3935" t="n">
        <v>0.1608585159559363</v>
      </c>
      <c r="G3935" t="n">
        <v>0.1652986533572751</v>
      </c>
      <c r="I3935" t="n">
        <v>0.1744144949802069</v>
      </c>
      <c r="J3935" t="n">
        <v>0.1687466975246471</v>
      </c>
    </row>
    <row r="3936">
      <c r="A3936" t="inlineStr">
        <is>
          <t>G|ORIG_BAL x ASSET_CLASS / SYS_FLAG|where Y|contribution_rate|book|7</t>
        </is>
      </c>
      <c r="C3936" t="n">
        <v>0.50180729</v>
      </c>
      <c r="E3936" t="n">
        <v>-0.873393978</v>
      </c>
      <c r="G3936" t="n">
        <v>-0.429380238</v>
      </c>
      <c r="I3936" t="n">
        <v>0.482203925</v>
      </c>
      <c r="J3936" t="n">
        <v>-0.084575821</v>
      </c>
    </row>
    <row r="3937">
      <c r="A3937" t="inlineStr">
        <is>
          <t>G|ORIG_BAL x ASSET_CLASS / SYS_FLAG|where Y|contribution_rate|band|7</t>
        </is>
      </c>
    </row>
    <row r="3938">
      <c r="A3938" t="inlineStr">
        <is>
          <t>G|ORIG_BAL x ASSET_CLASS / SYS_FLAG|where Y|contribution_rate|meta</t>
        </is>
      </c>
      <c r="B3938" t="inlineStr">
        <is>
          <t>pts</t>
        </is>
      </c>
      <c r="C3938" t="n">
        <v>2.56756283</v>
      </c>
      <c r="D3938" t="n">
        <v>10</v>
      </c>
      <c r="E3938" t="n">
        <v>0.1695924557349815</v>
      </c>
      <c r="F3938" t="n">
        <v>65</v>
      </c>
    </row>
    <row r="3939">
      <c r="A3939" t="inlineStr">
        <is>
          <t>G|ORIG_BAL x ASSET_CLASS / SYS_FLAG|where Y|loan_size|rate|1</t>
        </is>
      </c>
      <c r="C3939" t="n">
        <v>10163.39955555556</v>
      </c>
      <c r="E3939" t="n">
        <v>10458.4115</v>
      </c>
      <c r="G3939" t="n">
        <v>9918.738206521739</v>
      </c>
      <c r="I3939" t="n">
        <v>10062.92765306122</v>
      </c>
      <c r="J3939" t="n">
        <v>10139.08251388889</v>
      </c>
    </row>
    <row r="3940">
      <c r="A3940" t="inlineStr">
        <is>
          <t>G|ORIG_BAL x ASSET_CLASS / SYS_FLAG|where Y|loan_size|median|1</t>
        </is>
      </c>
      <c r="C3940" t="n">
        <v>10074.185</v>
      </c>
      <c r="E3940" t="n">
        <v>10613.415</v>
      </c>
      <c r="G3940" t="n">
        <v>10035.045</v>
      </c>
      <c r="I3940" t="n">
        <v>10140.595</v>
      </c>
      <c r="J3940" t="n">
        <v>10126.21</v>
      </c>
    </row>
    <row r="3941">
      <c r="A3941" t="inlineStr">
        <is>
          <t>G|ORIG_BAL x ASSET_CLASS / SYS_FLAG|where Y|loan_size|book|1</t>
        </is>
      </c>
      <c r="C3941" t="n">
        <v>0.3150212057906461</v>
      </c>
      <c r="E3941" t="n">
        <v>0.3241652936476203</v>
      </c>
      <c r="G3941" t="n">
        <v>0.3074377675167008</v>
      </c>
      <c r="I3941" t="n">
        <v>0.3119070135660038</v>
      </c>
      <c r="J3941" t="n">
        <v>0.3142674832054795</v>
      </c>
    </row>
    <row r="3942">
      <c r="A3942" t="inlineStr">
        <is>
          <t>G|ORIG_BAL x ASSET_CLASS / SYS_FLAG|where Y|loan_size|band|1</t>
        </is>
      </c>
      <c r="C3942" t="n">
        <v>1.00320035498606</v>
      </c>
      <c r="E3942" t="n">
        <v>1.040861081384935</v>
      </c>
      <c r="G3942" t="n">
        <v>0.9710236990585009</v>
      </c>
      <c r="I3942" t="n">
        <v>0.9897084270682034</v>
      </c>
    </row>
    <row r="3943">
      <c r="A3943" t="inlineStr">
        <is>
          <t>G|ORIG_BAL x ASSET_CLASS / SYS_FLAG|where Y|loan_size|rate|2</t>
        </is>
      </c>
      <c r="C3943" t="n">
        <v>20939.62288888889</v>
      </c>
      <c r="E3943" t="n">
        <v>21241.35376470588</v>
      </c>
      <c r="G3943" t="n">
        <v>20649.17160621762</v>
      </c>
      <c r="I3943" t="n">
        <v>20917.56715789474</v>
      </c>
      <c r="J3943" t="n">
        <v>20927.40810368349</v>
      </c>
    </row>
    <row r="3944">
      <c r="A3944" t="inlineStr">
        <is>
          <t>G|ORIG_BAL x ASSET_CLASS / SYS_FLAG|where Y|loan_size|median|2</t>
        </is>
      </c>
      <c r="C3944" t="n">
        <v>21133.51</v>
      </c>
      <c r="E3944" t="n">
        <v>20929.71</v>
      </c>
      <c r="G3944" t="n">
        <v>20660.2</v>
      </c>
      <c r="I3944" t="n">
        <v>20769.945</v>
      </c>
      <c r="J3944" t="n">
        <v>20862.28</v>
      </c>
    </row>
    <row r="3945">
      <c r="A3945" t="inlineStr">
        <is>
          <t>G|ORIG_BAL x ASSET_CLASS / SYS_FLAG|where Y|loan_size|book|2</t>
        </is>
      </c>
      <c r="C3945" t="n">
        <v>0.6490372847393793</v>
      </c>
      <c r="E3945" t="n">
        <v>0.6583896302616193</v>
      </c>
      <c r="G3945" t="n">
        <v>0.6400345575721166</v>
      </c>
      <c r="I3945" t="n">
        <v>0.6483536529551133</v>
      </c>
      <c r="J3945" t="n">
        <v>0.6486586794958439</v>
      </c>
    </row>
    <row r="3946">
      <c r="A3946" t="inlineStr">
        <is>
          <t>G|ORIG_BAL x ASSET_CLASS / SYS_FLAG|where Y|loan_size|band|2</t>
        </is>
      </c>
      <c r="C3946" t="n">
        <v>1.000773805391196</v>
      </c>
      <c r="E3946" t="n">
        <v>1.019620332373534</v>
      </c>
      <c r="G3946" t="n">
        <v>0.982038191705205</v>
      </c>
      <c r="I3946" t="n">
        <v>0.9993653210605279</v>
      </c>
    </row>
    <row r="3947">
      <c r="A3947" t="inlineStr">
        <is>
          <t>G|ORIG_BAL x ASSET_CLASS / SYS_FLAG|where Y|loan_size|rate|3</t>
        </is>
      </c>
      <c r="C3947" t="n">
        <v>32309.11190751445</v>
      </c>
      <c r="E3947" t="n">
        <v>32672.9787150838</v>
      </c>
      <c r="G3947" t="n">
        <v>32199.5799408284</v>
      </c>
      <c r="I3947" t="n">
        <v>32298.8962371134</v>
      </c>
      <c r="J3947" t="n">
        <v>32371.54465734266</v>
      </c>
    </row>
    <row r="3948">
      <c r="A3948" t="inlineStr">
        <is>
          <t>G|ORIG_BAL x ASSET_CLASS / SYS_FLAG|where Y|loan_size|median|3</t>
        </is>
      </c>
      <c r="C3948" t="n">
        <v>32343.46</v>
      </c>
      <c r="E3948" t="n">
        <v>32848.57</v>
      </c>
      <c r="G3948" t="n">
        <v>32237.03</v>
      </c>
      <c r="I3948" t="n">
        <v>32363.505</v>
      </c>
      <c r="J3948" t="n">
        <v>32470.82</v>
      </c>
    </row>
    <row r="3949">
      <c r="A3949" t="inlineStr">
        <is>
          <t>G|ORIG_BAL x ASSET_CLASS / SYS_FLAG|where Y|loan_size|book|3</t>
        </is>
      </c>
      <c r="C3949" t="n">
        <v>1.001442020998432</v>
      </c>
      <c r="E3949" t="n">
        <v>1.012720310299283</v>
      </c>
      <c r="G3949" t="n">
        <v>0.998047006168065</v>
      </c>
      <c r="I3949" t="n">
        <v>1.001125379623654</v>
      </c>
      <c r="J3949" t="n">
        <v>1.003377164847122</v>
      </c>
    </row>
    <row r="3950">
      <c r="A3950" t="inlineStr">
        <is>
          <t>G|ORIG_BAL x ASSET_CLASS / SYS_FLAG|where Y|loan_size|band|3</t>
        </is>
      </c>
      <c r="C3950" t="n">
        <v>0.9974573386104207</v>
      </c>
      <c r="E3950" t="n">
        <v>1.012460135769703</v>
      </c>
      <c r="G3950" t="n">
        <v>0.9930549429354919</v>
      </c>
      <c r="I3950" t="n">
        <v>0.9969227108767403</v>
      </c>
    </row>
    <row r="3951">
      <c r="A3951" t="inlineStr">
        <is>
          <t>G|ORIG_BAL x ASSET_CLASS / SYS_FLAG|where Y|loan_size|rate|4</t>
        </is>
      </c>
      <c r="C3951" t="n">
        <v>43690.98163841808</v>
      </c>
      <c r="E3951" t="n">
        <v>43500.92226130653</v>
      </c>
      <c r="G3951" t="n">
        <v>43313.73974358974</v>
      </c>
      <c r="I3951" t="n">
        <v>43757.10015873016</v>
      </c>
      <c r="J3951" t="n">
        <v>43560.86639473684</v>
      </c>
    </row>
    <row r="3952">
      <c r="A3952" t="inlineStr">
        <is>
          <t>G|ORIG_BAL x ASSET_CLASS / SYS_FLAG|where Y|loan_size|median|4</t>
        </is>
      </c>
      <c r="C3952" t="n">
        <v>43868.39</v>
      </c>
      <c r="E3952" t="n">
        <v>43424.71</v>
      </c>
      <c r="G3952" t="n">
        <v>43139.16</v>
      </c>
      <c r="I3952" t="n">
        <v>43291.87</v>
      </c>
      <c r="J3952" t="n">
        <v>43474.215</v>
      </c>
    </row>
    <row r="3953">
      <c r="A3953" t="inlineStr">
        <is>
          <t>G|ORIG_BAL x ASSET_CLASS / SYS_FLAG|where Y|loan_size|book|4</t>
        </is>
      </c>
      <c r="C3953" t="n">
        <v>1.354230505518987</v>
      </c>
      <c r="E3953" t="n">
        <v>1.348339491019141</v>
      </c>
      <c r="G3953" t="n">
        <v>1.342537646654788</v>
      </c>
      <c r="I3953" t="n">
        <v>1.356279892230583</v>
      </c>
      <c r="J3953" t="n">
        <v>1.350197498577544</v>
      </c>
    </row>
    <row r="3954">
      <c r="A3954" t="inlineStr">
        <is>
          <t>G|ORIG_BAL x ASSET_CLASS / SYS_FLAG|where Y|loan_size|band|4</t>
        </is>
      </c>
      <c r="C3954" t="n">
        <v>1.003897361829869</v>
      </c>
      <c r="E3954" t="n">
        <v>0.9981366734784769</v>
      </c>
      <c r="G3954" t="n">
        <v>0.9923837935283016</v>
      </c>
      <c r="I3954" t="n">
        <v>1.006004858296258</v>
      </c>
    </row>
    <row r="3955">
      <c r="A3955" t="inlineStr">
        <is>
          <t>G|ORIG_BAL x ASSET_CLASS / SYS_FLAG|where Y|loan_size|rate|5</t>
        </is>
      </c>
      <c r="C3955" t="n">
        <v>54441.84815384616</v>
      </c>
      <c r="E3955" t="n">
        <v>54533.2745177665</v>
      </c>
      <c r="G3955" t="n">
        <v>54302.95273743018</v>
      </c>
      <c r="I3955" t="n">
        <v>54672.08502923976</v>
      </c>
      <c r="J3955" t="n">
        <v>54485.67459568733</v>
      </c>
    </row>
    <row r="3956">
      <c r="A3956" t="inlineStr">
        <is>
          <t>G|ORIG_BAL x ASSET_CLASS / SYS_FLAG|where Y|loan_size|median|5</t>
        </is>
      </c>
      <c r="C3956" t="n">
        <v>54077.6</v>
      </c>
      <c r="E3956" t="n">
        <v>54546.42</v>
      </c>
      <c r="G3956" t="n">
        <v>54197.19</v>
      </c>
      <c r="I3956" t="n">
        <v>54473.26</v>
      </c>
      <c r="J3956" t="n">
        <v>54283.705</v>
      </c>
    </row>
    <row r="3957">
      <c r="A3957" t="inlineStr">
        <is>
          <t>G|ORIG_BAL x ASSET_CLASS / SYS_FLAG|where Y|loan_size|book|5</t>
        </is>
      </c>
      <c r="C3957" t="n">
        <v>1.687460633339078</v>
      </c>
      <c r="E3957" t="n">
        <v>1.690294453189001</v>
      </c>
      <c r="G3957" t="n">
        <v>1.683155479210385</v>
      </c>
      <c r="I3957" t="n">
        <v>1.694596975633553</v>
      </c>
      <c r="J3957" t="n">
        <v>1.688819062522035</v>
      </c>
    </row>
    <row r="3958">
      <c r="A3958" t="inlineStr">
        <is>
          <t>G|ORIG_BAL x ASSET_CLASS / SYS_FLAG|where Y|loan_size|band|5</t>
        </is>
      </c>
      <c r="C3958" t="n">
        <v>0.998909197953737</v>
      </c>
      <c r="E3958" t="n">
        <v>1.00118978497023</v>
      </c>
      <c r="G3958" t="n">
        <v>0.9955848967097176</v>
      </c>
      <c r="I3958" t="n">
        <v>1.00445041879293</v>
      </c>
    </row>
    <row r="3959">
      <c r="A3959" t="inlineStr">
        <is>
          <t>G|ORIG_BAL x ASSET_CLASS / SYS_FLAG|where Y|loan_size|rate|6</t>
        </is>
      </c>
    </row>
    <row r="3960">
      <c r="A3960" t="inlineStr">
        <is>
          <t>G|ORIG_BAL x ASSET_CLASS / SYS_FLAG|where Y|loan_size|median|6</t>
        </is>
      </c>
    </row>
    <row r="3961">
      <c r="A3961" t="inlineStr">
        <is>
          <t>G|ORIG_BAL x ASSET_CLASS / SYS_FLAG|where Y|loan_size|book|6</t>
        </is>
      </c>
    </row>
    <row r="3962">
      <c r="A3962" t="inlineStr">
        <is>
          <t>G|ORIG_BAL x ASSET_CLASS / SYS_FLAG|where Y|loan_size|band|6</t>
        </is>
      </c>
    </row>
    <row r="3963">
      <c r="A3963" t="inlineStr">
        <is>
          <t>G|ORIG_BAL x ASSET_CLASS / SYS_FLAG|where Y|loan_size|rate|7</t>
        </is>
      </c>
      <c r="C3963" t="n">
        <v>32638.1044640884</v>
      </c>
      <c r="E3963" t="n">
        <v>33737.65500552487</v>
      </c>
      <c r="G3963" t="n">
        <v>31976.60298913044</v>
      </c>
      <c r="I3963" t="n">
        <v>31735.82544680851</v>
      </c>
      <c r="J3963" t="n">
        <v>32512.31961580381</v>
      </c>
    </row>
    <row r="3964">
      <c r="A3964" t="inlineStr">
        <is>
          <t>G|ORIG_BAL x ASSET_CLASS / SYS_FLAG|where Y|loan_size|median|7</t>
        </is>
      </c>
      <c r="C3964" t="n">
        <v>32843.59</v>
      </c>
      <c r="E3964" t="n">
        <v>34831.73</v>
      </c>
      <c r="G3964" t="n">
        <v>32062.34</v>
      </c>
      <c r="I3964" t="n">
        <v>31537.565</v>
      </c>
      <c r="J3964" t="n">
        <v>32864.335</v>
      </c>
    </row>
    <row r="3965">
      <c r="A3965" t="inlineStr">
        <is>
          <t>G|ORIG_BAL x ASSET_CLASS / SYS_FLAG|where Y|loan_size|book|7</t>
        </is>
      </c>
      <c r="C3965" t="n">
        <v>1.011639360117253</v>
      </c>
      <c r="E3965" t="n">
        <v>1.045720647141114</v>
      </c>
      <c r="G3965" t="n">
        <v>0.9911356899491706</v>
      </c>
      <c r="I3965" t="n">
        <v>0.9836726328003351</v>
      </c>
      <c r="J3965" t="n">
        <v>1.007740576608821</v>
      </c>
    </row>
    <row r="3966">
      <c r="A3966" t="inlineStr">
        <is>
          <t>G|ORIG_BAL x ASSET_CLASS / SYS_FLAG|where Y|loan_size|band|7</t>
        </is>
      </c>
    </row>
    <row r="3967">
      <c r="A3967" t="inlineStr">
        <is>
          <t>G|ORIG_BAL x ASSET_CLASS / SYS_FLAG|where Y|loan_size|meta</t>
        </is>
      </c>
      <c r="B3967" t="inlineStr">
        <is>
          <t>size</t>
        </is>
      </c>
      <c r="C3967" t="n">
        <v>1</v>
      </c>
      <c r="E3967" t="n">
        <v>32262.58857732217</v>
      </c>
      <c r="F3967" t="n">
        <v>65</v>
      </c>
    </row>
    <row r="3968">
      <c r="A3968" t="inlineStr">
        <is>
          <t>G|fewest</t>
        </is>
      </c>
      <c r="B3968" t="n">
        <v>65</v>
      </c>
    </row>
    <row r="3969">
      <c r="A3969" t="inlineStr">
        <is>
          <t>P|0|FICO x CHANNEL|head</t>
        </is>
      </c>
      <c r="B3969" t="inlineStr">
        <is>
          <t>FICO</t>
        </is>
      </c>
      <c r="C3969" t="inlineStr">
        <is>
          <t>CHANNEL</t>
        </is>
      </c>
      <c r="D3969" t="inlineStr">
        <is>
          <t>Loans</t>
        </is>
      </c>
      <c r="E3969" t="inlineStr">
        <is>
          <t>Booked dollars</t>
        </is>
      </c>
      <c r="F3969" t="inlineStr">
        <is>
          <t>N</t>
        </is>
      </c>
      <c r="H3969" t="inlineStr">
        <is>
          <t>Y</t>
        </is>
      </c>
    </row>
    <row r="3970">
      <c r="A3970" t="inlineStr">
        <is>
          <t>P|0|FICO x CHANNEL|1</t>
        </is>
      </c>
      <c r="B3970" t="inlineStr">
        <is>
          <t>496 - 653</t>
        </is>
      </c>
      <c r="C3970" t="inlineStr">
        <is>
          <t>Branch</t>
        </is>
      </c>
      <c r="D3970" t="n">
        <v>502</v>
      </c>
      <c r="E3970" t="n">
        <v>16339706.79000001</v>
      </c>
      <c r="F3970" t="n">
        <v>271</v>
      </c>
      <c r="G3970" t="n">
        <v>8616970.880000006</v>
      </c>
      <c r="H3970" t="n">
        <v>231</v>
      </c>
      <c r="I3970" t="n">
        <v>7722735.910000001</v>
      </c>
    </row>
    <row r="3971">
      <c r="A3971" t="inlineStr">
        <is>
          <t>P|0|FICO x CHANNEL|2</t>
        </is>
      </c>
      <c r="B3971" t="inlineStr">
        <is>
          <t>496 - 653</t>
        </is>
      </c>
      <c r="C3971" t="inlineStr">
        <is>
          <t>Broker</t>
        </is>
      </c>
      <c r="D3971" t="n">
        <v>523</v>
      </c>
      <c r="E3971" t="n">
        <v>17041067.38</v>
      </c>
      <c r="F3971" t="n">
        <v>258</v>
      </c>
      <c r="G3971" t="n">
        <v>8508056.250000006</v>
      </c>
      <c r="H3971" t="n">
        <v>265</v>
      </c>
      <c r="I3971" t="n">
        <v>8533011.129999999</v>
      </c>
    </row>
    <row r="3972">
      <c r="A3972" t="inlineStr">
        <is>
          <t>P|0|FICO x CHANNEL|3</t>
        </is>
      </c>
      <c r="B3972" t="inlineStr">
        <is>
          <t>496 - 653</t>
        </is>
      </c>
      <c r="C3972" t="inlineStr">
        <is>
          <t>Online</t>
        </is>
      </c>
      <c r="D3972" t="n">
        <v>531</v>
      </c>
      <c r="E3972" t="n">
        <v>17367178.27</v>
      </c>
      <c r="F3972" t="n">
        <v>305</v>
      </c>
      <c r="G3972" t="n">
        <v>9925227.060000001</v>
      </c>
      <c r="H3972" t="n">
        <v>226</v>
      </c>
      <c r="I3972" t="n">
        <v>7441951.209999996</v>
      </c>
    </row>
    <row r="3973">
      <c r="A3973" t="inlineStr">
        <is>
          <t>P|0|FICO x CHANNEL|4</t>
        </is>
      </c>
      <c r="B3973" t="inlineStr">
        <is>
          <t>654 - 685</t>
        </is>
      </c>
      <c r="C3973" t="inlineStr">
        <is>
          <t>Branch</t>
        </is>
      </c>
      <c r="D3973" t="n">
        <v>503</v>
      </c>
      <c r="E3973" t="n">
        <v>16176090.75999999</v>
      </c>
      <c r="F3973" t="n">
        <v>249</v>
      </c>
      <c r="G3973" t="n">
        <v>8063542.109999994</v>
      </c>
      <c r="H3973" t="n">
        <v>254</v>
      </c>
      <c r="I3973" t="n">
        <v>8112548.649999998</v>
      </c>
    </row>
    <row r="3974">
      <c r="A3974" t="inlineStr">
        <is>
          <t>P|0|FICO x CHANNEL|5</t>
        </is>
      </c>
      <c r="B3974" t="inlineStr">
        <is>
          <t>654 - 685</t>
        </is>
      </c>
      <c r="C3974" t="inlineStr">
        <is>
          <t>Broker</t>
        </is>
      </c>
      <c r="D3974" t="n">
        <v>531</v>
      </c>
      <c r="E3974" t="n">
        <v>17321902.41999999</v>
      </c>
      <c r="F3974" t="n">
        <v>287</v>
      </c>
      <c r="G3974" t="n">
        <v>9485611.939999998</v>
      </c>
      <c r="H3974" t="n">
        <v>244</v>
      </c>
      <c r="I3974" t="n">
        <v>7836290.479999998</v>
      </c>
    </row>
    <row r="3975">
      <c r="A3975" t="inlineStr">
        <is>
          <t>P|0|FICO x CHANNEL|6</t>
        </is>
      </c>
      <c r="B3975" t="inlineStr">
        <is>
          <t>654 - 685</t>
        </is>
      </c>
      <c r="C3975" t="inlineStr">
        <is>
          <t>Online</t>
        </is>
      </c>
      <c r="D3975" t="n">
        <v>505</v>
      </c>
      <c r="E3975" t="n">
        <v>15851602.5</v>
      </c>
      <c r="F3975" t="n">
        <v>269</v>
      </c>
      <c r="G3975" t="n">
        <v>8694349.990000004</v>
      </c>
      <c r="H3975" t="n">
        <v>236</v>
      </c>
      <c r="I3975" t="n">
        <v>7157252.51</v>
      </c>
    </row>
    <row r="3976">
      <c r="A3976" t="inlineStr">
        <is>
          <t>P|0|FICO x CHANNEL|7</t>
        </is>
      </c>
      <c r="B3976" t="inlineStr">
        <is>
          <t>686 - 711</t>
        </is>
      </c>
      <c r="C3976" t="inlineStr">
        <is>
          <t>Branch</t>
        </is>
      </c>
      <c r="D3976" t="n">
        <v>515</v>
      </c>
      <c r="E3976" t="n">
        <v>16839795.27</v>
      </c>
      <c r="F3976" t="n">
        <v>280</v>
      </c>
      <c r="G3976" t="n">
        <v>9250034.289999995</v>
      </c>
      <c r="H3976" t="n">
        <v>235</v>
      </c>
      <c r="I3976" t="n">
        <v>7589760.98</v>
      </c>
    </row>
    <row r="3977">
      <c r="A3977" t="inlineStr">
        <is>
          <t>P|0|FICO x CHANNEL|8</t>
        </is>
      </c>
      <c r="B3977" t="inlineStr">
        <is>
          <t>686 - 711</t>
        </is>
      </c>
      <c r="C3977" t="inlineStr">
        <is>
          <t>Broker</t>
        </is>
      </c>
      <c r="D3977" t="n">
        <v>501</v>
      </c>
      <c r="E3977" t="n">
        <v>16516467.51</v>
      </c>
      <c r="F3977" t="n">
        <v>271</v>
      </c>
      <c r="G3977" t="n">
        <v>8724079.030000001</v>
      </c>
      <c r="H3977" t="n">
        <v>230</v>
      </c>
      <c r="I3977" t="n">
        <v>7792388.48</v>
      </c>
    </row>
    <row r="3978">
      <c r="A3978" t="inlineStr">
        <is>
          <t>P|0|FICO x CHANNEL|9</t>
        </is>
      </c>
      <c r="B3978" t="inlineStr">
        <is>
          <t>686 - 711</t>
        </is>
      </c>
      <c r="C3978" t="inlineStr">
        <is>
          <t>Online</t>
        </is>
      </c>
      <c r="D3978" t="n">
        <v>546</v>
      </c>
      <c r="E3978" t="n">
        <v>17660164.64000001</v>
      </c>
      <c r="F3978" t="n">
        <v>297</v>
      </c>
      <c r="G3978" t="n">
        <v>9118030.480000006</v>
      </c>
      <c r="H3978" t="n">
        <v>249</v>
      </c>
      <c r="I3978" t="n">
        <v>8542134.160000002</v>
      </c>
    </row>
    <row r="3979">
      <c r="A3979" t="inlineStr">
        <is>
          <t>P|0|FICO x CHANNEL|10</t>
        </is>
      </c>
      <c r="B3979" t="inlineStr">
        <is>
          <t>712 - 745</t>
        </is>
      </c>
      <c r="C3979" t="inlineStr">
        <is>
          <t>Branch</t>
        </is>
      </c>
      <c r="D3979" t="n">
        <v>538</v>
      </c>
      <c r="E3979" t="n">
        <v>16513064.02999999</v>
      </c>
      <c r="F3979" t="n">
        <v>307</v>
      </c>
      <c r="G3979" t="n">
        <v>9359005.379999993</v>
      </c>
      <c r="H3979" t="n">
        <v>231</v>
      </c>
      <c r="I3979" t="n">
        <v>7154058.649999997</v>
      </c>
    </row>
    <row r="3980">
      <c r="A3980" t="inlineStr">
        <is>
          <t>P|0|FICO x CHANNEL|11</t>
        </is>
      </c>
      <c r="B3980" t="inlineStr">
        <is>
          <t>712 - 745</t>
        </is>
      </c>
      <c r="C3980" t="inlineStr">
        <is>
          <t>Broker</t>
        </is>
      </c>
      <c r="D3980" t="n">
        <v>509</v>
      </c>
      <c r="E3980" t="n">
        <v>16230509.4</v>
      </c>
      <c r="F3980" t="n">
        <v>291</v>
      </c>
      <c r="G3980" t="n">
        <v>9193841.93</v>
      </c>
      <c r="H3980" t="n">
        <v>218</v>
      </c>
      <c r="I3980" t="n">
        <v>7036667.47</v>
      </c>
    </row>
    <row r="3981">
      <c r="A3981" t="inlineStr">
        <is>
          <t>P|0|FICO x CHANNEL|12</t>
        </is>
      </c>
      <c r="B3981" t="inlineStr">
        <is>
          <t>712 - 745</t>
        </is>
      </c>
      <c r="C3981" t="inlineStr">
        <is>
          <t>Online</t>
        </is>
      </c>
      <c r="D3981" t="n">
        <v>564</v>
      </c>
      <c r="E3981" t="n">
        <v>18368910.49000001</v>
      </c>
      <c r="F3981" t="n">
        <v>286</v>
      </c>
      <c r="G3981" t="n">
        <v>9060212.500000004</v>
      </c>
      <c r="H3981" t="n">
        <v>278</v>
      </c>
      <c r="I3981" t="n">
        <v>9308697.990000006</v>
      </c>
    </row>
    <row r="3982">
      <c r="A3982" t="inlineStr">
        <is>
          <t>P|0|FICO x CHANNEL|13</t>
        </is>
      </c>
      <c r="B3982" t="inlineStr">
        <is>
          <t>746 - 921</t>
        </is>
      </c>
      <c r="C3982" t="inlineStr">
        <is>
          <t>Branch</t>
        </is>
      </c>
      <c r="D3982" t="n">
        <v>518</v>
      </c>
      <c r="E3982" t="n">
        <v>16450329.82999999</v>
      </c>
      <c r="F3982" t="n">
        <v>279</v>
      </c>
      <c r="G3982" t="n">
        <v>9003882.69999999</v>
      </c>
      <c r="H3982" t="n">
        <v>239</v>
      </c>
      <c r="I3982" t="n">
        <v>7446447.130000001</v>
      </c>
    </row>
    <row r="3983">
      <c r="A3983" t="inlineStr">
        <is>
          <t>P|0|FICO x CHANNEL|14</t>
        </is>
      </c>
      <c r="B3983" t="inlineStr">
        <is>
          <t>746 - 921</t>
        </is>
      </c>
      <c r="C3983" t="inlineStr">
        <is>
          <t>Broker</t>
        </is>
      </c>
      <c r="D3983" t="n">
        <v>536</v>
      </c>
      <c r="E3983" t="n">
        <v>17135666.28000001</v>
      </c>
      <c r="F3983" t="n">
        <v>299</v>
      </c>
      <c r="G3983" t="n">
        <v>9401860.040000001</v>
      </c>
      <c r="H3983" t="n">
        <v>237</v>
      </c>
      <c r="I3983" t="n">
        <v>7733806.240000006</v>
      </c>
    </row>
    <row r="3984">
      <c r="A3984" t="inlineStr">
        <is>
          <t>P|0|FICO x CHANNEL|15</t>
        </is>
      </c>
      <c r="B3984" t="inlineStr">
        <is>
          <t>746 - 921</t>
        </is>
      </c>
      <c r="C3984" t="inlineStr">
        <is>
          <t>Online</t>
        </is>
      </c>
      <c r="D3984" t="n">
        <v>517</v>
      </c>
      <c r="E3984" t="n">
        <v>16939748.2</v>
      </c>
      <c r="F3984" t="n">
        <v>292</v>
      </c>
      <c r="G3984" t="n">
        <v>9486832.630000001</v>
      </c>
      <c r="H3984" t="n">
        <v>225</v>
      </c>
      <c r="I3984" t="n">
        <v>7452915.570000002</v>
      </c>
    </row>
    <row r="3985">
      <c r="A3985" t="inlineStr">
        <is>
          <t>P|0|FICO x CHANNEL|16</t>
        </is>
      </c>
      <c r="B3985" t="inlineStr">
        <is>
          <t>(blank)</t>
        </is>
      </c>
      <c r="C3985" t="inlineStr">
        <is>
          <t>Broker</t>
        </is>
      </c>
      <c r="D3985" t="n">
        <v>1</v>
      </c>
      <c r="E3985" t="n">
        <v>27999.47</v>
      </c>
      <c r="F3985" t="n">
        <v>0</v>
      </c>
      <c r="G3985" t="n">
        <v>0</v>
      </c>
      <c r="H3985" t="n">
        <v>1</v>
      </c>
      <c r="I3985" t="n">
        <v>27999.47</v>
      </c>
    </row>
    <row r="3986">
      <c r="A3986" t="inlineStr">
        <is>
          <t>P|0|FICO x CHANNEL|17</t>
        </is>
      </c>
      <c r="B3986" t="inlineStr">
        <is>
          <t>(marked missing)</t>
        </is>
      </c>
      <c r="C3986" t="inlineStr">
        <is>
          <t>Branch</t>
        </is>
      </c>
      <c r="D3986" t="n">
        <v>51</v>
      </c>
      <c r="E3986" t="n">
        <v>1771003.54</v>
      </c>
      <c r="F3986" t="n">
        <v>29</v>
      </c>
      <c r="G3986" t="n">
        <v>1023717.84</v>
      </c>
      <c r="H3986" t="n">
        <v>22</v>
      </c>
      <c r="I3986" t="n">
        <v>747285.7</v>
      </c>
    </row>
    <row r="3987">
      <c r="A3987" t="inlineStr">
        <is>
          <t>P|0|FICO x CHANNEL|18</t>
        </is>
      </c>
      <c r="B3987" t="inlineStr">
        <is>
          <t>(marked missing)</t>
        </is>
      </c>
      <c r="C3987" t="inlineStr">
        <is>
          <t>Broker</t>
        </is>
      </c>
      <c r="D3987" t="n">
        <v>54</v>
      </c>
      <c r="E3987" t="n">
        <v>1668510.01</v>
      </c>
      <c r="F3987" t="n">
        <v>29</v>
      </c>
      <c r="G3987" t="n">
        <v>853273.7799999998</v>
      </c>
      <c r="H3987" t="n">
        <v>25</v>
      </c>
      <c r="I3987" t="n">
        <v>815236.2300000002</v>
      </c>
    </row>
    <row r="3988">
      <c r="A3988" t="inlineStr">
        <is>
          <t>P|0|FICO x CHANNEL|19</t>
        </is>
      </c>
      <c r="B3988" t="inlineStr">
        <is>
          <t>(marked missing)</t>
        </is>
      </c>
      <c r="C3988" t="inlineStr">
        <is>
          <t>Online</t>
        </is>
      </c>
      <c r="D3988" t="n">
        <v>55</v>
      </c>
      <c r="E3988" t="n">
        <v>1848729.24</v>
      </c>
      <c r="F3988" t="n">
        <v>30</v>
      </c>
      <c r="G3988" t="n">
        <v>979704.2100000001</v>
      </c>
      <c r="H3988" t="n">
        <v>25</v>
      </c>
      <c r="I3988" t="n">
        <v>869025.03</v>
      </c>
    </row>
    <row r="3989">
      <c r="A3989" t="inlineStr">
        <is>
          <t>P|0|FICO x CHANNEL|20</t>
        </is>
      </c>
      <c r="B3989" t="inlineStr">
        <is>
          <t>Every pocket</t>
        </is>
      </c>
      <c r="D3989" t="n">
        <v>8000</v>
      </c>
      <c r="E3989" t="n">
        <v>258068446.03</v>
      </c>
      <c r="F3989" t="n">
        <v>4329</v>
      </c>
      <c r="G3989" t="n">
        <v>138748233.04</v>
      </c>
      <c r="H3989" t="n">
        <v>3671</v>
      </c>
      <c r="I3989" t="n">
        <v>119320212.99</v>
      </c>
    </row>
    <row r="3990">
      <c r="A3990" t="inlineStr">
        <is>
          <t>P|0|FICO x CHANNEL|21</t>
        </is>
      </c>
      <c r="B3990" t="inlineStr">
        <is>
          <t>Share of the grid</t>
        </is>
      </c>
      <c r="F3990" t="n">
        <v>0.541125</v>
      </c>
      <c r="G3990" t="n">
        <v>0.5376412156326573</v>
      </c>
      <c r="H3990" t="n">
        <v>0.458875</v>
      </c>
      <c r="I3990" t="n">
        <v>0.4623587843673427</v>
      </c>
    </row>
    <row r="3991">
      <c r="A3991" t="inlineStr">
        <is>
          <t>P|0|FICO x ASSET_CLASS|head</t>
        </is>
      </c>
      <c r="B3991" t="inlineStr">
        <is>
          <t>FICO</t>
        </is>
      </c>
      <c r="C3991" t="inlineStr">
        <is>
          <t>ASSET_CLASS</t>
        </is>
      </c>
      <c r="D3991" t="inlineStr">
        <is>
          <t>Loans</t>
        </is>
      </c>
      <c r="E3991" t="inlineStr">
        <is>
          <t>Booked dollars</t>
        </is>
      </c>
      <c r="F3991" t="inlineStr">
        <is>
          <t>N</t>
        </is>
      </c>
      <c r="H3991" t="inlineStr">
        <is>
          <t>Y</t>
        </is>
      </c>
    </row>
    <row r="3992">
      <c r="A3992" t="inlineStr">
        <is>
          <t>P|0|FICO x ASSET_CLASS|1</t>
        </is>
      </c>
      <c r="B3992" t="inlineStr">
        <is>
          <t>496 - 653</t>
        </is>
      </c>
      <c r="C3992" t="inlineStr">
        <is>
          <t>1</t>
        </is>
      </c>
      <c r="D3992" t="n">
        <v>420</v>
      </c>
      <c r="E3992" t="n">
        <v>13469152.5</v>
      </c>
      <c r="F3992" t="n">
        <v>234</v>
      </c>
      <c r="G3992" t="n">
        <v>7231058.249999998</v>
      </c>
      <c r="H3992" t="n">
        <v>186</v>
      </c>
      <c r="I3992" t="n">
        <v>6238094.25</v>
      </c>
    </row>
    <row r="3993">
      <c r="A3993" t="inlineStr">
        <is>
          <t>P|0|FICO x ASSET_CLASS|2</t>
        </is>
      </c>
      <c r="B3993" t="inlineStr">
        <is>
          <t>496 - 653</t>
        </is>
      </c>
      <c r="C3993" t="inlineStr">
        <is>
          <t>2</t>
        </is>
      </c>
      <c r="D3993" t="n">
        <v>394</v>
      </c>
      <c r="E3993" t="n">
        <v>13268648.05</v>
      </c>
      <c r="F3993" t="n">
        <v>213</v>
      </c>
      <c r="G3993" t="n">
        <v>6962430.310000005</v>
      </c>
      <c r="H3993" t="n">
        <v>181</v>
      </c>
      <c r="I3993" t="n">
        <v>6306217.74</v>
      </c>
    </row>
    <row r="3994">
      <c r="A3994" t="inlineStr">
        <is>
          <t>P|0|FICO x ASSET_CLASS|3</t>
        </is>
      </c>
      <c r="B3994" t="inlineStr">
        <is>
          <t>496 - 653</t>
        </is>
      </c>
      <c r="C3994" t="inlineStr">
        <is>
          <t>3</t>
        </is>
      </c>
      <c r="D3994" t="n">
        <v>350</v>
      </c>
      <c r="E3994" t="n">
        <v>11724243.3</v>
      </c>
      <c r="F3994" t="n">
        <v>184</v>
      </c>
      <c r="G3994" t="n">
        <v>6326090.790000003</v>
      </c>
      <c r="H3994" t="n">
        <v>166</v>
      </c>
      <c r="I3994" t="n">
        <v>5398152.510000002</v>
      </c>
    </row>
    <row r="3995">
      <c r="A3995" t="inlineStr">
        <is>
          <t>P|0|FICO x ASSET_CLASS|4</t>
        </is>
      </c>
      <c r="B3995" t="inlineStr">
        <is>
          <t>496 - 653</t>
        </is>
      </c>
      <c r="C3995" t="inlineStr">
        <is>
          <t>4</t>
        </is>
      </c>
      <c r="D3995" t="n">
        <v>392</v>
      </c>
      <c r="E3995" t="n">
        <v>12285908.59</v>
      </c>
      <c r="F3995" t="n">
        <v>203</v>
      </c>
      <c r="G3995" t="n">
        <v>6530674.840000001</v>
      </c>
      <c r="H3995" t="n">
        <v>189</v>
      </c>
      <c r="I3995" t="n">
        <v>5755233.75</v>
      </c>
    </row>
    <row r="3996">
      <c r="A3996" t="inlineStr">
        <is>
          <t>P|0|FICO x ASSET_CLASS|5</t>
        </is>
      </c>
      <c r="B3996" t="inlineStr">
        <is>
          <t>654 - 685</t>
        </is>
      </c>
      <c r="C3996" t="inlineStr">
        <is>
          <t>1</t>
        </is>
      </c>
      <c r="D3996" t="n">
        <v>397</v>
      </c>
      <c r="E3996" t="n">
        <v>12630808.77</v>
      </c>
      <c r="F3996" t="n">
        <v>210</v>
      </c>
      <c r="G3996" t="n">
        <v>6852251.330000001</v>
      </c>
      <c r="H3996" t="n">
        <v>187</v>
      </c>
      <c r="I3996" t="n">
        <v>5778557.439999999</v>
      </c>
    </row>
    <row r="3997">
      <c r="A3997" t="inlineStr">
        <is>
          <t>P|0|FICO x ASSET_CLASS|6</t>
        </is>
      </c>
      <c r="B3997" t="inlineStr">
        <is>
          <t>654 - 685</t>
        </is>
      </c>
      <c r="C3997" t="inlineStr">
        <is>
          <t>2</t>
        </is>
      </c>
      <c r="D3997" t="n">
        <v>355</v>
      </c>
      <c r="E3997" t="n">
        <v>11168462.05</v>
      </c>
      <c r="F3997" t="n">
        <v>192</v>
      </c>
      <c r="G3997" t="n">
        <v>6057877.170000002</v>
      </c>
      <c r="H3997" t="n">
        <v>163</v>
      </c>
      <c r="I3997" t="n">
        <v>5110584.88</v>
      </c>
    </row>
    <row r="3998">
      <c r="A3998" t="inlineStr">
        <is>
          <t>P|0|FICO x ASSET_CLASS|7</t>
        </is>
      </c>
      <c r="B3998" t="inlineStr">
        <is>
          <t>654 - 685</t>
        </is>
      </c>
      <c r="C3998" t="inlineStr">
        <is>
          <t>3</t>
        </is>
      </c>
      <c r="D3998" t="n">
        <v>377</v>
      </c>
      <c r="E3998" t="n">
        <v>11987321.02</v>
      </c>
      <c r="F3998" t="n">
        <v>184</v>
      </c>
      <c r="G3998" t="n">
        <v>5977387.739999998</v>
      </c>
      <c r="H3998" t="n">
        <v>193</v>
      </c>
      <c r="I3998" t="n">
        <v>6009933.279999998</v>
      </c>
    </row>
    <row r="3999">
      <c r="A3999" t="inlineStr">
        <is>
          <t>P|0|FICO x ASSET_CLASS|8</t>
        </is>
      </c>
      <c r="B3999" t="inlineStr">
        <is>
          <t>654 - 685</t>
        </is>
      </c>
      <c r="C3999" t="inlineStr">
        <is>
          <t>4</t>
        </is>
      </c>
      <c r="D3999" t="n">
        <v>410</v>
      </c>
      <c r="E3999" t="n">
        <v>13563003.83999999</v>
      </c>
      <c r="F3999" t="n">
        <v>219</v>
      </c>
      <c r="G3999" t="n">
        <v>7355987.799999998</v>
      </c>
      <c r="H3999" t="n">
        <v>191</v>
      </c>
      <c r="I3999" t="n">
        <v>6207016.039999996</v>
      </c>
    </row>
    <row r="4000">
      <c r="A4000" t="inlineStr">
        <is>
          <t>P|0|FICO x ASSET_CLASS|9</t>
        </is>
      </c>
      <c r="B4000" t="inlineStr">
        <is>
          <t>686 - 711</t>
        </is>
      </c>
      <c r="C4000" t="inlineStr">
        <is>
          <t>1</t>
        </is>
      </c>
      <c r="D4000" t="n">
        <v>372</v>
      </c>
      <c r="E4000" t="n">
        <v>11800012.44</v>
      </c>
      <c r="F4000" t="n">
        <v>205</v>
      </c>
      <c r="G4000" t="n">
        <v>6222482.109999998</v>
      </c>
      <c r="H4000" t="n">
        <v>167</v>
      </c>
      <c r="I4000" t="n">
        <v>5577530.330000002</v>
      </c>
    </row>
    <row r="4001">
      <c r="A4001" t="inlineStr">
        <is>
          <t>P|0|FICO x ASSET_CLASS|10</t>
        </is>
      </c>
      <c r="B4001" t="inlineStr">
        <is>
          <t>686 - 711</t>
        </is>
      </c>
      <c r="C4001" t="inlineStr">
        <is>
          <t>2</t>
        </is>
      </c>
      <c r="D4001" t="n">
        <v>395</v>
      </c>
      <c r="E4001" t="n">
        <v>12948870.12</v>
      </c>
      <c r="F4001" t="n">
        <v>216</v>
      </c>
      <c r="G4001" t="n">
        <v>7044506.669999999</v>
      </c>
      <c r="H4001" t="n">
        <v>179</v>
      </c>
      <c r="I4001" t="n">
        <v>5904363.450000001</v>
      </c>
    </row>
    <row r="4002">
      <c r="A4002" t="inlineStr">
        <is>
          <t>P|0|FICO x ASSET_CLASS|11</t>
        </is>
      </c>
      <c r="B4002" t="inlineStr">
        <is>
          <t>686 - 711</t>
        </is>
      </c>
      <c r="C4002" t="inlineStr">
        <is>
          <t>3</t>
        </is>
      </c>
      <c r="D4002" t="n">
        <v>388</v>
      </c>
      <c r="E4002" t="n">
        <v>12791047.54</v>
      </c>
      <c r="F4002" t="n">
        <v>192</v>
      </c>
      <c r="G4002" t="n">
        <v>6314930.580000002</v>
      </c>
      <c r="H4002" t="n">
        <v>196</v>
      </c>
      <c r="I4002" t="n">
        <v>6476116.959999999</v>
      </c>
    </row>
    <row r="4003">
      <c r="A4003" t="inlineStr">
        <is>
          <t>P|0|FICO x ASSET_CLASS|12</t>
        </is>
      </c>
      <c r="B4003" t="inlineStr">
        <is>
          <t>686 - 711</t>
        </is>
      </c>
      <c r="C4003" t="inlineStr">
        <is>
          <t>4</t>
        </is>
      </c>
      <c r="D4003" t="n">
        <v>407</v>
      </c>
      <c r="E4003" t="n">
        <v>13476497.32</v>
      </c>
      <c r="F4003" t="n">
        <v>235</v>
      </c>
      <c r="G4003" t="n">
        <v>7510224.44</v>
      </c>
      <c r="H4003" t="n">
        <v>172</v>
      </c>
      <c r="I4003" t="n">
        <v>5966272.880000001</v>
      </c>
    </row>
    <row r="4004">
      <c r="A4004" t="inlineStr">
        <is>
          <t>P|0|FICO x ASSET_CLASS|13</t>
        </is>
      </c>
      <c r="B4004" t="inlineStr">
        <is>
          <t>712 - 745</t>
        </is>
      </c>
      <c r="C4004" t="inlineStr">
        <is>
          <t>1</t>
        </is>
      </c>
      <c r="D4004" t="n">
        <v>361</v>
      </c>
      <c r="E4004" t="n">
        <v>11568157.98</v>
      </c>
      <c r="F4004" t="n">
        <v>194</v>
      </c>
      <c r="G4004" t="n">
        <v>6149269.000000003</v>
      </c>
      <c r="H4004" t="n">
        <v>167</v>
      </c>
      <c r="I4004" t="n">
        <v>5418888.979999998</v>
      </c>
    </row>
    <row r="4005">
      <c r="A4005" t="inlineStr">
        <is>
          <t>P|0|FICO x ASSET_CLASS|14</t>
        </is>
      </c>
      <c r="B4005" t="inlineStr">
        <is>
          <t>712 - 745</t>
        </is>
      </c>
      <c r="C4005" t="inlineStr">
        <is>
          <t>2</t>
        </is>
      </c>
      <c r="D4005" t="n">
        <v>431</v>
      </c>
      <c r="E4005" t="n">
        <v>14091585.41</v>
      </c>
      <c r="F4005" t="n">
        <v>247</v>
      </c>
      <c r="G4005" t="n">
        <v>7611989.880000005</v>
      </c>
      <c r="H4005" t="n">
        <v>184</v>
      </c>
      <c r="I4005" t="n">
        <v>6479595.529999999</v>
      </c>
    </row>
    <row r="4006">
      <c r="A4006" t="inlineStr">
        <is>
          <t>P|0|FICO x ASSET_CLASS|15</t>
        </is>
      </c>
      <c r="B4006" t="inlineStr">
        <is>
          <t>712 - 745</t>
        </is>
      </c>
      <c r="C4006" t="inlineStr">
        <is>
          <t>3</t>
        </is>
      </c>
      <c r="D4006" t="n">
        <v>392</v>
      </c>
      <c r="E4006" t="n">
        <v>12300354.34</v>
      </c>
      <c r="F4006" t="n">
        <v>223</v>
      </c>
      <c r="G4006" t="n">
        <v>7126313.329999999</v>
      </c>
      <c r="H4006" t="n">
        <v>169</v>
      </c>
      <c r="I4006" t="n">
        <v>5174041.010000001</v>
      </c>
    </row>
    <row r="4007">
      <c r="A4007" t="inlineStr">
        <is>
          <t>P|0|FICO x ASSET_CLASS|16</t>
        </is>
      </c>
      <c r="B4007" t="inlineStr">
        <is>
          <t>712 - 745</t>
        </is>
      </c>
      <c r="C4007" t="inlineStr">
        <is>
          <t>4</t>
        </is>
      </c>
      <c r="D4007" t="n">
        <v>427</v>
      </c>
      <c r="E4007" t="n">
        <v>13152386.19</v>
      </c>
      <c r="F4007" t="n">
        <v>220</v>
      </c>
      <c r="G4007" t="n">
        <v>6725487.600000002</v>
      </c>
      <c r="H4007" t="n">
        <v>207</v>
      </c>
      <c r="I4007" t="n">
        <v>6426898.590000001</v>
      </c>
    </row>
    <row r="4008">
      <c r="A4008" t="inlineStr">
        <is>
          <t>P|0|FICO x ASSET_CLASS|17</t>
        </is>
      </c>
      <c r="B4008" t="inlineStr">
        <is>
          <t>746 - 921</t>
        </is>
      </c>
      <c r="C4008" t="inlineStr">
        <is>
          <t>1</t>
        </is>
      </c>
      <c r="D4008" t="n">
        <v>414</v>
      </c>
      <c r="E4008" t="n">
        <v>13339013.86</v>
      </c>
      <c r="F4008" t="n">
        <v>231</v>
      </c>
      <c r="G4008" t="n">
        <v>7339528.739999998</v>
      </c>
      <c r="H4008" t="n">
        <v>183</v>
      </c>
      <c r="I4008" t="n">
        <v>5999485.120000003</v>
      </c>
    </row>
    <row r="4009">
      <c r="A4009" t="inlineStr">
        <is>
          <t>P|0|FICO x ASSET_CLASS|18</t>
        </is>
      </c>
      <c r="B4009" t="inlineStr">
        <is>
          <t>746 - 921</t>
        </is>
      </c>
      <c r="C4009" t="inlineStr">
        <is>
          <t>2</t>
        </is>
      </c>
      <c r="D4009" t="n">
        <v>399</v>
      </c>
      <c r="E4009" t="n">
        <v>13059938.59</v>
      </c>
      <c r="F4009" t="n">
        <v>219</v>
      </c>
      <c r="G4009" t="n">
        <v>6929596.490000001</v>
      </c>
      <c r="H4009" t="n">
        <v>180</v>
      </c>
      <c r="I4009" t="n">
        <v>6130342.099999999</v>
      </c>
    </row>
    <row r="4010">
      <c r="A4010" t="inlineStr">
        <is>
          <t>P|0|FICO x ASSET_CLASS|19</t>
        </is>
      </c>
      <c r="B4010" t="inlineStr">
        <is>
          <t>746 - 921</t>
        </is>
      </c>
      <c r="C4010" t="inlineStr">
        <is>
          <t>3</t>
        </is>
      </c>
      <c r="D4010" t="n">
        <v>385</v>
      </c>
      <c r="E4010" t="n">
        <v>12544699.31</v>
      </c>
      <c r="F4010" t="n">
        <v>211</v>
      </c>
      <c r="G4010" t="n">
        <v>6998495.059999997</v>
      </c>
      <c r="H4010" t="n">
        <v>174</v>
      </c>
      <c r="I4010" t="n">
        <v>5546204.250000002</v>
      </c>
    </row>
    <row r="4011">
      <c r="A4011" t="inlineStr">
        <is>
          <t>P|0|FICO x ASSET_CLASS|20</t>
        </is>
      </c>
      <c r="B4011" t="inlineStr">
        <is>
          <t>746 - 921</t>
        </is>
      </c>
      <c r="C4011" t="inlineStr">
        <is>
          <t>4</t>
        </is>
      </c>
      <c r="D4011" t="n">
        <v>373</v>
      </c>
      <c r="E4011" t="n">
        <v>11582092.55</v>
      </c>
      <c r="F4011" t="n">
        <v>209</v>
      </c>
      <c r="G4011" t="n">
        <v>6624955.080000004</v>
      </c>
      <c r="H4011" t="n">
        <v>164</v>
      </c>
      <c r="I4011" t="n">
        <v>4957137.470000002</v>
      </c>
    </row>
    <row r="4012">
      <c r="A4012" t="inlineStr">
        <is>
          <t>P|0|FICO x ASSET_CLASS|21</t>
        </is>
      </c>
      <c r="B4012" t="inlineStr">
        <is>
          <t>(blank)</t>
        </is>
      </c>
      <c r="C4012" t="inlineStr">
        <is>
          <t>2</t>
        </is>
      </c>
      <c r="D4012" t="n">
        <v>1</v>
      </c>
      <c r="E4012" t="n">
        <v>27999.47</v>
      </c>
      <c r="F4012" t="n">
        <v>0</v>
      </c>
      <c r="G4012" t="n">
        <v>0</v>
      </c>
      <c r="H4012" t="n">
        <v>1</v>
      </c>
      <c r="I4012" t="n">
        <v>27999.47</v>
      </c>
    </row>
    <row r="4013">
      <c r="A4013" t="inlineStr">
        <is>
          <t>P|0|FICO x ASSET_CLASS|22</t>
        </is>
      </c>
      <c r="B4013" t="inlineStr">
        <is>
          <t>(marked missing)</t>
        </is>
      </c>
      <c r="C4013" t="inlineStr">
        <is>
          <t>1</t>
        </is>
      </c>
      <c r="D4013" t="n">
        <v>42</v>
      </c>
      <c r="E4013" t="n">
        <v>1515477.86</v>
      </c>
      <c r="F4013" t="n">
        <v>27</v>
      </c>
      <c r="G4013" t="n">
        <v>990549.4400000001</v>
      </c>
      <c r="H4013" t="n">
        <v>15</v>
      </c>
      <c r="I4013" t="n">
        <v>524928.42</v>
      </c>
    </row>
    <row r="4014">
      <c r="A4014" t="inlineStr">
        <is>
          <t>P|0|FICO x ASSET_CLASS|23</t>
        </is>
      </c>
      <c r="B4014" t="inlineStr">
        <is>
          <t>(marked missing)</t>
        </is>
      </c>
      <c r="C4014" t="inlineStr">
        <is>
          <t>2</t>
        </is>
      </c>
      <c r="D4014" t="n">
        <v>36</v>
      </c>
      <c r="E4014" t="n">
        <v>1086599.84</v>
      </c>
      <c r="F4014" t="n">
        <v>18</v>
      </c>
      <c r="G4014" t="n">
        <v>513125.23</v>
      </c>
      <c r="H4014" t="n">
        <v>18</v>
      </c>
      <c r="I4014" t="n">
        <v>573474.61</v>
      </c>
    </row>
    <row r="4015">
      <c r="A4015" t="inlineStr">
        <is>
          <t>P|0|FICO x ASSET_CLASS|24</t>
        </is>
      </c>
      <c r="B4015" t="inlineStr">
        <is>
          <t>(marked missing)</t>
        </is>
      </c>
      <c r="C4015" t="inlineStr">
        <is>
          <t>3</t>
        </is>
      </c>
      <c r="D4015" t="n">
        <v>43</v>
      </c>
      <c r="E4015" t="n">
        <v>1473137.14</v>
      </c>
      <c r="F4015" t="n">
        <v>21</v>
      </c>
      <c r="G4015" t="n">
        <v>659110.4</v>
      </c>
      <c r="H4015" t="n">
        <v>22</v>
      </c>
      <c r="I4015" t="n">
        <v>814026.7399999999</v>
      </c>
    </row>
    <row r="4016">
      <c r="A4016" t="inlineStr">
        <is>
          <t>P|0|FICO x ASSET_CLASS|25</t>
        </is>
      </c>
      <c r="B4016" t="inlineStr">
        <is>
          <t>(marked missing)</t>
        </is>
      </c>
      <c r="C4016" t="inlineStr">
        <is>
          <t>4</t>
        </is>
      </c>
      <c r="D4016" t="n">
        <v>39</v>
      </c>
      <c r="E4016" t="n">
        <v>1213027.95</v>
      </c>
      <c r="F4016" t="n">
        <v>22</v>
      </c>
      <c r="G4016" t="n">
        <v>693910.76</v>
      </c>
      <c r="H4016" t="n">
        <v>17</v>
      </c>
      <c r="I4016" t="n">
        <v>519117.1900000001</v>
      </c>
    </row>
    <row r="4017">
      <c r="A4017" t="inlineStr">
        <is>
          <t>P|0|FICO x ASSET_CLASS|26</t>
        </is>
      </c>
      <c r="B4017" t="inlineStr">
        <is>
          <t>Every pocket</t>
        </is>
      </c>
      <c r="D4017" t="n">
        <v>8000</v>
      </c>
      <c r="E4017" t="n">
        <v>258068446.03</v>
      </c>
      <c r="F4017" t="n">
        <v>4329</v>
      </c>
      <c r="G4017" t="n">
        <v>138748233.04</v>
      </c>
      <c r="H4017" t="n">
        <v>3671</v>
      </c>
      <c r="I4017" t="n">
        <v>119320212.99</v>
      </c>
    </row>
    <row r="4018">
      <c r="A4018" t="inlineStr">
        <is>
          <t>P|0|FICO x ASSET_CLASS|27</t>
        </is>
      </c>
      <c r="B4018" t="inlineStr">
        <is>
          <t>Share of the grid</t>
        </is>
      </c>
      <c r="F4018" t="n">
        <v>0.541125</v>
      </c>
      <c r="G4018" t="n">
        <v>0.5376412156326572</v>
      </c>
      <c r="H4018" t="n">
        <v>0.458875</v>
      </c>
      <c r="I4018" t="n">
        <v>0.4623587843673428</v>
      </c>
    </row>
    <row r="4019">
      <c r="A4019" t="inlineStr">
        <is>
          <t>P|0|ORIG_BAL x CHANNEL|head</t>
        </is>
      </c>
      <c r="B4019" t="inlineStr">
        <is>
          <t>ORIG_BAL</t>
        </is>
      </c>
      <c r="C4019" t="inlineStr">
        <is>
          <t>CHANNEL</t>
        </is>
      </c>
      <c r="D4019" t="inlineStr">
        <is>
          <t>Loans</t>
        </is>
      </c>
      <c r="E4019" t="inlineStr">
        <is>
          <t>Booked dollars</t>
        </is>
      </c>
      <c r="F4019" t="inlineStr">
        <is>
          <t>N</t>
        </is>
      </c>
      <c r="H4019" t="inlineStr">
        <is>
          <t>Y</t>
        </is>
      </c>
    </row>
    <row r="4020">
      <c r="A4020" t="inlineStr">
        <is>
          <t>P|0|ORIG_BAL x CHANNEL|1</t>
        </is>
      </c>
      <c r="B4020" t="inlineStr">
        <is>
          <t>5,005 - 15,448</t>
        </is>
      </c>
      <c r="C4020" t="inlineStr">
        <is>
          <t>Branch</t>
        </is>
      </c>
      <c r="D4020" t="n">
        <v>542</v>
      </c>
      <c r="E4020" t="n">
        <v>5471077.52</v>
      </c>
      <c r="F4020" t="n">
        <v>301</v>
      </c>
      <c r="G4020" t="n">
        <v>3094179.669999999</v>
      </c>
      <c r="H4020" t="n">
        <v>241</v>
      </c>
      <c r="I4020" t="n">
        <v>2376897.850000001</v>
      </c>
    </row>
    <row r="4021">
      <c r="A4021" t="inlineStr">
        <is>
          <t>P|0|ORIG_BAL x CHANNEL|2</t>
        </is>
      </c>
      <c r="B4021" t="inlineStr">
        <is>
          <t>5,005 - 15,448</t>
        </is>
      </c>
      <c r="C4021" t="inlineStr">
        <is>
          <t>Broker</t>
        </is>
      </c>
      <c r="D4021" t="n">
        <v>514</v>
      </c>
      <c r="E4021" t="n">
        <v>5250097.43</v>
      </c>
      <c r="F4021" t="n">
        <v>277</v>
      </c>
      <c r="G4021" t="n">
        <v>2815673.429999998</v>
      </c>
      <c r="H4021" t="n">
        <v>237</v>
      </c>
      <c r="I4021" t="n">
        <v>2434424.000000001</v>
      </c>
    </row>
    <row r="4022">
      <c r="A4022" t="inlineStr">
        <is>
          <t>P|0|ORIG_BAL x CHANNEL|3</t>
        </is>
      </c>
      <c r="B4022" t="inlineStr">
        <is>
          <t>5,005 - 15,448</t>
        </is>
      </c>
      <c r="C4022" t="inlineStr">
        <is>
          <t>Online</t>
        </is>
      </c>
      <c r="D4022" t="n">
        <v>544</v>
      </c>
      <c r="E4022" t="n">
        <v>5511902.470000002</v>
      </c>
      <c r="F4022" t="n">
        <v>302</v>
      </c>
      <c r="G4022" t="n">
        <v>3023084.910000002</v>
      </c>
      <c r="H4022" t="n">
        <v>242</v>
      </c>
      <c r="I4022" t="n">
        <v>2488817.56</v>
      </c>
    </row>
    <row r="4023">
      <c r="A4023" t="inlineStr">
        <is>
          <t>P|0|ORIG_BAL x CHANNEL|4</t>
        </is>
      </c>
      <c r="B4023" t="inlineStr">
        <is>
          <t>15,449 - 26,323</t>
        </is>
      </c>
      <c r="C4023" t="inlineStr">
        <is>
          <t>Branch</t>
        </is>
      </c>
      <c r="D4023" t="n">
        <v>525</v>
      </c>
      <c r="E4023" t="n">
        <v>11003092.27</v>
      </c>
      <c r="F4023" t="n">
        <v>274</v>
      </c>
      <c r="G4023" t="n">
        <v>5701885.079999999</v>
      </c>
      <c r="H4023" t="n">
        <v>251</v>
      </c>
      <c r="I4023" t="n">
        <v>5301207.189999996</v>
      </c>
    </row>
    <row r="4024">
      <c r="A4024" t="inlineStr">
        <is>
          <t>P|0|ORIG_BAL x CHANNEL|5</t>
        </is>
      </c>
      <c r="B4024" t="inlineStr">
        <is>
          <t>15,449 - 26,323</t>
        </is>
      </c>
      <c r="C4024" t="inlineStr">
        <is>
          <t>Broker</t>
        </is>
      </c>
      <c r="D4024" t="n">
        <v>537</v>
      </c>
      <c r="E4024" t="n">
        <v>11248028.79</v>
      </c>
      <c r="F4024" t="n">
        <v>293</v>
      </c>
      <c r="G4024" t="n">
        <v>6112147.650000003</v>
      </c>
      <c r="H4024" t="n">
        <v>244</v>
      </c>
      <c r="I4024" t="n">
        <v>5135881.139999999</v>
      </c>
    </row>
    <row r="4025">
      <c r="A4025" t="inlineStr">
        <is>
          <t>P|0|ORIG_BAL x CHANNEL|6</t>
        </is>
      </c>
      <c r="B4025" t="inlineStr">
        <is>
          <t>15,449 - 26,323</t>
        </is>
      </c>
      <c r="C4025" t="inlineStr">
        <is>
          <t>Online</t>
        </is>
      </c>
      <c r="D4025" t="n">
        <v>538</v>
      </c>
      <c r="E4025" t="n">
        <v>11158749.76</v>
      </c>
      <c r="F4025" t="n">
        <v>300</v>
      </c>
      <c r="G4025" t="n">
        <v>6256047.950000001</v>
      </c>
      <c r="H4025" t="n">
        <v>238</v>
      </c>
      <c r="I4025" t="n">
        <v>4902701.809999999</v>
      </c>
    </row>
    <row r="4026">
      <c r="A4026" t="inlineStr">
        <is>
          <t>P|0|ORIG_BAL x CHANNEL|7</t>
        </is>
      </c>
      <c r="B4026" t="inlineStr">
        <is>
          <t>26,324 - 37,950</t>
        </is>
      </c>
      <c r="C4026" t="inlineStr">
        <is>
          <t>Branch</t>
        </is>
      </c>
      <c r="D4026" t="n">
        <v>518</v>
      </c>
      <c r="E4026" t="n">
        <v>16587370.03</v>
      </c>
      <c r="F4026" t="n">
        <v>282</v>
      </c>
      <c r="G4026" t="n">
        <v>8997410.880000003</v>
      </c>
      <c r="H4026" t="n">
        <v>236</v>
      </c>
      <c r="I4026" t="n">
        <v>7589959.149999998</v>
      </c>
    </row>
    <row r="4027">
      <c r="A4027" t="inlineStr">
        <is>
          <t>P|0|ORIG_BAL x CHANNEL|8</t>
        </is>
      </c>
      <c r="B4027" t="inlineStr">
        <is>
          <t>26,324 - 37,950</t>
        </is>
      </c>
      <c r="C4027" t="inlineStr">
        <is>
          <t>Broker</t>
        </is>
      </c>
      <c r="D4027" t="n">
        <v>553</v>
      </c>
      <c r="E4027" t="n">
        <v>17868104.62</v>
      </c>
      <c r="F4027" t="n">
        <v>305</v>
      </c>
      <c r="G4027" t="n">
        <v>9738367.730000006</v>
      </c>
      <c r="H4027" t="n">
        <v>248</v>
      </c>
      <c r="I4027" t="n">
        <v>8129736.889999999</v>
      </c>
    </row>
    <row r="4028">
      <c r="A4028" t="inlineStr">
        <is>
          <t>P|0|ORIG_BAL x CHANNEL|9</t>
        </is>
      </c>
      <c r="B4028" t="inlineStr">
        <is>
          <t>26,324 - 37,950</t>
        </is>
      </c>
      <c r="C4028" t="inlineStr">
        <is>
          <t>Online</t>
        </is>
      </c>
      <c r="D4028" t="n">
        <v>528</v>
      </c>
      <c r="E4028" t="n">
        <v>16906793.01000001</v>
      </c>
      <c r="F4028" t="n">
        <v>297</v>
      </c>
      <c r="G4028" t="n">
        <v>9480834.620000005</v>
      </c>
      <c r="H4028" t="n">
        <v>231</v>
      </c>
      <c r="I4028" t="n">
        <v>7425958.390000002</v>
      </c>
    </row>
    <row r="4029">
      <c r="A4029" t="inlineStr">
        <is>
          <t>P|0|ORIG_BAL x CHANNEL|10</t>
        </is>
      </c>
      <c r="B4029" t="inlineStr">
        <is>
          <t>37,951 - 49,151</t>
        </is>
      </c>
      <c r="C4029" t="inlineStr">
        <is>
          <t>Branch</t>
        </is>
      </c>
      <c r="D4029" t="n">
        <v>526</v>
      </c>
      <c r="E4029" t="n">
        <v>22956050.95999999</v>
      </c>
      <c r="F4029" t="n">
        <v>269</v>
      </c>
      <c r="G4029" t="n">
        <v>11760549.44999999</v>
      </c>
      <c r="H4029" t="n">
        <v>257</v>
      </c>
      <c r="I4029" t="n">
        <v>11195501.51</v>
      </c>
    </row>
    <row r="4030">
      <c r="A4030" t="inlineStr">
        <is>
          <t>P|0|ORIG_BAL x CHANNEL|11</t>
        </is>
      </c>
      <c r="B4030" t="inlineStr">
        <is>
          <t>37,951 - 49,151</t>
        </is>
      </c>
      <c r="C4030" t="inlineStr">
        <is>
          <t>Broker</t>
        </is>
      </c>
      <c r="D4030" t="n">
        <v>531</v>
      </c>
      <c r="E4030" t="n">
        <v>23078023.54000001</v>
      </c>
      <c r="F4030" t="n">
        <v>282</v>
      </c>
      <c r="G4030" t="n">
        <v>12242725.38000001</v>
      </c>
      <c r="H4030" t="n">
        <v>249</v>
      </c>
      <c r="I4030" t="n">
        <v>10835298.16</v>
      </c>
    </row>
    <row r="4031">
      <c r="A4031" t="inlineStr">
        <is>
          <t>P|0|ORIG_BAL x CHANNEL|12</t>
        </is>
      </c>
      <c r="B4031" t="inlineStr">
        <is>
          <t>37,951 - 49,151</t>
        </is>
      </c>
      <c r="C4031" t="inlineStr">
        <is>
          <t>Online</t>
        </is>
      </c>
      <c r="D4031" t="n">
        <v>543</v>
      </c>
      <c r="E4031" t="n">
        <v>23663785.18999999</v>
      </c>
      <c r="F4031" t="n">
        <v>289</v>
      </c>
      <c r="G4031" t="n">
        <v>12588326.39999999</v>
      </c>
      <c r="H4031" t="n">
        <v>254</v>
      </c>
      <c r="I4031" t="n">
        <v>11075458.79</v>
      </c>
    </row>
    <row r="4032">
      <c r="A4032" t="inlineStr">
        <is>
          <t>P|0|ORIG_BAL x CHANNEL|13</t>
        </is>
      </c>
      <c r="B4032" t="inlineStr">
        <is>
          <t>49,152 - 59,984</t>
        </is>
      </c>
      <c r="C4032" t="inlineStr">
        <is>
          <t>Branch</t>
        </is>
      </c>
      <c r="D4032" t="n">
        <v>515</v>
      </c>
      <c r="E4032" t="n">
        <v>28072399.44</v>
      </c>
      <c r="F4032" t="n">
        <v>289</v>
      </c>
      <c r="G4032" t="n">
        <v>15763128.12</v>
      </c>
      <c r="H4032" t="n">
        <v>226</v>
      </c>
      <c r="I4032" t="n">
        <v>12309271.32</v>
      </c>
    </row>
    <row r="4033">
      <c r="A4033" t="inlineStr">
        <is>
          <t>P|0|ORIG_BAL x CHANNEL|14</t>
        </is>
      </c>
      <c r="B4033" t="inlineStr">
        <is>
          <t>49,152 - 59,984</t>
        </is>
      </c>
      <c r="C4033" t="inlineStr">
        <is>
          <t>Broker</t>
        </is>
      </c>
      <c r="D4033" t="n">
        <v>520</v>
      </c>
      <c r="E4033" t="n">
        <v>28497868.09</v>
      </c>
      <c r="F4033" t="n">
        <v>278</v>
      </c>
      <c r="G4033" t="n">
        <v>15257808.77999999</v>
      </c>
      <c r="H4033" t="n">
        <v>242</v>
      </c>
      <c r="I4033" t="n">
        <v>13240059.31</v>
      </c>
    </row>
    <row r="4034">
      <c r="A4034" t="inlineStr">
        <is>
          <t>P|0|ORIG_BAL x CHANNEL|15</t>
        </is>
      </c>
      <c r="B4034" t="inlineStr">
        <is>
          <t>49,152 - 59,984</t>
        </is>
      </c>
      <c r="C4034" t="inlineStr">
        <is>
          <t>Online</t>
        </is>
      </c>
      <c r="D4034" t="n">
        <v>565</v>
      </c>
      <c r="E4034" t="n">
        <v>30795102.91</v>
      </c>
      <c r="F4034" t="n">
        <v>291</v>
      </c>
      <c r="G4034" t="n">
        <v>15916062.98999999</v>
      </c>
      <c r="H4034" t="n">
        <v>274</v>
      </c>
      <c r="I4034" t="n">
        <v>14879039.92000001</v>
      </c>
    </row>
    <row r="4035">
      <c r="A4035" t="inlineStr">
        <is>
          <t>P|0|ORIG_BAL x CHANNEL|16</t>
        </is>
      </c>
      <c r="B4035" t="inlineStr">
        <is>
          <t>(blank)</t>
        </is>
      </c>
      <c r="C4035" t="inlineStr">
        <is>
          <t>Branch</t>
        </is>
      </c>
      <c r="D4035" t="n">
        <v>1</v>
      </c>
      <c r="E4035" t="n">
        <v>0</v>
      </c>
      <c r="F4035" t="n">
        <v>0</v>
      </c>
      <c r="G4035" t="n">
        <v>0</v>
      </c>
      <c r="H4035" t="n">
        <v>1</v>
      </c>
      <c r="I4035" t="n">
        <v>0</v>
      </c>
    </row>
    <row r="4036">
      <c r="A4036" t="inlineStr">
        <is>
          <t>P|0|ORIG_BAL x CHANNEL|17</t>
        </is>
      </c>
      <c r="B4036" t="inlineStr">
        <is>
          <t>Every pocket</t>
        </is>
      </c>
      <c r="D4036" t="n">
        <v>8000</v>
      </c>
      <c r="E4036" t="n">
        <v>258068446.03</v>
      </c>
      <c r="F4036" t="n">
        <v>4329</v>
      </c>
      <c r="G4036" t="n">
        <v>138748233.04</v>
      </c>
      <c r="H4036" t="n">
        <v>3671</v>
      </c>
      <c r="I4036" t="n">
        <v>119320212.99</v>
      </c>
    </row>
    <row r="4037">
      <c r="A4037" t="inlineStr">
        <is>
          <t>P|0|ORIG_BAL x CHANNEL|18</t>
        </is>
      </c>
      <c r="B4037" t="inlineStr">
        <is>
          <t>Share of the grid</t>
        </is>
      </c>
      <c r="F4037" t="n">
        <v>0.541125</v>
      </c>
      <c r="G4037" t="n">
        <v>0.5376412156326572</v>
      </c>
      <c r="H4037" t="n">
        <v>0.458875</v>
      </c>
      <c r="I4037" t="n">
        <v>0.4623587843673428</v>
      </c>
    </row>
    <row r="4038">
      <c r="A4038" t="inlineStr">
        <is>
          <t>P|0|ORIG_BAL x ASSET_CLASS|head</t>
        </is>
      </c>
      <c r="B4038" t="inlineStr">
        <is>
          <t>ORIG_BAL</t>
        </is>
      </c>
      <c r="C4038" t="inlineStr">
        <is>
          <t>ASSET_CLASS</t>
        </is>
      </c>
      <c r="D4038" t="inlineStr">
        <is>
          <t>Loans</t>
        </is>
      </c>
      <c r="E4038" t="inlineStr">
        <is>
          <t>Booked dollars</t>
        </is>
      </c>
      <c r="F4038" t="inlineStr">
        <is>
          <t>N</t>
        </is>
      </c>
      <c r="H4038" t="inlineStr">
        <is>
          <t>Y</t>
        </is>
      </c>
    </row>
    <row r="4039">
      <c r="A4039" t="inlineStr">
        <is>
          <t>P|0|ORIG_BAL x ASSET_CLASS|1</t>
        </is>
      </c>
      <c r="B4039" t="inlineStr">
        <is>
          <t>5,005 - 15,448</t>
        </is>
      </c>
      <c r="C4039" t="inlineStr">
        <is>
          <t>1</t>
        </is>
      </c>
      <c r="D4039" t="n">
        <v>417</v>
      </c>
      <c r="E4039" t="n">
        <v>4250568.400000001</v>
      </c>
      <c r="F4039" t="n">
        <v>237</v>
      </c>
      <c r="G4039" t="n">
        <v>2421156.480000001</v>
      </c>
      <c r="H4039" t="n">
        <v>180</v>
      </c>
      <c r="I4039" t="n">
        <v>1829411.92</v>
      </c>
    </row>
    <row r="4040">
      <c r="A4040" t="inlineStr">
        <is>
          <t>P|0|ORIG_BAL x ASSET_CLASS|2</t>
        </is>
      </c>
      <c r="B4040" t="inlineStr">
        <is>
          <t>5,005 - 15,448</t>
        </is>
      </c>
      <c r="C4040" t="inlineStr">
        <is>
          <t>2</t>
        </is>
      </c>
      <c r="D4040" t="n">
        <v>404</v>
      </c>
      <c r="E4040" t="n">
        <v>4165898.809999999</v>
      </c>
      <c r="F4040" t="n">
        <v>244</v>
      </c>
      <c r="G4040" t="n">
        <v>2492552.969999998</v>
      </c>
      <c r="H4040" t="n">
        <v>160</v>
      </c>
      <c r="I4040" t="n">
        <v>1673345.840000001</v>
      </c>
    </row>
    <row r="4041">
      <c r="A4041" t="inlineStr">
        <is>
          <t>P|0|ORIG_BAL x ASSET_CLASS|3</t>
        </is>
      </c>
      <c r="B4041" t="inlineStr">
        <is>
          <t>5,005 - 15,448</t>
        </is>
      </c>
      <c r="C4041" t="inlineStr">
        <is>
          <t>3</t>
        </is>
      </c>
      <c r="D4041" t="n">
        <v>354</v>
      </c>
      <c r="E4041" t="n">
        <v>3545372.239999999</v>
      </c>
      <c r="F4041" t="n">
        <v>170</v>
      </c>
      <c r="G4041" t="n">
        <v>1720324.41</v>
      </c>
      <c r="H4041" t="n">
        <v>184</v>
      </c>
      <c r="I4041" t="n">
        <v>1825047.829999999</v>
      </c>
    </row>
    <row r="4042">
      <c r="A4042" t="inlineStr">
        <is>
          <t>P|0|ORIG_BAL x ASSET_CLASS|4</t>
        </is>
      </c>
      <c r="B4042" t="inlineStr">
        <is>
          <t>5,005 - 15,448</t>
        </is>
      </c>
      <c r="C4042" t="inlineStr">
        <is>
          <t>4</t>
        </is>
      </c>
      <c r="D4042" t="n">
        <v>425</v>
      </c>
      <c r="E4042" t="n">
        <v>4271237.970000002</v>
      </c>
      <c r="F4042" t="n">
        <v>229</v>
      </c>
      <c r="G4042" t="n">
        <v>2298904.150000002</v>
      </c>
      <c r="H4042" t="n">
        <v>196</v>
      </c>
      <c r="I4042" t="n">
        <v>1972333.82</v>
      </c>
    </row>
    <row r="4043">
      <c r="A4043" t="inlineStr">
        <is>
          <t>P|0|ORIG_BAL x ASSET_CLASS|5</t>
        </is>
      </c>
      <c r="B4043" t="inlineStr">
        <is>
          <t>15,449 - 26,323</t>
        </is>
      </c>
      <c r="C4043" t="inlineStr">
        <is>
          <t>1</t>
        </is>
      </c>
      <c r="D4043" t="n">
        <v>404</v>
      </c>
      <c r="E4043" t="n">
        <v>8396724.670000002</v>
      </c>
      <c r="F4043" t="n">
        <v>224</v>
      </c>
      <c r="G4043" t="n">
        <v>4627592.550000002</v>
      </c>
      <c r="H4043" t="n">
        <v>180</v>
      </c>
      <c r="I4043" t="n">
        <v>3769132.12</v>
      </c>
    </row>
    <row r="4044">
      <c r="A4044" t="inlineStr">
        <is>
          <t>P|0|ORIG_BAL x ASSET_CLASS|6</t>
        </is>
      </c>
      <c r="B4044" t="inlineStr">
        <is>
          <t>15,449 - 26,323</t>
        </is>
      </c>
      <c r="C4044" t="inlineStr">
        <is>
          <t>2</t>
        </is>
      </c>
      <c r="D4044" t="n">
        <v>356</v>
      </c>
      <c r="E4044" t="n">
        <v>7506879.639999999</v>
      </c>
      <c r="F4044" t="n">
        <v>186</v>
      </c>
      <c r="G4044" t="n">
        <v>3895849.5</v>
      </c>
      <c r="H4044" t="n">
        <v>170</v>
      </c>
      <c r="I4044" t="n">
        <v>3611030.139999999</v>
      </c>
    </row>
    <row r="4045">
      <c r="A4045" t="inlineStr">
        <is>
          <t>P|0|ORIG_BAL x ASSET_CLASS|7</t>
        </is>
      </c>
      <c r="B4045" t="inlineStr">
        <is>
          <t>15,449 - 26,323</t>
        </is>
      </c>
      <c r="C4045" t="inlineStr">
        <is>
          <t>3</t>
        </is>
      </c>
      <c r="D4045" t="n">
        <v>427</v>
      </c>
      <c r="E4045" t="n">
        <v>8813109.200000001</v>
      </c>
      <c r="F4045" t="n">
        <v>234</v>
      </c>
      <c r="G4045" t="n">
        <v>4827819.080000002</v>
      </c>
      <c r="H4045" t="n">
        <v>193</v>
      </c>
      <c r="I4045" t="n">
        <v>3985290.119999999</v>
      </c>
    </row>
    <row r="4046">
      <c r="A4046" t="inlineStr">
        <is>
          <t>P|0|ORIG_BAL x ASSET_CLASS|8</t>
        </is>
      </c>
      <c r="B4046" t="inlineStr">
        <is>
          <t>15,449 - 26,323</t>
        </is>
      </c>
      <c r="C4046" t="inlineStr">
        <is>
          <t>4</t>
        </is>
      </c>
      <c r="D4046" t="n">
        <v>413</v>
      </c>
      <c r="E4046" t="n">
        <v>8693157.310000002</v>
      </c>
      <c r="F4046" t="n">
        <v>223</v>
      </c>
      <c r="G4046" t="n">
        <v>4718819.550000004</v>
      </c>
      <c r="H4046" t="n">
        <v>190</v>
      </c>
      <c r="I4046" t="n">
        <v>3974337.759999999</v>
      </c>
    </row>
    <row r="4047">
      <c r="A4047" t="inlineStr">
        <is>
          <t>P|0|ORIG_BAL x ASSET_CLASS|9</t>
        </is>
      </c>
      <c r="B4047" t="inlineStr">
        <is>
          <t>26,324 - 37,950</t>
        </is>
      </c>
      <c r="C4047" t="inlineStr">
        <is>
          <t>1</t>
        </is>
      </c>
      <c r="D4047" t="n">
        <v>388</v>
      </c>
      <c r="E4047" t="n">
        <v>12442793.77</v>
      </c>
      <c r="F4047" t="n">
        <v>215</v>
      </c>
      <c r="G4047" t="n">
        <v>6853317.409999999</v>
      </c>
      <c r="H4047" t="n">
        <v>173</v>
      </c>
      <c r="I4047" t="n">
        <v>5589476.359999998</v>
      </c>
    </row>
    <row r="4048">
      <c r="A4048" t="inlineStr">
        <is>
          <t>P|0|ORIG_BAL x ASSET_CLASS|10</t>
        </is>
      </c>
      <c r="B4048" t="inlineStr">
        <is>
          <t>26,324 - 37,950</t>
        </is>
      </c>
      <c r="C4048" t="inlineStr">
        <is>
          <t>2</t>
        </is>
      </c>
      <c r="D4048" t="n">
        <v>432</v>
      </c>
      <c r="E4048" t="n">
        <v>13969830.53</v>
      </c>
      <c r="F4048" t="n">
        <v>253</v>
      </c>
      <c r="G4048" t="n">
        <v>8121367.340000007</v>
      </c>
      <c r="H4048" t="n">
        <v>179</v>
      </c>
      <c r="I4048" t="n">
        <v>5848463.189999999</v>
      </c>
    </row>
    <row r="4049">
      <c r="A4049" t="inlineStr">
        <is>
          <t>P|0|ORIG_BAL x ASSET_CLASS|11</t>
        </is>
      </c>
      <c r="B4049" t="inlineStr">
        <is>
          <t>26,324 - 37,950</t>
        </is>
      </c>
      <c r="C4049" t="inlineStr">
        <is>
          <t>3</t>
        </is>
      </c>
      <c r="D4049" t="n">
        <v>367</v>
      </c>
      <c r="E4049" t="n">
        <v>11737978.5</v>
      </c>
      <c r="F4049" t="n">
        <v>198</v>
      </c>
      <c r="G4049" t="n">
        <v>6296249.490000001</v>
      </c>
      <c r="H4049" t="n">
        <v>169</v>
      </c>
      <c r="I4049" t="n">
        <v>5441729.010000002</v>
      </c>
    </row>
    <row r="4050">
      <c r="A4050" t="inlineStr">
        <is>
          <t>P|0|ORIG_BAL x ASSET_CLASS|12</t>
        </is>
      </c>
      <c r="B4050" t="inlineStr">
        <is>
          <t>26,324 - 37,950</t>
        </is>
      </c>
      <c r="C4050" t="inlineStr">
        <is>
          <t>4</t>
        </is>
      </c>
      <c r="D4050" t="n">
        <v>412</v>
      </c>
      <c r="E4050" t="n">
        <v>13211664.86</v>
      </c>
      <c r="F4050" t="n">
        <v>218</v>
      </c>
      <c r="G4050" t="n">
        <v>6945678.99</v>
      </c>
      <c r="H4050" t="n">
        <v>194</v>
      </c>
      <c r="I4050" t="n">
        <v>6265985.869999997</v>
      </c>
    </row>
    <row r="4051">
      <c r="A4051" t="inlineStr">
        <is>
          <t>P|0|ORIG_BAL x ASSET_CLASS|13</t>
        </is>
      </c>
      <c r="B4051" t="inlineStr">
        <is>
          <t>37,951 - 49,151</t>
        </is>
      </c>
      <c r="C4051" t="inlineStr">
        <is>
          <t>1</t>
        </is>
      </c>
      <c r="D4051" t="n">
        <v>384</v>
      </c>
      <c r="E4051" t="n">
        <v>16710070.10000001</v>
      </c>
      <c r="F4051" t="n">
        <v>207</v>
      </c>
      <c r="G4051" t="n">
        <v>8976766.350000007</v>
      </c>
      <c r="H4051" t="n">
        <v>177</v>
      </c>
      <c r="I4051" t="n">
        <v>7733303.75</v>
      </c>
    </row>
    <row r="4052">
      <c r="A4052" t="inlineStr">
        <is>
          <t>P|0|ORIG_BAL x ASSET_CLASS|14</t>
        </is>
      </c>
      <c r="B4052" t="inlineStr">
        <is>
          <t>37,951 - 49,151</t>
        </is>
      </c>
      <c r="C4052" t="inlineStr">
        <is>
          <t>2</t>
        </is>
      </c>
      <c r="D4052" t="n">
        <v>420</v>
      </c>
      <c r="E4052" t="n">
        <v>18298742.53</v>
      </c>
      <c r="F4052" t="n">
        <v>221</v>
      </c>
      <c r="G4052" t="n">
        <v>9642059</v>
      </c>
      <c r="H4052" t="n">
        <v>199</v>
      </c>
      <c r="I4052" t="n">
        <v>8656683.530000005</v>
      </c>
    </row>
    <row r="4053">
      <c r="A4053" t="inlineStr">
        <is>
          <t>P|0|ORIG_BAL x ASSET_CLASS|15</t>
        </is>
      </c>
      <c r="B4053" t="inlineStr">
        <is>
          <t>37,951 - 49,151</t>
        </is>
      </c>
      <c r="C4053" t="inlineStr">
        <is>
          <t>3</t>
        </is>
      </c>
      <c r="D4053" t="n">
        <v>382</v>
      </c>
      <c r="E4053" t="n">
        <v>16623742.22000001</v>
      </c>
      <c r="F4053" t="n">
        <v>187</v>
      </c>
      <c r="G4053" t="n">
        <v>8177562.970000001</v>
      </c>
      <c r="H4053" t="n">
        <v>195</v>
      </c>
      <c r="I4053" t="n">
        <v>8446179.250000006</v>
      </c>
    </row>
    <row r="4054">
      <c r="A4054" t="inlineStr">
        <is>
          <t>P|0|ORIG_BAL x ASSET_CLASS|16</t>
        </is>
      </c>
      <c r="B4054" t="inlineStr">
        <is>
          <t>37,951 - 49,151</t>
        </is>
      </c>
      <c r="C4054" t="inlineStr">
        <is>
          <t>4</t>
        </is>
      </c>
      <c r="D4054" t="n">
        <v>414</v>
      </c>
      <c r="E4054" t="n">
        <v>18065304.84</v>
      </c>
      <c r="F4054" t="n">
        <v>225</v>
      </c>
      <c r="G4054" t="n">
        <v>9795212.909999996</v>
      </c>
      <c r="H4054" t="n">
        <v>189</v>
      </c>
      <c r="I4054" t="n">
        <v>8270091.930000002</v>
      </c>
    </row>
    <row r="4055">
      <c r="A4055" t="inlineStr">
        <is>
          <t>P|0|ORIG_BAL x ASSET_CLASS|17</t>
        </is>
      </c>
      <c r="B4055" t="inlineStr">
        <is>
          <t>49,152 - 59,984</t>
        </is>
      </c>
      <c r="C4055" t="inlineStr">
        <is>
          <t>1</t>
        </is>
      </c>
      <c r="D4055" t="n">
        <v>413</v>
      </c>
      <c r="E4055" t="n">
        <v>22522466.47</v>
      </c>
      <c r="F4055" t="n">
        <v>218</v>
      </c>
      <c r="G4055" t="n">
        <v>11906306.08</v>
      </c>
      <c r="H4055" t="n">
        <v>195</v>
      </c>
      <c r="I4055" t="n">
        <v>10616160.39</v>
      </c>
    </row>
    <row r="4056">
      <c r="A4056" t="inlineStr">
        <is>
          <t>P|0|ORIG_BAL x ASSET_CLASS|18</t>
        </is>
      </c>
      <c r="B4056" t="inlineStr">
        <is>
          <t>49,152 - 59,984</t>
        </is>
      </c>
      <c r="C4056" t="inlineStr">
        <is>
          <t>2</t>
        </is>
      </c>
      <c r="D4056" t="n">
        <v>398</v>
      </c>
      <c r="E4056" t="n">
        <v>21710752.02000001</v>
      </c>
      <c r="F4056" t="n">
        <v>201</v>
      </c>
      <c r="G4056" t="n">
        <v>10967696.94</v>
      </c>
      <c r="H4056" t="n">
        <v>197</v>
      </c>
      <c r="I4056" t="n">
        <v>10743055.08000001</v>
      </c>
    </row>
    <row r="4057">
      <c r="A4057" t="inlineStr">
        <is>
          <t>P|0|ORIG_BAL x ASSET_CLASS|19</t>
        </is>
      </c>
      <c r="B4057" t="inlineStr">
        <is>
          <t>49,152 - 59,984</t>
        </is>
      </c>
      <c r="C4057" t="inlineStr">
        <is>
          <t>3</t>
        </is>
      </c>
      <c r="D4057" t="n">
        <v>405</v>
      </c>
      <c r="E4057" t="n">
        <v>22100600.48999999</v>
      </c>
      <c r="F4057" t="n">
        <v>226</v>
      </c>
      <c r="G4057" t="n">
        <v>12380371.94999999</v>
      </c>
      <c r="H4057" t="n">
        <v>179</v>
      </c>
      <c r="I4057" t="n">
        <v>9720228.540000001</v>
      </c>
    </row>
    <row r="4058">
      <c r="A4058" t="inlineStr">
        <is>
          <t>P|0|ORIG_BAL x ASSET_CLASS|20</t>
        </is>
      </c>
      <c r="B4058" t="inlineStr">
        <is>
          <t>49,152 - 59,984</t>
        </is>
      </c>
      <c r="C4058" t="inlineStr">
        <is>
          <t>4</t>
        </is>
      </c>
      <c r="D4058" t="n">
        <v>384</v>
      </c>
      <c r="E4058" t="n">
        <v>21031551.45999999</v>
      </c>
      <c r="F4058" t="n">
        <v>213</v>
      </c>
      <c r="G4058" t="n">
        <v>11682624.92</v>
      </c>
      <c r="H4058" t="n">
        <v>171</v>
      </c>
      <c r="I4058" t="n">
        <v>9348926.53999999</v>
      </c>
    </row>
    <row r="4059">
      <c r="A4059" t="inlineStr">
        <is>
          <t>P|0|ORIG_BAL x ASSET_CLASS|21</t>
        </is>
      </c>
      <c r="B4059" t="inlineStr">
        <is>
          <t>(blank)</t>
        </is>
      </c>
      <c r="C4059" t="inlineStr">
        <is>
          <t>2</t>
        </is>
      </c>
      <c r="D4059" t="n">
        <v>1</v>
      </c>
      <c r="E4059" t="n">
        <v>0</v>
      </c>
      <c r="F4059" t="n">
        <v>0</v>
      </c>
      <c r="G4059" t="n">
        <v>0</v>
      </c>
      <c r="H4059" t="n">
        <v>1</v>
      </c>
      <c r="I4059" t="n">
        <v>0</v>
      </c>
    </row>
    <row r="4060">
      <c r="A4060" t="inlineStr">
        <is>
          <t>P|0|ORIG_BAL x ASSET_CLASS|22</t>
        </is>
      </c>
      <c r="B4060" t="inlineStr">
        <is>
          <t>Every pocket</t>
        </is>
      </c>
      <c r="D4060" t="n">
        <v>8000</v>
      </c>
      <c r="E4060" t="n">
        <v>258068446.03</v>
      </c>
      <c r="F4060" t="n">
        <v>4329</v>
      </c>
      <c r="G4060" t="n">
        <v>138748233.04</v>
      </c>
      <c r="H4060" t="n">
        <v>3671</v>
      </c>
      <c r="I4060" t="n">
        <v>119320212.99</v>
      </c>
    </row>
    <row r="4061">
      <c r="A4061" t="inlineStr">
        <is>
          <t>P|0|ORIG_BAL x ASSET_CLASS|23</t>
        </is>
      </c>
      <c r="B4061" t="inlineStr">
        <is>
          <t>Share of the grid</t>
        </is>
      </c>
      <c r="F4061" t="n">
        <v>0.541125</v>
      </c>
      <c r="G4061" t="n">
        <v>0.5376412156326571</v>
      </c>
      <c r="H4061" t="n">
        <v>0.458875</v>
      </c>
      <c r="I4061" t="n">
        <v>0.4623587843673428</v>
      </c>
    </row>
    <row r="4062">
      <c r="A4062" t="inlineStr">
        <is>
          <t>P|0|FICO x CHANNEL / SYS_FLAG|say</t>
        </is>
      </c>
      <c r="B4062" t="inlineStr">
        <is>
          <t>Counted on the two-way grids: pick one without the split.</t>
        </is>
      </c>
    </row>
    <row r="4063">
      <c r="A4063" t="inlineStr">
        <is>
          <t>P|0|FICO x ASSET_CLASS / SYS_FLAG|say</t>
        </is>
      </c>
      <c r="B4063" t="inlineStr">
        <is>
          <t>Counted on the two-way grids: pick one without the split.</t>
        </is>
      </c>
    </row>
    <row r="4064">
      <c r="A4064" t="inlineStr">
        <is>
          <t>P|0|ORIG_BAL x CHANNEL / SYS_FLAG|say</t>
        </is>
      </c>
      <c r="B4064" t="inlineStr">
        <is>
          <t>Counted on the two-way grids: pick one without the split.</t>
        </is>
      </c>
    </row>
    <row r="4065">
      <c r="A4065" t="inlineStr">
        <is>
          <t>P|0|ORIG_BAL x ASSET_CLASS / SYS_FLAG|say</t>
        </is>
      </c>
      <c r="B4065" t="inlineStr">
        <is>
          <t>Counted on the two-way grids: pick one without the split.</t>
        </is>
      </c>
    </row>
    <row r="4066">
      <c r="A4066" t="inlineStr">
        <is>
          <t>S|FICO x CHANNEL · SYS_FLAG N vs Y|chip</t>
        </is>
      </c>
    </row>
    <row r="4067">
      <c r="A4067" t="inlineStr">
        <is>
          <t>S|FICO x CHANNEL · SYS_FLAG N vs Y|rows</t>
        </is>
      </c>
      <c r="B4067" t="inlineStr">
        <is>
          <t>496 - 653</t>
        </is>
      </c>
      <c r="C4067" t="inlineStr">
        <is>
          <t>654 - 685</t>
        </is>
      </c>
      <c r="D4067" t="inlineStr">
        <is>
          <t>686 - 711</t>
        </is>
      </c>
      <c r="E4067" t="inlineStr">
        <is>
          <t>712 - 745</t>
        </is>
      </c>
      <c r="F4067" t="inlineStr">
        <is>
          <t>746 - 921</t>
        </is>
      </c>
      <c r="G4067" t="inlineStr">
        <is>
          <t>(blank)</t>
        </is>
      </c>
      <c r="H4067" t="inlineStr">
        <is>
          <t>(marked missing)</t>
        </is>
      </c>
    </row>
    <row r="4068">
      <c r="A4068" t="inlineStr">
        <is>
          <t>S|FICO x CHANNEL · SYS_FLAG N vs Y|cols</t>
        </is>
      </c>
      <c r="B4068" t="inlineStr">
        <is>
          <t>Branch</t>
        </is>
      </c>
      <c r="C4068" t="inlineStr">
        <is>
          <t>Broker</t>
        </is>
      </c>
      <c r="D4068" t="inlineStr">
        <is>
          <t>Online</t>
        </is>
      </c>
    </row>
    <row r="4069">
      <c r="A4069" t="inlineStr">
        <is>
          <t>S|FICO x CHANNEL · SYS_FLAG N vs Y|sum|1</t>
        </is>
      </c>
      <c r="B4069" t="inlineStr">
        <is>
          <t>Bad loans</t>
        </is>
      </c>
      <c r="C4069" t="n">
        <v>15</v>
      </c>
      <c r="D4069" t="inlineStr">
        <is>
          <t>1 of 15</t>
        </is>
      </c>
      <c r="E4069" t="n">
        <v>0.6031235581106111</v>
      </c>
      <c r="F4069" t="n">
        <v>0.0621165928362253</v>
      </c>
      <c r="G4069" t="inlineStr">
        <is>
          <t>x</t>
        </is>
      </c>
      <c r="H4069" t="n">
        <v>1.66736411754293e-10</v>
      </c>
      <c r="I4069" t="n">
        <v>0.5667085355788762</v>
      </c>
      <c r="J4069" t="n">
        <v>5.56500743701305e-11</v>
      </c>
      <c r="K4069" t="n">
        <v>0.8427846748745236</v>
      </c>
      <c r="M4069" t="n">
        <v>1.102500503842273e-11</v>
      </c>
      <c r="N4069" t="n">
        <v>1</v>
      </c>
      <c r="O4069" t="n">
        <v>18</v>
      </c>
    </row>
    <row r="4070">
      <c r="A4070" t="inlineStr">
        <is>
          <t>S|FICO x CHANNEL · SYS_FLAG N vs Y|outcome_loans|meta</t>
        </is>
      </c>
      <c r="B4070" t="inlineStr">
        <is>
          <t>x</t>
        </is>
      </c>
      <c r="C4070" t="n">
        <v>1.297077922077922</v>
      </c>
    </row>
    <row r="4071">
      <c r="A4071" t="inlineStr">
        <is>
          <t>S|FICO x CHANNEL · SYS_FLAG N vs Y|outcome_loans|v|1</t>
        </is>
      </c>
      <c r="B4071" t="n">
        <v>0.7027777777777777</v>
      </c>
      <c r="C4071" t="n">
        <v>0.6584178095806004</v>
      </c>
      <c r="D4071" t="n">
        <v>0.5325819672131148</v>
      </c>
    </row>
    <row r="4072">
      <c r="A4072" t="inlineStr">
        <is>
          <t>S|FICO x CHANNEL · SYS_FLAG N vs Y|outcome_loans|p|1</t>
        </is>
      </c>
      <c r="B4072" t="n">
        <v>0.2694805222682622</v>
      </c>
      <c r="C4072" t="n">
        <v>0.04076659558410643</v>
      </c>
      <c r="D4072" t="n">
        <v>0.05001271264035039</v>
      </c>
    </row>
    <row r="4073">
      <c r="A4073" t="inlineStr">
        <is>
          <t>S|FICO x CHANNEL · SYS_FLAG N vs Y|outcome_loans|se|1</t>
        </is>
      </c>
    </row>
    <row r="4074">
      <c r="A4074" t="inlineStr">
        <is>
          <t>S|FICO x CHANNEL · SYS_FLAG N vs Y|outcome_loans|v|2</t>
        </is>
      </c>
      <c r="B4074" t="n">
        <v>0.5628029358814568</v>
      </c>
      <c r="C4074" t="n">
        <v>0.6121254355400697</v>
      </c>
      <c r="D4074" t="n">
        <v>0.3932829124471222</v>
      </c>
    </row>
    <row r="4075">
      <c r="A4075" t="inlineStr">
        <is>
          <t>S|FICO x CHANNEL · SYS_FLAG N vs Y|outcome_loans|p|2</t>
        </is>
      </c>
      <c r="B4075" t="n">
        <v>0.1246640428049841</v>
      </c>
      <c r="C4075" t="n">
        <v>0.202155067497946</v>
      </c>
      <c r="D4075" t="n">
        <v>0.03702988483311467</v>
      </c>
    </row>
    <row r="4076">
      <c r="A4076" t="inlineStr">
        <is>
          <t>S|FICO x CHANNEL · SYS_FLAG N vs Y|outcome_loans|se|2</t>
        </is>
      </c>
    </row>
    <row r="4077">
      <c r="A4077" t="inlineStr">
        <is>
          <t>S|FICO x CHANNEL · SYS_FLAG N vs Y|outcome_loans|v|3</t>
        </is>
      </c>
      <c r="B4077" t="n">
        <v>1.297077922077922</v>
      </c>
      <c r="C4077" t="n">
        <v>0.6223862238622386</v>
      </c>
      <c r="D4077" t="n">
        <v>0.515928515928516</v>
      </c>
    </row>
    <row r="4078">
      <c r="A4078" t="inlineStr">
        <is>
          <t>S|FICO x CHANNEL · SYS_FLAG N vs Y|outcome_loans|p|3</t>
        </is>
      </c>
      <c r="B4078" t="n">
        <v>0.5230439160973697</v>
      </c>
      <c r="C4078" t="n">
        <v>0.2694805222682622</v>
      </c>
      <c r="D4078" t="n">
        <v>0.08181925107253929</v>
      </c>
    </row>
    <row r="4079">
      <c r="A4079" t="inlineStr">
        <is>
          <t>S|FICO x CHANNEL · SYS_FLAG N vs Y|outcome_loans|se|3</t>
        </is>
      </c>
    </row>
    <row r="4080">
      <c r="A4080" t="inlineStr">
        <is>
          <t>S|FICO x CHANNEL · SYS_FLAG N vs Y|outcome_loans|v|4</t>
        </is>
      </c>
      <c r="B4080" t="n">
        <v>0.6270358306188925</v>
      </c>
      <c r="C4080" t="n">
        <v>0.9631811487481591</v>
      </c>
      <c r="D4080" t="n">
        <v>0.4712862894681076</v>
      </c>
    </row>
    <row r="4081">
      <c r="A4081" t="inlineStr">
        <is>
          <t>S|FICO x CHANNEL · SYS_FLAG N vs Y|outcome_loans|p|4</t>
        </is>
      </c>
      <c r="B4081" t="n">
        <v>0.3015487297061033</v>
      </c>
      <c r="C4081" t="n">
        <v>0.9397040652372569</v>
      </c>
      <c r="D4081" t="n">
        <v>0.04076659558410643</v>
      </c>
    </row>
    <row r="4082">
      <c r="A4082" t="inlineStr">
        <is>
          <t>S|FICO x CHANNEL · SYS_FLAG N vs Y|outcome_loans|se|4</t>
        </is>
      </c>
    </row>
    <row r="4083">
      <c r="A4083" t="inlineStr">
        <is>
          <t>S|FICO x CHANNEL · SYS_FLAG N vs Y|outcome_loans|v|5</t>
        </is>
      </c>
      <c r="B4083" t="n">
        <v>0.5506912442396313</v>
      </c>
      <c r="C4083" t="n">
        <v>0.5284280936454849</v>
      </c>
      <c r="D4083" t="n">
        <v>0.560398505603985</v>
      </c>
    </row>
    <row r="4084">
      <c r="A4084" t="inlineStr">
        <is>
          <t>S|FICO x CHANNEL · SYS_FLAG N vs Y|outcome_loans|p|5</t>
        </is>
      </c>
      <c r="B4084" t="n">
        <v>0.2457727030910409</v>
      </c>
      <c r="C4084" t="n">
        <v>0.2457727030910409</v>
      </c>
      <c r="D4084" t="n">
        <v>0.2694805222682622</v>
      </c>
    </row>
    <row r="4085">
      <c r="A4085" t="inlineStr">
        <is>
          <t>S|FICO x CHANNEL · SYS_FLAG N vs Y|outcome_loans|se|5</t>
        </is>
      </c>
    </row>
    <row r="4086">
      <c r="A4086" t="inlineStr">
        <is>
          <t>S|FICO x CHANNEL · SYS_FLAG N vs Y|outcome_loans|v|6</t>
        </is>
      </c>
    </row>
    <row r="4087">
      <c r="A4087" t="inlineStr">
        <is>
          <t>S|FICO x CHANNEL · SYS_FLAG N vs Y|outcome_loans|p|6</t>
        </is>
      </c>
    </row>
    <row r="4088">
      <c r="A4088" t="inlineStr">
        <is>
          <t>S|FICO x CHANNEL · SYS_FLAG N vs Y|outcome_loans|se|6</t>
        </is>
      </c>
    </row>
    <row r="4089">
      <c r="A4089" t="inlineStr">
        <is>
          <t>S|FICO x CHANNEL · SYS_FLAG N vs Y|outcome_loans|v|7</t>
        </is>
      </c>
    </row>
    <row r="4090">
      <c r="A4090" t="inlineStr">
        <is>
          <t>S|FICO x CHANNEL · SYS_FLAG N vs Y|outcome_loans|p|7</t>
        </is>
      </c>
    </row>
    <row r="4091">
      <c r="A4091" t="inlineStr">
        <is>
          <t>S|FICO x CHANNEL · SYS_FLAG N vs Y|outcome_loans|se|7</t>
        </is>
      </c>
    </row>
    <row r="4092">
      <c r="A4092" t="inlineStr">
        <is>
          <t>S|FICO x CHANNEL · SYS_FLAG N vs Y|sum|2</t>
        </is>
      </c>
      <c r="B4092" t="inlineStr">
        <is>
          <t>Bad dollars</t>
        </is>
      </c>
      <c r="C4092" t="n">
        <v>15</v>
      </c>
      <c r="D4092" t="inlineStr">
        <is>
          <t>1 of 15</t>
        </is>
      </c>
      <c r="E4092" t="n">
        <v>0.5475360591197479</v>
      </c>
      <c r="F4092" t="n">
        <v>0.0673934676758344</v>
      </c>
      <c r="G4092" t="inlineStr">
        <is>
          <t>x</t>
        </is>
      </c>
      <c r="H4092" t="n">
        <v>9.999000099990002e-05</v>
      </c>
      <c r="L4092" t="inlineStr">
        <is>
          <t>not tested: dollar rate</t>
        </is>
      </c>
      <c r="P4092" t="n">
        <v>9.999000099990002e-05</v>
      </c>
    </row>
    <row r="4093">
      <c r="A4093" t="inlineStr">
        <is>
          <t>S|FICO x CHANNEL · SYS_FLAG N vs Y|outcome_booked|meta</t>
        </is>
      </c>
      <c r="B4093" t="inlineStr">
        <is>
          <t>x</t>
        </is>
      </c>
      <c r="C4093" t="n">
        <v>1.080372293073171</v>
      </c>
    </row>
    <row r="4094">
      <c r="A4094" t="inlineStr">
        <is>
          <t>S|FICO x CHANNEL · SYS_FLAG N vs Y|outcome_booked|v|1</t>
        </is>
      </c>
      <c r="B4094" t="n">
        <v>0.6122708453814304</v>
      </c>
      <c r="C4094" t="n">
        <v>0.6250277311382005</v>
      </c>
      <c r="D4094" t="n">
        <v>0.4305871089998579</v>
      </c>
    </row>
    <row r="4095">
      <c r="A4095" t="inlineStr">
        <is>
          <t>S|FICO x CHANNEL · SYS_FLAG N vs Y|outcome_booked|p|1</t>
        </is>
      </c>
      <c r="B4095" t="n">
        <v>0.2096040395960404</v>
      </c>
      <c r="C4095" t="n">
        <v>0.03549645035496451</v>
      </c>
      <c r="D4095" t="n">
        <v>0.02924707529247075</v>
      </c>
    </row>
    <row r="4096">
      <c r="A4096" t="inlineStr">
        <is>
          <t>S|FICO x CHANNEL · SYS_FLAG N vs Y|outcome_booked|se|1</t>
        </is>
      </c>
      <c r="B4096" t="n">
        <v>0.005908246108851571</v>
      </c>
      <c r="C4096" t="n">
        <v>0.004197883440342527</v>
      </c>
      <c r="D4096" t="n">
        <v>0.004674373469036971</v>
      </c>
    </row>
    <row r="4097">
      <c r="A4097" t="inlineStr">
        <is>
          <t>S|FICO x CHANNEL · SYS_FLAG N vs Y|outcome_booked|v|2</t>
        </is>
      </c>
      <c r="B4097" t="n">
        <v>0.475517394695639</v>
      </c>
      <c r="C4097" t="n">
        <v>0.7622115892100478</v>
      </c>
      <c r="D4097" t="n">
        <v>0.2527453319699686</v>
      </c>
    </row>
    <row r="4098">
      <c r="A4098" t="inlineStr">
        <is>
          <t>S|FICO x CHANNEL · SYS_FLAG N vs Y|outcome_booked|p|2</t>
        </is>
      </c>
      <c r="B4098" t="n">
        <v>0.07799220077992201</v>
      </c>
      <c r="C4098" t="n">
        <v>0.4824902125172098</v>
      </c>
      <c r="D4098" t="n">
        <v>0.002999700029997001</v>
      </c>
    </row>
    <row r="4099">
      <c r="A4099" t="inlineStr">
        <is>
          <t>S|FICO x CHANNEL · SYS_FLAG N vs Y|outcome_booked|se|2</t>
        </is>
      </c>
      <c r="B4099" t="n">
        <v>0.004346236516427855</v>
      </c>
      <c r="C4099" t="n">
        <v>0.00569142048004269</v>
      </c>
      <c r="D4099" t="n">
        <v>0.002121002174673215</v>
      </c>
    </row>
    <row r="4100">
      <c r="A4100" t="inlineStr">
        <is>
          <t>S|FICO x CHANNEL · SYS_FLAG N vs Y|outcome_booked|v|3</t>
        </is>
      </c>
      <c r="B4100" t="n">
        <v>1.080372293073171</v>
      </c>
      <c r="C4100" t="n">
        <v>0.5875917581649458</v>
      </c>
      <c r="D4100" t="n">
        <v>0.4081343614359478</v>
      </c>
    </row>
    <row r="4101">
      <c r="A4101" t="inlineStr">
        <is>
          <t>S|FICO x CHANNEL · SYS_FLAG N vs Y|outcome_booked|p|3</t>
        </is>
      </c>
      <c r="B4101" t="n">
        <v>0.8516148385161484</v>
      </c>
      <c r="C4101" t="n">
        <v>0.3176955031769551</v>
      </c>
      <c r="D4101" t="n">
        <v>0.04113874326853029</v>
      </c>
    </row>
    <row r="4102">
      <c r="A4102" t="inlineStr">
        <is>
          <t>S|FICO x CHANNEL · SYS_FLAG N vs Y|outcome_booked|se|3</t>
        </is>
      </c>
      <c r="B4102" t="n">
        <v>0.003554813712914685</v>
      </c>
      <c r="C4102" t="n">
        <v>0.005764466219494994</v>
      </c>
      <c r="D4102" t="n">
        <v>0.004178713959157274</v>
      </c>
    </row>
    <row r="4103">
      <c r="A4103" t="inlineStr">
        <is>
          <t>S|FICO x CHANNEL · SYS_FLAG N vs Y|outcome_booked|v|4</t>
        </is>
      </c>
      <c r="B4103" t="n">
        <v>0.49261161654612</v>
      </c>
      <c r="C4103" t="n">
        <v>0.8921965993869906</v>
      </c>
      <c r="D4103" t="n">
        <v>0.501705736272211</v>
      </c>
    </row>
    <row r="4104">
      <c r="A4104" t="inlineStr">
        <is>
          <t>S|FICO x CHANNEL · SYS_FLAG N vs Y|outcome_booked|p|4</t>
        </is>
      </c>
      <c r="B4104" t="n">
        <v>0.21664500216645</v>
      </c>
      <c r="C4104" t="n">
        <v>0.8516148385161484</v>
      </c>
      <c r="D4104" t="n">
        <v>0.07799220077992201</v>
      </c>
    </row>
    <row r="4105">
      <c r="A4105" t="inlineStr">
        <is>
          <t>S|FICO x CHANNEL · SYS_FLAG N vs Y|outcome_booked|se|4</t>
        </is>
      </c>
      <c r="B4105" t="n">
        <v>0.005604818878849244</v>
      </c>
      <c r="C4105" t="n">
        <v>0.003554813712914685</v>
      </c>
      <c r="D4105" t="n">
        <v>0.004346236516427855</v>
      </c>
    </row>
    <row r="4106">
      <c r="A4106" t="inlineStr">
        <is>
          <t>S|FICO x CHANNEL · SYS_FLAG N vs Y|outcome_booked|v|5</t>
        </is>
      </c>
      <c r="B4106" t="n">
        <v>0.6355811086619555</v>
      </c>
      <c r="C4106" t="n">
        <v>0.4455132578768134</v>
      </c>
      <c r="D4106" t="n">
        <v>0.5310338476268369</v>
      </c>
    </row>
    <row r="4107">
      <c r="A4107" t="inlineStr">
        <is>
          <t>S|FICO x CHANNEL · SYS_FLAG N vs Y|outcome_booked|p|5</t>
        </is>
      </c>
      <c r="B4107" t="n">
        <v>0.4092090790920908</v>
      </c>
      <c r="C4107" t="n">
        <v>0.2096040395960404</v>
      </c>
      <c r="D4107" t="n">
        <v>0.3176955031769551</v>
      </c>
    </row>
    <row r="4108">
      <c r="A4108" t="inlineStr">
        <is>
          <t>S|FICO x CHANNEL · SYS_FLAG N vs Y|outcome_booked|se|5</t>
        </is>
      </c>
      <c r="B4108" t="n">
        <v>0.005865656642301154</v>
      </c>
      <c r="C4108" t="n">
        <v>0.005908246108851571</v>
      </c>
      <c r="D4108" t="n">
        <v>0.005764466219494994</v>
      </c>
    </row>
    <row r="4109">
      <c r="A4109" t="inlineStr">
        <is>
          <t>S|FICO x CHANNEL · SYS_FLAG N vs Y|outcome_booked|v|6</t>
        </is>
      </c>
    </row>
    <row r="4110">
      <c r="A4110" t="inlineStr">
        <is>
          <t>S|FICO x CHANNEL · SYS_FLAG N vs Y|outcome_booked|p|6</t>
        </is>
      </c>
    </row>
    <row r="4111">
      <c r="A4111" t="inlineStr">
        <is>
          <t>S|FICO x CHANNEL · SYS_FLAG N vs Y|outcome_booked|se|6</t>
        </is>
      </c>
    </row>
    <row r="4112">
      <c r="A4112" t="inlineStr">
        <is>
          <t>S|FICO x CHANNEL · SYS_FLAG N vs Y|outcome_booked|v|7</t>
        </is>
      </c>
    </row>
    <row r="4113">
      <c r="A4113" t="inlineStr">
        <is>
          <t>S|FICO x CHANNEL · SYS_FLAG N vs Y|outcome_booked|p|7</t>
        </is>
      </c>
    </row>
    <row r="4114">
      <c r="A4114" t="inlineStr">
        <is>
          <t>S|FICO x CHANNEL · SYS_FLAG N vs Y|outcome_booked|se|7</t>
        </is>
      </c>
    </row>
    <row r="4115">
      <c r="A4115" t="inlineStr">
        <is>
          <t>S|FICO x CHANNEL · SYS_FLAG N vs Y|sum|3</t>
        </is>
      </c>
      <c r="B4115" t="inlineStr">
        <is>
          <t>Charge-offs</t>
        </is>
      </c>
      <c r="C4115" t="n">
        <v>15</v>
      </c>
      <c r="D4115" t="inlineStr">
        <is>
          <t>2 of 15</t>
        </is>
      </c>
      <c r="E4115" t="n">
        <v>0.5798018292340212</v>
      </c>
      <c r="F4115" t="n">
        <v>0.07081958703352918</v>
      </c>
      <c r="G4115" t="inlineStr">
        <is>
          <t>x</t>
        </is>
      </c>
      <c r="H4115" t="n">
        <v>9.999000099990002e-05</v>
      </c>
      <c r="L4115" t="inlineStr">
        <is>
          <t>not tested: dollar rate</t>
        </is>
      </c>
      <c r="P4115" t="n">
        <v>9.999000099990002e-05</v>
      </c>
    </row>
    <row r="4116">
      <c r="A4116" t="inlineStr">
        <is>
          <t>S|FICO x CHANNEL · SYS_FLAG N vs Y|gco_rate|meta</t>
        </is>
      </c>
      <c r="B4116" t="inlineStr">
        <is>
          <t>x</t>
        </is>
      </c>
      <c r="C4116" t="n">
        <v>1.292879125777757</v>
      </c>
    </row>
    <row r="4117">
      <c r="A4117" t="inlineStr">
        <is>
          <t>S|FICO x CHANNEL · SYS_FLAG N vs Y|gco_rate|v|1</t>
        </is>
      </c>
      <c r="B4117" t="n">
        <v>0.6576856916119684</v>
      </c>
      <c r="C4117" t="n">
        <v>0.7034858739139201</v>
      </c>
      <c r="D4117" t="n">
        <v>0.4712721575149755</v>
      </c>
    </row>
    <row r="4118">
      <c r="A4118" t="inlineStr">
        <is>
          <t>S|FICO x CHANNEL · SYS_FLAG N vs Y|gco_rate|p|1</t>
        </is>
      </c>
      <c r="B4118" t="n">
        <v>0.2764723527647235</v>
      </c>
      <c r="C4118" t="n">
        <v>0.1284871512848715</v>
      </c>
      <c r="D4118" t="n">
        <v>0.06111888811118889</v>
      </c>
    </row>
    <row r="4119">
      <c r="A4119" t="inlineStr">
        <is>
          <t>S|FICO x CHANNEL · SYS_FLAG N vs Y|gco_rate|se|1</t>
        </is>
      </c>
      <c r="B4119" t="n">
        <v>0.006199599122238556</v>
      </c>
      <c r="C4119" t="n">
        <v>0.005520044657128032</v>
      </c>
      <c r="D4119" t="n">
        <v>0.004748266124945087</v>
      </c>
    </row>
    <row r="4120">
      <c r="A4120" t="inlineStr">
        <is>
          <t>S|FICO x CHANNEL · SYS_FLAG N vs Y|gco_rate|v|2</t>
        </is>
      </c>
      <c r="B4120" t="n">
        <v>0.4225647019537738</v>
      </c>
      <c r="C4120" t="n">
        <v>0.7757443938548622</v>
      </c>
      <c r="D4120" t="n">
        <v>0.2704277858518991</v>
      </c>
    </row>
    <row r="4121">
      <c r="A4121" t="inlineStr">
        <is>
          <t>S|FICO x CHANNEL · SYS_FLAG N vs Y|gco_rate|p|2</t>
        </is>
      </c>
      <c r="B4121" t="n">
        <v>0.06111888811118889</v>
      </c>
      <c r="C4121" t="n">
        <v>0.641117706411177</v>
      </c>
      <c r="D4121" t="n">
        <v>0.007499250074992501</v>
      </c>
    </row>
    <row r="4122">
      <c r="A4122" t="inlineStr">
        <is>
          <t>S|FICO x CHANNEL · SYS_FLAG N vs Y|gco_rate|se|2</t>
        </is>
      </c>
      <c r="B4122" t="n">
        <v>0.004748266124945087</v>
      </c>
      <c r="C4122" t="n">
        <v>0.006806023099868932</v>
      </c>
      <c r="D4122" t="n">
        <v>0.003353095769184057</v>
      </c>
    </row>
    <row r="4123">
      <c r="A4123" t="inlineStr">
        <is>
          <t>S|FICO x CHANNEL · SYS_FLAG N vs Y|gco_rate|v|3</t>
        </is>
      </c>
      <c r="B4123" t="n">
        <v>1.292879125777757</v>
      </c>
      <c r="C4123" t="n">
        <v>0.738705185842033</v>
      </c>
      <c r="D4123" t="n">
        <v>0.3670321427552126</v>
      </c>
    </row>
    <row r="4124">
      <c r="A4124" t="inlineStr">
        <is>
          <t>S|FICO x CHANNEL · SYS_FLAG N vs Y|gco_rate|p|3</t>
        </is>
      </c>
      <c r="B4124" t="n">
        <v>0.6539346065393461</v>
      </c>
      <c r="C4124" t="n">
        <v>0.6495600439956005</v>
      </c>
      <c r="D4124" t="n">
        <v>0.053994600539946</v>
      </c>
    </row>
    <row r="4125">
      <c r="A4125" t="inlineStr">
        <is>
          <t>S|FICO x CHANNEL · SYS_FLAG N vs Y|gco_rate|se|3</t>
        </is>
      </c>
      <c r="B4125" t="n">
        <v>0.005717599679870505</v>
      </c>
      <c r="C4125" t="n">
        <v>0.00624517256958472</v>
      </c>
      <c r="D4125" t="n">
        <v>0.006340694655651909</v>
      </c>
    </row>
    <row r="4126">
      <c r="A4126" t="inlineStr">
        <is>
          <t>S|FICO x CHANNEL · SYS_FLAG N vs Y|gco_rate|v|4</t>
        </is>
      </c>
      <c r="B4126" t="n">
        <v>0.4518206769781546</v>
      </c>
      <c r="C4126" t="n">
        <v>1.148149387270747</v>
      </c>
      <c r="D4126" t="n">
        <v>0.4781103984219464</v>
      </c>
    </row>
    <row r="4127">
      <c r="A4127" t="inlineStr">
        <is>
          <t>S|FICO x CHANNEL · SYS_FLAG N vs Y|gco_rate|p|4</t>
        </is>
      </c>
      <c r="B4127" t="n">
        <v>0.1797945205479452</v>
      </c>
      <c r="C4127" t="n">
        <v>0.8209179082091791</v>
      </c>
      <c r="D4127" t="n">
        <v>0.07379262073792621</v>
      </c>
    </row>
    <row r="4128">
      <c r="A4128" t="inlineStr">
        <is>
          <t>S|FICO x CHANNEL · SYS_FLAG N vs Y|gco_rate|se|4</t>
        </is>
      </c>
      <c r="B4128" t="n">
        <v>0.005520766762038873</v>
      </c>
      <c r="C4128" t="n">
        <v>0.003834210429679687</v>
      </c>
      <c r="D4128" t="n">
        <v>0.004646853896330368</v>
      </c>
    </row>
    <row r="4129">
      <c r="A4129" t="inlineStr">
        <is>
          <t>S|FICO x CHANNEL · SYS_FLAG N vs Y|gco_rate|v|5</t>
        </is>
      </c>
      <c r="B4129" t="n">
        <v>0.8296260308698991</v>
      </c>
      <c r="C4129" t="n">
        <v>0.4036640905056481</v>
      </c>
      <c r="D4129" t="n">
        <v>0.5283457440530176</v>
      </c>
    </row>
    <row r="4130">
      <c r="A4130" t="inlineStr">
        <is>
          <t>S|FICO x CHANNEL · SYS_FLAG N vs Y|gco_rate|p|5</t>
        </is>
      </c>
      <c r="B4130" t="n">
        <v>0.7479966289085377</v>
      </c>
      <c r="C4130" t="n">
        <v>0.1585555730141271</v>
      </c>
      <c r="D4130" t="n">
        <v>0.3293670632936706</v>
      </c>
    </row>
    <row r="4131">
      <c r="A4131" t="inlineStr">
        <is>
          <t>S|FICO x CHANNEL · SYS_FLAG N vs Y|gco_rate|se|5</t>
        </is>
      </c>
      <c r="B4131" t="n">
        <v>0.004918597388344823</v>
      </c>
      <c r="C4131" t="n">
        <v>0.005609118223386733</v>
      </c>
      <c r="D4131" t="n">
        <v>0.006209411667443295</v>
      </c>
    </row>
    <row r="4132">
      <c r="A4132" t="inlineStr">
        <is>
          <t>S|FICO x CHANNEL · SYS_FLAG N vs Y|gco_rate|v|6</t>
        </is>
      </c>
    </row>
    <row r="4133">
      <c r="A4133" t="inlineStr">
        <is>
          <t>S|FICO x CHANNEL · SYS_FLAG N vs Y|gco_rate|p|6</t>
        </is>
      </c>
    </row>
    <row r="4134">
      <c r="A4134" t="inlineStr">
        <is>
          <t>S|FICO x CHANNEL · SYS_FLAG N vs Y|gco_rate|se|6</t>
        </is>
      </c>
    </row>
    <row r="4135">
      <c r="A4135" t="inlineStr">
        <is>
          <t>S|FICO x CHANNEL · SYS_FLAG N vs Y|gco_rate|v|7</t>
        </is>
      </c>
    </row>
    <row r="4136">
      <c r="A4136" t="inlineStr">
        <is>
          <t>S|FICO x CHANNEL · SYS_FLAG N vs Y|gco_rate|p|7</t>
        </is>
      </c>
    </row>
    <row r="4137">
      <c r="A4137" t="inlineStr">
        <is>
          <t>S|FICO x CHANNEL · SYS_FLAG N vs Y|gco_rate|se|7</t>
        </is>
      </c>
    </row>
    <row r="4138">
      <c r="A4138" t="inlineStr">
        <is>
          <t>S|FICO x CHANNEL · SYS_FLAG N vs Y|sum|4</t>
        </is>
      </c>
      <c r="B4138" t="inlineStr">
        <is>
          <t>Kept after losses</t>
        </is>
      </c>
      <c r="C4138" t="n">
        <v>15</v>
      </c>
      <c r="D4138" t="inlineStr">
        <is>
          <t>2 of 15</t>
        </is>
      </c>
      <c r="E4138" t="n">
        <v>2.612141864199008</v>
      </c>
      <c r="F4138" t="n">
        <v>0.4421006516510159</v>
      </c>
      <c r="G4138" t="inlineStr">
        <is>
          <t>pts</t>
        </is>
      </c>
      <c r="H4138" t="n">
        <v>9.999000099990002e-05</v>
      </c>
      <c r="L4138" t="inlineStr">
        <is>
          <t>not tested: dollar rate</t>
        </is>
      </c>
      <c r="P4138" t="n">
        <v>9.999000099990002e-05</v>
      </c>
    </row>
    <row r="4139">
      <c r="A4139" t="inlineStr">
        <is>
          <t>S|FICO x CHANNEL · SYS_FLAG N vs Y|ranr_rate|meta</t>
        </is>
      </c>
      <c r="B4139" t="inlineStr">
        <is>
          <t>pts</t>
        </is>
      </c>
      <c r="C4139" t="n">
        <v>5.723393202</v>
      </c>
    </row>
    <row r="4140">
      <c r="A4140" t="inlineStr">
        <is>
          <t>S|FICO x CHANNEL · SYS_FLAG N vs Y|ranr_rate|v|1</t>
        </is>
      </c>
      <c r="B4140" t="n">
        <v>3.574192424</v>
      </c>
      <c r="C4140" t="n">
        <v>4.703252644</v>
      </c>
      <c r="D4140" t="n">
        <v>3.906620384</v>
      </c>
    </row>
    <row r="4141">
      <c r="A4141" t="inlineStr">
        <is>
          <t>S|FICO x CHANNEL · SYS_FLAG N vs Y|ranr_rate|p|1</t>
        </is>
      </c>
      <c r="B4141" t="n">
        <v>0.1786321367863214</v>
      </c>
      <c r="C4141" t="n">
        <v>0.1537346265373463</v>
      </c>
      <c r="D4141" t="n">
        <v>0.1537346265373463</v>
      </c>
    </row>
    <row r="4142">
      <c r="A4142" t="inlineStr">
        <is>
          <t>S|FICO x CHANNEL · SYS_FLAG N vs Y|ranr_rate|se|1</t>
        </is>
      </c>
      <c r="B4142" t="n">
        <v>0.004858382085495489</v>
      </c>
      <c r="C4142" t="n">
        <v>0.005144104288998688</v>
      </c>
      <c r="D4142" t="n">
        <v>0.005144104288998688</v>
      </c>
    </row>
    <row r="4143">
      <c r="A4143" t="inlineStr">
        <is>
          <t>S|FICO x CHANNEL · SYS_FLAG N vs Y|ranr_rate|v|2</t>
        </is>
      </c>
      <c r="B4143" t="n">
        <v>3.904159516</v>
      </c>
      <c r="C4143" t="n">
        <v>1.880750655</v>
      </c>
      <c r="D4143" t="n">
        <v>5.723393202</v>
      </c>
    </row>
    <row r="4144">
      <c r="A4144" t="inlineStr">
        <is>
          <t>S|FICO x CHANNEL · SYS_FLAG N vs Y|ranr_rate|p|2</t>
        </is>
      </c>
      <c r="B4144" t="n">
        <v>0.1537346265373463</v>
      </c>
      <c r="C4144" t="n">
        <v>0.3632136786321368</v>
      </c>
      <c r="D4144" t="n">
        <v>0.02174782521747825</v>
      </c>
    </row>
    <row r="4145">
      <c r="A4145" t="inlineStr">
        <is>
          <t>S|FICO x CHANNEL · SYS_FLAG N vs Y|ranr_rate|se|2</t>
        </is>
      </c>
      <c r="B4145" t="n">
        <v>0.005144104288998688</v>
      </c>
      <c r="C4145" t="n">
        <v>0.005675323091637002</v>
      </c>
      <c r="D4145" t="n">
        <v>0.004032811937462456</v>
      </c>
    </row>
    <row r="4146">
      <c r="A4146" t="inlineStr">
        <is>
          <t>S|FICO x CHANNEL · SYS_FLAG N vs Y|ranr_rate|v|3</t>
        </is>
      </c>
      <c r="B4146" t="n">
        <v>-0.377354062</v>
      </c>
      <c r="C4146" t="n">
        <v>2.710333304</v>
      </c>
      <c r="D4146" t="n">
        <v>5.65590869</v>
      </c>
    </row>
    <row r="4147">
      <c r="A4147" t="inlineStr">
        <is>
          <t>S|FICO x CHANNEL · SYS_FLAG N vs Y|ranr_rate|p|3</t>
        </is>
      </c>
      <c r="B4147" t="n">
        <v>0.771022897710229</v>
      </c>
      <c r="C4147" t="n">
        <v>0.1537346265373463</v>
      </c>
      <c r="D4147" t="n">
        <v>0.02174782521747825</v>
      </c>
    </row>
    <row r="4148">
      <c r="A4148" t="inlineStr">
        <is>
          <t>S|FICO x CHANNEL · SYS_FLAG N vs Y|ranr_rate|se|3</t>
        </is>
      </c>
      <c r="B4148" t="n">
        <v>0.004201744743755274</v>
      </c>
      <c r="C4148" t="n">
        <v>0.005144104288998688</v>
      </c>
      <c r="D4148" t="n">
        <v>0.004032811937462456</v>
      </c>
    </row>
    <row r="4149">
      <c r="A4149" t="inlineStr">
        <is>
          <t>S|FICO x CHANNEL · SYS_FLAG N vs Y|ranr_rate|v|4</t>
        </is>
      </c>
      <c r="B4149" t="n">
        <v>1.980697809</v>
      </c>
      <c r="C4149" t="n">
        <v>-0.863007677</v>
      </c>
      <c r="D4149" t="n">
        <v>3.203294658</v>
      </c>
    </row>
    <row r="4150">
      <c r="A4150" t="inlineStr">
        <is>
          <t>S|FICO x CHANNEL · SYS_FLAG N vs Y|ranr_rate|p|4</t>
        </is>
      </c>
      <c r="B4150" t="n">
        <v>0.1786321367863214</v>
      </c>
      <c r="C4150" t="n">
        <v>0.6106532203922465</v>
      </c>
      <c r="D4150" t="n">
        <v>0.1537346265373463</v>
      </c>
    </row>
    <row r="4151">
      <c r="A4151" t="inlineStr">
        <is>
          <t>S|FICO x CHANNEL · SYS_FLAG N vs Y|ranr_rate|se|4</t>
        </is>
      </c>
      <c r="B4151" t="n">
        <v>0.004858382085495489</v>
      </c>
      <c r="C4151" t="n">
        <v>0.005304469360715544</v>
      </c>
      <c r="D4151" t="n">
        <v>0.005144104288998688</v>
      </c>
    </row>
    <row r="4152">
      <c r="A4152" t="inlineStr">
        <is>
          <t>S|FICO x CHANNEL · SYS_FLAG N vs Y|ranr_rate|v|5</t>
        </is>
      </c>
      <c r="B4152" t="n">
        <v>0.627489803</v>
      </c>
      <c r="C4152" t="n">
        <v>1.774974092</v>
      </c>
      <c r="D4152" t="n">
        <v>1.329022059</v>
      </c>
    </row>
    <row r="4153">
      <c r="A4153" t="inlineStr">
        <is>
          <t>S|FICO x CHANNEL · SYS_FLAG N vs Y|ranr_rate|p|5</t>
        </is>
      </c>
      <c r="B4153" t="n">
        <v>0.6106532203922465</v>
      </c>
      <c r="C4153" t="n">
        <v>0.1537346265373463</v>
      </c>
      <c r="D4153" t="n">
        <v>0.2401123524011235</v>
      </c>
    </row>
    <row r="4154">
      <c r="A4154" t="inlineStr">
        <is>
          <t>S|FICO x CHANNEL · SYS_FLAG N vs Y|ranr_rate|se|5</t>
        </is>
      </c>
      <c r="B4154" t="n">
        <v>0.005304469360715544</v>
      </c>
      <c r="C4154" t="n">
        <v>0.005144104288998688</v>
      </c>
      <c r="D4154" t="n">
        <v>0.005193957963988926</v>
      </c>
    </row>
    <row r="4155">
      <c r="A4155" t="inlineStr">
        <is>
          <t>S|FICO x CHANNEL · SYS_FLAG N vs Y|ranr_rate|v|6</t>
        </is>
      </c>
    </row>
    <row r="4156">
      <c r="A4156" t="inlineStr">
        <is>
          <t>S|FICO x CHANNEL · SYS_FLAG N vs Y|ranr_rate|p|6</t>
        </is>
      </c>
    </row>
    <row r="4157">
      <c r="A4157" t="inlineStr">
        <is>
          <t>S|FICO x CHANNEL · SYS_FLAG N vs Y|ranr_rate|se|6</t>
        </is>
      </c>
    </row>
    <row r="4158">
      <c r="A4158" t="inlineStr">
        <is>
          <t>S|FICO x CHANNEL · SYS_FLAG N vs Y|ranr_rate|v|7</t>
        </is>
      </c>
    </row>
    <row r="4159">
      <c r="A4159" t="inlineStr">
        <is>
          <t>S|FICO x CHANNEL · SYS_FLAG N vs Y|ranr_rate|p|7</t>
        </is>
      </c>
    </row>
    <row r="4160">
      <c r="A4160" t="inlineStr">
        <is>
          <t>S|FICO x CHANNEL · SYS_FLAG N vs Y|ranr_rate|se|7</t>
        </is>
      </c>
    </row>
    <row r="4161">
      <c r="A4161" t="inlineStr">
        <is>
          <t>S|FICO x CHANNEL · SYS_FLAG N vs Y|sum|5</t>
        </is>
      </c>
      <c r="B4161" t="inlineStr">
        <is>
          <t>Earned before losses</t>
        </is>
      </c>
      <c r="C4161" t="n">
        <v>15</v>
      </c>
      <c r="D4161" t="inlineStr">
        <is>
          <t>4 of 15</t>
        </is>
      </c>
      <c r="E4161" t="n">
        <v>0.3854124322324641</v>
      </c>
      <c r="F4161" t="n">
        <v>0.2379887702158736</v>
      </c>
      <c r="G4161" t="inlineStr">
        <is>
          <t>pts</t>
        </is>
      </c>
      <c r="H4161" t="n">
        <v>0.1065893410658934</v>
      </c>
      <c r="L4161" t="inlineStr">
        <is>
          <t>not tested: dollar rate</t>
        </is>
      </c>
      <c r="P4161" t="n">
        <v>0.003085904299180907</v>
      </c>
    </row>
    <row r="4162">
      <c r="A4162" t="inlineStr">
        <is>
          <t>S|FICO x CHANNEL · SYS_FLAG N vs Y|contribution_rate|meta</t>
        </is>
      </c>
      <c r="B4162" t="inlineStr">
        <is>
          <t>pts</t>
        </is>
      </c>
      <c r="C4162" t="n">
        <v>1.909918611</v>
      </c>
    </row>
    <row r="4163">
      <c r="A4163" t="inlineStr">
        <is>
          <t>S|FICO x CHANNEL · SYS_FLAG N vs Y|contribution_rate|v|1</t>
        </is>
      </c>
      <c r="B4163" t="n">
        <v>1.325899682</v>
      </c>
      <c r="C4163" t="n">
        <v>-0.228040702</v>
      </c>
      <c r="D4163" t="n">
        <v>-0.198971907</v>
      </c>
    </row>
    <row r="4164">
      <c r="A4164" t="inlineStr">
        <is>
          <t>S|FICO x CHANNEL · SYS_FLAG N vs Y|contribution_rate|p|1</t>
        </is>
      </c>
      <c r="B4164" t="n">
        <v>0.9527261559558331</v>
      </c>
      <c r="C4164" t="n">
        <v>0.9527261559558331</v>
      </c>
      <c r="D4164" t="n">
        <v>0.9527261559558331</v>
      </c>
    </row>
    <row r="4165">
      <c r="A4165" t="inlineStr">
        <is>
          <t>S|FICO x CHANNEL · SYS_FLAG N vs Y|contribution_rate|se|1</t>
        </is>
      </c>
      <c r="B4165" t="n">
        <v>0.003362898987421631</v>
      </c>
      <c r="C4165" t="n">
        <v>0.003362898987421631</v>
      </c>
      <c r="D4165" t="n">
        <v>0.003362898987421631</v>
      </c>
    </row>
    <row r="4166">
      <c r="A4166" t="inlineStr">
        <is>
          <t>S|FICO x CHANNEL · SYS_FLAG N vs Y|contribution_rate|v|2</t>
        </is>
      </c>
      <c r="B4166" t="n">
        <v>-0.154485324</v>
      </c>
      <c r="C4166" t="n">
        <v>0.800399198</v>
      </c>
      <c r="D4166" t="n">
        <v>0.432102812</v>
      </c>
    </row>
    <row r="4167">
      <c r="A4167" t="inlineStr">
        <is>
          <t>S|FICO x CHANNEL · SYS_FLAG N vs Y|contribution_rate|p|2</t>
        </is>
      </c>
      <c r="B4167" t="n">
        <v>0.9527261559558331</v>
      </c>
      <c r="C4167" t="n">
        <v>0.9527261559558331</v>
      </c>
      <c r="D4167" t="n">
        <v>0.9527261559558331</v>
      </c>
    </row>
    <row r="4168">
      <c r="A4168" t="inlineStr">
        <is>
          <t>S|FICO x CHANNEL · SYS_FLAG N vs Y|contribution_rate|se|2</t>
        </is>
      </c>
      <c r="B4168" t="n">
        <v>0.003362898987421631</v>
      </c>
      <c r="C4168" t="n">
        <v>0.003362898987421631</v>
      </c>
      <c r="D4168" t="n">
        <v>0.003362898987421631</v>
      </c>
    </row>
    <row r="4169">
      <c r="A4169" t="inlineStr">
        <is>
          <t>S|FICO x CHANNEL · SYS_FLAG N vs Y|contribution_rate|v|3</t>
        </is>
      </c>
      <c r="B4169" t="n">
        <v>0.232409112</v>
      </c>
      <c r="C4169" t="n">
        <v>1.909918611</v>
      </c>
      <c r="D4169" t="n">
        <v>1.584747234</v>
      </c>
    </row>
    <row r="4170">
      <c r="A4170" t="inlineStr">
        <is>
          <t>S|FICO x CHANNEL · SYS_FLAG N vs Y|contribution_rate|p|3</t>
        </is>
      </c>
      <c r="B4170" t="n">
        <v>0.9527261559558331</v>
      </c>
      <c r="C4170" t="n">
        <v>0.1934806519348065</v>
      </c>
      <c r="D4170" t="n">
        <v>0.7184281571842817</v>
      </c>
    </row>
    <row r="4171">
      <c r="A4171" t="inlineStr">
        <is>
          <t>S|FICO x CHANNEL · SYS_FLAG N vs Y|contribution_rate|se|3</t>
        </is>
      </c>
      <c r="B4171" t="n">
        <v>0.003362898987421631</v>
      </c>
      <c r="C4171" t="n">
        <v>0.01692564626934221</v>
      </c>
      <c r="D4171" t="n">
        <v>0.02207277092221751</v>
      </c>
    </row>
    <row r="4172">
      <c r="A4172" t="inlineStr">
        <is>
          <t>S|FICO x CHANNEL · SYS_FLAG N vs Y|contribution_rate|v|4</t>
        </is>
      </c>
      <c r="B4172" t="n">
        <v>0.13120914</v>
      </c>
      <c r="C4172" t="n">
        <v>-0.579270655</v>
      </c>
      <c r="D4172" t="n">
        <v>0.028011158</v>
      </c>
    </row>
    <row r="4173">
      <c r="A4173" t="inlineStr">
        <is>
          <t>S|FICO x CHANNEL · SYS_FLAG N vs Y|contribution_rate|p|4</t>
        </is>
      </c>
      <c r="B4173" t="n">
        <v>0.9527261559558331</v>
      </c>
      <c r="C4173" t="n">
        <v>0.9527261559558331</v>
      </c>
      <c r="D4173" t="n">
        <v>0.9726027397260274</v>
      </c>
    </row>
    <row r="4174">
      <c r="A4174" t="inlineStr">
        <is>
          <t>S|FICO x CHANNEL · SYS_FLAG N vs Y|contribution_rate|se|4</t>
        </is>
      </c>
      <c r="B4174" t="n">
        <v>0.003362898987421631</v>
      </c>
      <c r="C4174" t="n">
        <v>0.003362898987421631</v>
      </c>
      <c r="D4174" t="n">
        <v>0.001632380176412738</v>
      </c>
    </row>
    <row r="4175">
      <c r="A4175" t="inlineStr">
        <is>
          <t>S|FICO x CHANNEL · SYS_FLAG N vs Y|contribution_rate|v|5</t>
        </is>
      </c>
      <c r="B4175" t="n">
        <v>0.202936616</v>
      </c>
      <c r="C4175" t="n">
        <v>0.177549488</v>
      </c>
      <c r="D4175" t="n">
        <v>0.193546601</v>
      </c>
    </row>
    <row r="4176">
      <c r="A4176" t="inlineStr">
        <is>
          <t>S|FICO x CHANNEL · SYS_FLAG N vs Y|contribution_rate|p|5</t>
        </is>
      </c>
      <c r="B4176" t="n">
        <v>0.9527261559558331</v>
      </c>
      <c r="C4176" t="n">
        <v>0.9527261559558331</v>
      </c>
      <c r="D4176" t="n">
        <v>0.9527261559558331</v>
      </c>
    </row>
    <row r="4177">
      <c r="A4177" t="inlineStr">
        <is>
          <t>S|FICO x CHANNEL · SYS_FLAG N vs Y|contribution_rate|se|5</t>
        </is>
      </c>
      <c r="B4177" t="n">
        <v>0.003362898987421631</v>
      </c>
      <c r="C4177" t="n">
        <v>0.003362898987421631</v>
      </c>
      <c r="D4177" t="n">
        <v>0.003362898987421631</v>
      </c>
    </row>
    <row r="4178">
      <c r="A4178" t="inlineStr">
        <is>
          <t>S|FICO x CHANNEL · SYS_FLAG N vs Y|contribution_rate|v|6</t>
        </is>
      </c>
    </row>
    <row r="4179">
      <c r="A4179" t="inlineStr">
        <is>
          <t>S|FICO x CHANNEL · SYS_FLAG N vs Y|contribution_rate|p|6</t>
        </is>
      </c>
    </row>
    <row r="4180">
      <c r="A4180" t="inlineStr">
        <is>
          <t>S|FICO x CHANNEL · SYS_FLAG N vs Y|contribution_rate|se|6</t>
        </is>
      </c>
    </row>
    <row r="4181">
      <c r="A4181" t="inlineStr">
        <is>
          <t>S|FICO x CHANNEL · SYS_FLAG N vs Y|contribution_rate|v|7</t>
        </is>
      </c>
    </row>
    <row r="4182">
      <c r="A4182" t="inlineStr">
        <is>
          <t>S|FICO x CHANNEL · SYS_FLAG N vs Y|contribution_rate|p|7</t>
        </is>
      </c>
    </row>
    <row r="4183">
      <c r="A4183" t="inlineStr">
        <is>
          <t>S|FICO x CHANNEL · SYS_FLAG N vs Y|contribution_rate|se|7</t>
        </is>
      </c>
    </row>
    <row r="4184">
      <c r="A4184" t="inlineStr">
        <is>
          <t>S|FICO x CHANNEL · SYS_FLAG Y vs N|chip</t>
        </is>
      </c>
    </row>
    <row r="4185">
      <c r="A4185" t="inlineStr">
        <is>
          <t>S|FICO x CHANNEL · SYS_FLAG Y vs N|rows</t>
        </is>
      </c>
      <c r="B4185" t="inlineStr">
        <is>
          <t>496 - 653</t>
        </is>
      </c>
      <c r="C4185" t="inlineStr">
        <is>
          <t>654 - 685</t>
        </is>
      </c>
      <c r="D4185" t="inlineStr">
        <is>
          <t>686 - 711</t>
        </is>
      </c>
      <c r="E4185" t="inlineStr">
        <is>
          <t>712 - 745</t>
        </is>
      </c>
      <c r="F4185" t="inlineStr">
        <is>
          <t>746 - 921</t>
        </is>
      </c>
      <c r="G4185" t="inlineStr">
        <is>
          <t>(blank)</t>
        </is>
      </c>
      <c r="H4185" t="inlineStr">
        <is>
          <t>(marked missing)</t>
        </is>
      </c>
    </row>
    <row r="4186">
      <c r="A4186" t="inlineStr">
        <is>
          <t>S|FICO x CHANNEL · SYS_FLAG Y vs N|cols</t>
        </is>
      </c>
      <c r="B4186" t="inlineStr">
        <is>
          <t>Branch</t>
        </is>
      </c>
      <c r="C4186" t="inlineStr">
        <is>
          <t>Broker</t>
        </is>
      </c>
      <c r="D4186" t="inlineStr">
        <is>
          <t>Online</t>
        </is>
      </c>
    </row>
    <row r="4187">
      <c r="A4187" t="inlineStr">
        <is>
          <t>S|FICO x CHANNEL · SYS_FLAG Y vs N|sum|1</t>
        </is>
      </c>
      <c r="B4187" t="inlineStr">
        <is>
          <t>Bad loans</t>
        </is>
      </c>
      <c r="C4187" t="n">
        <v>15</v>
      </c>
      <c r="D4187" t="inlineStr">
        <is>
          <t>14 of 15</t>
        </is>
      </c>
      <c r="E4187" t="n">
        <v>1.659342100324173</v>
      </c>
      <c r="F4187" t="n">
        <v>0.1023272110868351</v>
      </c>
      <c r="G4187" t="inlineStr">
        <is>
          <t>x</t>
        </is>
      </c>
      <c r="H4187" t="n">
        <v>1.66736411754293e-10</v>
      </c>
      <c r="I4187" t="n">
        <v>1.764575504370212</v>
      </c>
      <c r="J4187" t="n">
        <v>5.56500743701305e-11</v>
      </c>
      <c r="K4187" t="n">
        <v>0.8427846748745236</v>
      </c>
      <c r="M4187" t="n">
        <v>1.102500503842273e-11</v>
      </c>
      <c r="N4187" t="n">
        <v>1</v>
      </c>
      <c r="O4187" t="n">
        <v>18</v>
      </c>
    </row>
    <row r="4188">
      <c r="A4188" t="inlineStr">
        <is>
          <t>S|FICO x CHANNEL · SYS_FLAG Y vs N|outcome_loans|meta</t>
        </is>
      </c>
      <c r="B4188" t="inlineStr">
        <is>
          <t>x</t>
        </is>
      </c>
      <c r="C4188" t="n">
        <v>2.542698826597132</v>
      </c>
    </row>
    <row r="4189">
      <c r="A4189" t="inlineStr">
        <is>
          <t>S|FICO x CHANNEL · SYS_FLAG Y vs N|outcome_loans|v|1</t>
        </is>
      </c>
      <c r="B4189" t="n">
        <v>1.422924901185771</v>
      </c>
      <c r="C4189" t="n">
        <v>1.518792452830189</v>
      </c>
      <c r="D4189" t="n">
        <v>1.877645248172374</v>
      </c>
    </row>
    <row r="4190">
      <c r="A4190" t="inlineStr">
        <is>
          <t>S|FICO x CHANNEL · SYS_FLAG Y vs N|outcome_loans|p|1</t>
        </is>
      </c>
      <c r="B4190" t="n">
        <v>0.2694805222682622</v>
      </c>
      <c r="C4190" t="n">
        <v>0.04076659558410643</v>
      </c>
      <c r="D4190" t="n">
        <v>0.05001271264035039</v>
      </c>
    </row>
    <row r="4191">
      <c r="A4191" t="inlineStr">
        <is>
          <t>S|FICO x CHANNEL · SYS_FLAG Y vs N|outcome_loans|se|1</t>
        </is>
      </c>
    </row>
    <row r="4192">
      <c r="A4192" t="inlineStr">
        <is>
          <t>S|FICO x CHANNEL · SYS_FLAG Y vs N|outcome_loans|v|2</t>
        </is>
      </c>
      <c r="B4192" t="n">
        <v>1.776820866141733</v>
      </c>
      <c r="C4192" t="n">
        <v>1.633652094717668</v>
      </c>
      <c r="D4192" t="n">
        <v>2.542698826597132</v>
      </c>
    </row>
    <row r="4193">
      <c r="A4193" t="inlineStr">
        <is>
          <t>S|FICO x CHANNEL · SYS_FLAG Y vs N|outcome_loans|p|2</t>
        </is>
      </c>
      <c r="B4193" t="n">
        <v>0.1246640428049841</v>
      </c>
      <c r="C4193" t="n">
        <v>0.202155067497946</v>
      </c>
      <c r="D4193" t="n">
        <v>0.03702988483311467</v>
      </c>
    </row>
    <row r="4194">
      <c r="A4194" t="inlineStr">
        <is>
          <t>S|FICO x CHANNEL · SYS_FLAG Y vs N|outcome_loans|se|2</t>
        </is>
      </c>
    </row>
    <row r="4195">
      <c r="A4195" t="inlineStr">
        <is>
          <t>S|FICO x CHANNEL · SYS_FLAG Y vs N|outcome_loans|v|3</t>
        </is>
      </c>
      <c r="B4195" t="n">
        <v>0.7709637046307884</v>
      </c>
      <c r="C4195" t="n">
        <v>1.606719367588933</v>
      </c>
      <c r="D4195" t="n">
        <v>1.938253012048193</v>
      </c>
    </row>
    <row r="4196">
      <c r="A4196" t="inlineStr">
        <is>
          <t>S|FICO x CHANNEL · SYS_FLAG Y vs N|outcome_loans|p|3</t>
        </is>
      </c>
      <c r="B4196" t="n">
        <v>0.5230439160973697</v>
      </c>
      <c r="C4196" t="n">
        <v>0.2694805222682622</v>
      </c>
      <c r="D4196" t="n">
        <v>0.08181925107253929</v>
      </c>
    </row>
    <row r="4197">
      <c r="A4197" t="inlineStr">
        <is>
          <t>S|FICO x CHANNEL · SYS_FLAG Y vs N|outcome_loans|se|3</t>
        </is>
      </c>
    </row>
    <row r="4198">
      <c r="A4198" t="inlineStr">
        <is>
          <t>S|FICO x CHANNEL · SYS_FLAG Y vs N|outcome_loans|v|4</t>
        </is>
      </c>
      <c r="B4198" t="n">
        <v>1.594805194805195</v>
      </c>
      <c r="C4198" t="n">
        <v>1.03822629969419</v>
      </c>
      <c r="D4198" t="n">
        <v>2.121852517985611</v>
      </c>
    </row>
    <row r="4199">
      <c r="A4199" t="inlineStr">
        <is>
          <t>S|FICO x CHANNEL · SYS_FLAG Y vs N|outcome_loans|p|4</t>
        </is>
      </c>
      <c r="B4199" t="n">
        <v>0.3015487297061033</v>
      </c>
      <c r="C4199" t="n">
        <v>0.9397040652372569</v>
      </c>
      <c r="D4199" t="n">
        <v>0.04076659558410643</v>
      </c>
    </row>
    <row r="4200">
      <c r="A4200" t="inlineStr">
        <is>
          <t>S|FICO x CHANNEL · SYS_FLAG Y vs N|outcome_loans|se|4</t>
        </is>
      </c>
    </row>
    <row r="4201">
      <c r="A4201" t="inlineStr">
        <is>
          <t>S|FICO x CHANNEL · SYS_FLAG Y vs N|outcome_loans|v|5</t>
        </is>
      </c>
      <c r="B4201" t="n">
        <v>1.815899581589958</v>
      </c>
      <c r="C4201" t="n">
        <v>1.892405063291139</v>
      </c>
      <c r="D4201" t="n">
        <v>1.784444444444445</v>
      </c>
    </row>
    <row r="4202">
      <c r="A4202" t="inlineStr">
        <is>
          <t>S|FICO x CHANNEL · SYS_FLAG Y vs N|outcome_loans|p|5</t>
        </is>
      </c>
      <c r="B4202" t="n">
        <v>0.2457727030910409</v>
      </c>
      <c r="C4202" t="n">
        <v>0.2457727030910409</v>
      </c>
      <c r="D4202" t="n">
        <v>0.2694805222682622</v>
      </c>
    </row>
    <row r="4203">
      <c r="A4203" t="inlineStr">
        <is>
          <t>S|FICO x CHANNEL · SYS_FLAG Y vs N|outcome_loans|se|5</t>
        </is>
      </c>
    </row>
    <row r="4204">
      <c r="A4204" t="inlineStr">
        <is>
          <t>S|FICO x CHANNEL · SYS_FLAG Y vs N|outcome_loans|v|6</t>
        </is>
      </c>
    </row>
    <row r="4205">
      <c r="A4205" t="inlineStr">
        <is>
          <t>S|FICO x CHANNEL · SYS_FLAG Y vs N|outcome_loans|p|6</t>
        </is>
      </c>
    </row>
    <row r="4206">
      <c r="A4206" t="inlineStr">
        <is>
          <t>S|FICO x CHANNEL · SYS_FLAG Y vs N|outcome_loans|se|6</t>
        </is>
      </c>
    </row>
    <row r="4207">
      <c r="A4207" t="inlineStr">
        <is>
          <t>S|FICO x CHANNEL · SYS_FLAG Y vs N|outcome_loans|v|7</t>
        </is>
      </c>
    </row>
    <row r="4208">
      <c r="A4208" t="inlineStr">
        <is>
          <t>S|FICO x CHANNEL · SYS_FLAG Y vs N|outcome_loans|p|7</t>
        </is>
      </c>
    </row>
    <row r="4209">
      <c r="A4209" t="inlineStr">
        <is>
          <t>S|FICO x CHANNEL · SYS_FLAG Y vs N|outcome_loans|se|7</t>
        </is>
      </c>
    </row>
    <row r="4210">
      <c r="A4210" t="inlineStr">
        <is>
          <t>S|FICO x CHANNEL · SYS_FLAG Y vs N|sum|2</t>
        </is>
      </c>
      <c r="B4210" t="inlineStr">
        <is>
          <t>Bad dollars</t>
        </is>
      </c>
      <c r="C4210" t="n">
        <v>15</v>
      </c>
      <c r="D4210" t="inlineStr">
        <is>
          <t>14 of 15</t>
        </is>
      </c>
      <c r="E4210" t="n">
        <v>1.822879257719994</v>
      </c>
      <c r="F4210" t="n">
        <v>0.1222065502370372</v>
      </c>
      <c r="G4210" t="inlineStr">
        <is>
          <t>x</t>
        </is>
      </c>
      <c r="H4210" t="n">
        <v>9.999000099990002e-05</v>
      </c>
      <c r="L4210" t="inlineStr">
        <is>
          <t>not tested: dollar rate</t>
        </is>
      </c>
      <c r="P4210" t="n">
        <v>9.999000099990002e-05</v>
      </c>
    </row>
    <row r="4211">
      <c r="A4211" t="inlineStr">
        <is>
          <t>S|FICO x CHANNEL · SYS_FLAG Y vs N|outcome_booked|meta</t>
        </is>
      </c>
      <c r="B4211" t="inlineStr">
        <is>
          <t>x</t>
        </is>
      </c>
      <c r="C4211" t="n">
        <v>3.956551807329999</v>
      </c>
    </row>
    <row r="4212">
      <c r="A4212" t="inlineStr">
        <is>
          <t>S|FICO x CHANNEL · SYS_FLAG Y vs N|outcome_booked|v|1</t>
        </is>
      </c>
      <c r="B4212" t="n">
        <v>1.63326411431043</v>
      </c>
      <c r="C4212" t="n">
        <v>1.599929011435957</v>
      </c>
      <c r="D4212" t="n">
        <v>2.322410446338583</v>
      </c>
    </row>
    <row r="4213">
      <c r="A4213" t="inlineStr">
        <is>
          <t>S|FICO x CHANNEL · SYS_FLAG Y vs N|outcome_booked|p|1</t>
        </is>
      </c>
      <c r="B4213" t="n">
        <v>0.2096040395960404</v>
      </c>
      <c r="C4213" t="n">
        <v>0.03549645035496451</v>
      </c>
      <c r="D4213" t="n">
        <v>0.02924707529247075</v>
      </c>
    </row>
    <row r="4214">
      <c r="A4214" t="inlineStr">
        <is>
          <t>S|FICO x CHANNEL · SYS_FLAG Y vs N|outcome_booked|se|1</t>
        </is>
      </c>
      <c r="B4214" t="n">
        <v>0.005908246108851571</v>
      </c>
      <c r="C4214" t="n">
        <v>0.004197883440342527</v>
      </c>
      <c r="D4214" t="n">
        <v>0.004674373469036971</v>
      </c>
    </row>
    <row r="4215">
      <c r="A4215" t="inlineStr">
        <is>
          <t>S|FICO x CHANNEL · SYS_FLAG Y vs N|outcome_booked|v|2</t>
        </is>
      </c>
      <c r="B4215" t="n">
        <v>2.102972490922362</v>
      </c>
      <c r="C4215" t="n">
        <v>1.311971654795219</v>
      </c>
      <c r="D4215" t="n">
        <v>3.956551807329999</v>
      </c>
    </row>
    <row r="4216">
      <c r="A4216" t="inlineStr">
        <is>
          <t>S|FICO x CHANNEL · SYS_FLAG Y vs N|outcome_booked|p|2</t>
        </is>
      </c>
      <c r="B4216" t="n">
        <v>0.07799220077992201</v>
      </c>
      <c r="C4216" t="n">
        <v>0.4824902125172098</v>
      </c>
      <c r="D4216" t="n">
        <v>0.002999700029997001</v>
      </c>
    </row>
    <row r="4217">
      <c r="A4217" t="inlineStr">
        <is>
          <t>S|FICO x CHANNEL · SYS_FLAG Y vs N|outcome_booked|se|2</t>
        </is>
      </c>
      <c r="B4217" t="n">
        <v>0.004346236516427855</v>
      </c>
      <c r="C4217" t="n">
        <v>0.00569142048004269</v>
      </c>
      <c r="D4217" t="n">
        <v>0.002121002174673215</v>
      </c>
    </row>
    <row r="4218">
      <c r="A4218" t="inlineStr">
        <is>
          <t>S|FICO x CHANNEL · SYS_FLAG Y vs N|outcome_booked|v|3</t>
        </is>
      </c>
      <c r="B4218" t="n">
        <v>0.9256068546106935</v>
      </c>
      <c r="C4218" t="n">
        <v>1.701861855794249</v>
      </c>
      <c r="D4218" t="n">
        <v>2.450173507767586</v>
      </c>
    </row>
    <row r="4219">
      <c r="A4219" t="inlineStr">
        <is>
          <t>S|FICO x CHANNEL · SYS_FLAG Y vs N|outcome_booked|p|3</t>
        </is>
      </c>
      <c r="B4219" t="n">
        <v>0.8516148385161484</v>
      </c>
      <c r="C4219" t="n">
        <v>0.3176955031769551</v>
      </c>
      <c r="D4219" t="n">
        <v>0.04612038796120388</v>
      </c>
    </row>
    <row r="4220">
      <c r="A4220" t="inlineStr">
        <is>
          <t>S|FICO x CHANNEL · SYS_FLAG Y vs N|outcome_booked|se|3</t>
        </is>
      </c>
      <c r="B4220" t="n">
        <v>0.003554813712914685</v>
      </c>
      <c r="C4220" t="n">
        <v>0.005764466219494994</v>
      </c>
      <c r="D4220" t="n">
        <v>0.004133090425684182</v>
      </c>
    </row>
    <row r="4221">
      <c r="A4221" t="inlineStr">
        <is>
          <t>S|FICO x CHANNEL · SYS_FLAG Y vs N|outcome_booked|v|4</t>
        </is>
      </c>
      <c r="B4221" t="n">
        <v>2.029996789380172</v>
      </c>
      <c r="C4221" t="n">
        <v>1.120829199177714</v>
      </c>
      <c r="D4221" t="n">
        <v>1.993200252064547</v>
      </c>
    </row>
    <row r="4222">
      <c r="A4222" t="inlineStr">
        <is>
          <t>S|FICO x CHANNEL · SYS_FLAG Y vs N|outcome_booked|p|4</t>
        </is>
      </c>
      <c r="B4222" t="n">
        <v>0.21664500216645</v>
      </c>
      <c r="C4222" t="n">
        <v>0.8516148385161484</v>
      </c>
      <c r="D4222" t="n">
        <v>0.07799220077992201</v>
      </c>
    </row>
    <row r="4223">
      <c r="A4223" t="inlineStr">
        <is>
          <t>S|FICO x CHANNEL · SYS_FLAG Y vs N|outcome_booked|se|4</t>
        </is>
      </c>
      <c r="B4223" t="n">
        <v>0.005604818878849244</v>
      </c>
      <c r="C4223" t="n">
        <v>0.003554813712914685</v>
      </c>
      <c r="D4223" t="n">
        <v>0.004346236516427855</v>
      </c>
    </row>
    <row r="4224">
      <c r="A4224" t="inlineStr">
        <is>
          <t>S|FICO x CHANNEL · SYS_FLAG Y vs N|outcome_booked|v|5</t>
        </is>
      </c>
      <c r="B4224" t="n">
        <v>1.573363314880818</v>
      </c>
      <c r="C4224" t="n">
        <v>2.244602113000428</v>
      </c>
      <c r="D4224" t="n">
        <v>1.883119135378938</v>
      </c>
    </row>
    <row r="4225">
      <c r="A4225" t="inlineStr">
        <is>
          <t>S|FICO x CHANNEL · SYS_FLAG Y vs N|outcome_booked|p|5</t>
        </is>
      </c>
      <c r="B4225" t="n">
        <v>0.4092090790920908</v>
      </c>
      <c r="C4225" t="n">
        <v>0.2096040395960404</v>
      </c>
      <c r="D4225" t="n">
        <v>0.3176955031769551</v>
      </c>
    </row>
    <row r="4226">
      <c r="A4226" t="inlineStr">
        <is>
          <t>S|FICO x CHANNEL · SYS_FLAG Y vs N|outcome_booked|se|5</t>
        </is>
      </c>
      <c r="B4226" t="n">
        <v>0.005865656642301154</v>
      </c>
      <c r="C4226" t="n">
        <v>0.005908246108851571</v>
      </c>
      <c r="D4226" t="n">
        <v>0.005764466219494994</v>
      </c>
    </row>
    <row r="4227">
      <c r="A4227" t="inlineStr">
        <is>
          <t>S|FICO x CHANNEL · SYS_FLAG Y vs N|outcome_booked|v|6</t>
        </is>
      </c>
    </row>
    <row r="4228">
      <c r="A4228" t="inlineStr">
        <is>
          <t>S|FICO x CHANNEL · SYS_FLAG Y vs N|outcome_booked|p|6</t>
        </is>
      </c>
    </row>
    <row r="4229">
      <c r="A4229" t="inlineStr">
        <is>
          <t>S|FICO x CHANNEL · SYS_FLAG Y vs N|outcome_booked|se|6</t>
        </is>
      </c>
    </row>
    <row r="4230">
      <c r="A4230" t="inlineStr">
        <is>
          <t>S|FICO x CHANNEL · SYS_FLAG Y vs N|outcome_booked|v|7</t>
        </is>
      </c>
    </row>
    <row r="4231">
      <c r="A4231" t="inlineStr">
        <is>
          <t>S|FICO x CHANNEL · SYS_FLAG Y vs N|outcome_booked|p|7</t>
        </is>
      </c>
    </row>
    <row r="4232">
      <c r="A4232" t="inlineStr">
        <is>
          <t>S|FICO x CHANNEL · SYS_FLAG Y vs N|outcome_booked|se|7</t>
        </is>
      </c>
    </row>
    <row r="4233">
      <c r="A4233" t="inlineStr">
        <is>
          <t>S|FICO x CHANNEL · SYS_FLAG Y vs N|sum|3</t>
        </is>
      </c>
      <c r="B4233" t="inlineStr">
        <is>
          <t>Charge-offs</t>
        </is>
      </c>
      <c r="C4233" t="n">
        <v>15</v>
      </c>
      <c r="D4233" t="inlineStr">
        <is>
          <t>13 of 15</t>
        </is>
      </c>
      <c r="E4233" t="n">
        <v>1.725257011437162</v>
      </c>
      <c r="F4233" t="n">
        <v>0.1216640947673577</v>
      </c>
      <c r="G4233" t="inlineStr">
        <is>
          <t>x</t>
        </is>
      </c>
      <c r="H4233" t="n">
        <v>9.999000099990002e-05</v>
      </c>
      <c r="L4233" t="inlineStr">
        <is>
          <t>not tested: dollar rate</t>
        </is>
      </c>
      <c r="P4233" t="n">
        <v>9.999000099990002e-05</v>
      </c>
    </row>
    <row r="4234">
      <c r="A4234" t="inlineStr">
        <is>
          <t>S|FICO x CHANNEL · SYS_FLAG Y vs N|gco_rate|meta</t>
        </is>
      </c>
      <c r="B4234" t="inlineStr">
        <is>
          <t>x</t>
        </is>
      </c>
      <c r="C4234" t="n">
        <v>3.697844867715089</v>
      </c>
    </row>
    <row r="4235">
      <c r="A4235" t="inlineStr">
        <is>
          <t>S|FICO x CHANNEL · SYS_FLAG Y vs N|gco_rate|v|1</t>
        </is>
      </c>
      <c r="B4235" t="n">
        <v>1.520483131614175</v>
      </c>
      <c r="C4235" t="n">
        <v>1.421492651211873</v>
      </c>
      <c r="D4235" t="n">
        <v>2.121916145594116</v>
      </c>
    </row>
    <row r="4236">
      <c r="A4236" t="inlineStr">
        <is>
          <t>S|FICO x CHANNEL · SYS_FLAG Y vs N|gco_rate|p|1</t>
        </is>
      </c>
      <c r="B4236" t="n">
        <v>0.2764723527647235</v>
      </c>
      <c r="C4236" t="n">
        <v>0.12816900128169</v>
      </c>
      <c r="D4236" t="n">
        <v>0.06111888811118889</v>
      </c>
    </row>
    <row r="4237">
      <c r="A4237" t="inlineStr">
        <is>
          <t>S|FICO x CHANNEL · SYS_FLAG Y vs N|gco_rate|se|1</t>
        </is>
      </c>
      <c r="B4237" t="n">
        <v>0.006199599122238556</v>
      </c>
      <c r="C4237" t="n">
        <v>0.005771694108212861</v>
      </c>
      <c r="D4237" t="n">
        <v>0.004748266124945087</v>
      </c>
    </row>
    <row r="4238">
      <c r="A4238" t="inlineStr">
        <is>
          <t>S|FICO x CHANNEL · SYS_FLAG Y vs N|gco_rate|v|2</t>
        </is>
      </c>
      <c r="B4238" t="n">
        <v>2.36650149758461</v>
      </c>
      <c r="C4238" t="n">
        <v>1.289084404504372</v>
      </c>
      <c r="D4238" t="n">
        <v>3.697844867715089</v>
      </c>
    </row>
    <row r="4239">
      <c r="A4239" t="inlineStr">
        <is>
          <t>S|FICO x CHANNEL · SYS_FLAG Y vs N|gco_rate|p|2</t>
        </is>
      </c>
      <c r="B4239" t="n">
        <v>0.06111888811118889</v>
      </c>
      <c r="C4239" t="n">
        <v>0.641117706411177</v>
      </c>
      <c r="D4239" t="n">
        <v>0.007499250074992501</v>
      </c>
    </row>
    <row r="4240">
      <c r="A4240" t="inlineStr">
        <is>
          <t>S|FICO x CHANNEL · SYS_FLAG Y vs N|gco_rate|se|2</t>
        </is>
      </c>
      <c r="B4240" t="n">
        <v>0.004748266124945087</v>
      </c>
      <c r="C4240" t="n">
        <v>0.006806023099868932</v>
      </c>
      <c r="D4240" t="n">
        <v>0.003353095769184057</v>
      </c>
    </row>
    <row r="4241">
      <c r="A4241" t="inlineStr">
        <is>
          <t>S|FICO x CHANNEL · SYS_FLAG Y vs N|gco_rate|v|3</t>
        </is>
      </c>
      <c r="B4241" t="n">
        <v>0.7734675114337776</v>
      </c>
      <c r="C4241" t="n">
        <v>1.353720021418454</v>
      </c>
      <c r="D4241" t="n">
        <v>2.724557016977495</v>
      </c>
    </row>
    <row r="4242">
      <c r="A4242" t="inlineStr">
        <is>
          <t>S|FICO x CHANNEL · SYS_FLAG Y vs N|gco_rate|p|3</t>
        </is>
      </c>
      <c r="B4242" t="n">
        <v>0.6539346065393461</v>
      </c>
      <c r="C4242" t="n">
        <v>0.6495600439956005</v>
      </c>
      <c r="D4242" t="n">
        <v>0.053994600539946</v>
      </c>
    </row>
    <row r="4243">
      <c r="A4243" t="inlineStr">
        <is>
          <t>S|FICO x CHANNEL · SYS_FLAG Y vs N|gco_rate|se|3</t>
        </is>
      </c>
      <c r="B4243" t="n">
        <v>0.005717599679870505</v>
      </c>
      <c r="C4243" t="n">
        <v>0.00624517256958472</v>
      </c>
      <c r="D4243" t="n">
        <v>0.006340694655651909</v>
      </c>
    </row>
    <row r="4244">
      <c r="A4244" t="inlineStr">
        <is>
          <t>S|FICO x CHANNEL · SYS_FLAG Y vs N|gco_rate|v|4</t>
        </is>
      </c>
      <c r="B4244" t="n">
        <v>2.213267455327968</v>
      </c>
      <c r="C4244" t="n">
        <v>0.8709668019569202</v>
      </c>
      <c r="D4244" t="n">
        <v>2.091567142861994</v>
      </c>
    </row>
    <row r="4245">
      <c r="A4245" t="inlineStr">
        <is>
          <t>S|FICO x CHANNEL · SYS_FLAG Y vs N|gco_rate|p|4</t>
        </is>
      </c>
      <c r="B4245" t="n">
        <v>0.1797945205479452</v>
      </c>
      <c r="C4245" t="n">
        <v>0.8209179082091791</v>
      </c>
      <c r="D4245" t="n">
        <v>0.07379262073792621</v>
      </c>
    </row>
    <row r="4246">
      <c r="A4246" t="inlineStr">
        <is>
          <t>S|FICO x CHANNEL · SYS_FLAG Y vs N|gco_rate|se|4</t>
        </is>
      </c>
      <c r="B4246" t="n">
        <v>0.005520766762038873</v>
      </c>
      <c r="C4246" t="n">
        <v>0.003834210429679687</v>
      </c>
      <c r="D4246" t="n">
        <v>0.004646853896330368</v>
      </c>
    </row>
    <row r="4247">
      <c r="A4247" t="inlineStr">
        <is>
          <t>S|FICO x CHANNEL · SYS_FLAG Y vs N|gco_rate|v|5</t>
        </is>
      </c>
      <c r="B4247" t="n">
        <v>1.205362371466884</v>
      </c>
      <c r="C4247" t="n">
        <v>2.477307304564432</v>
      </c>
      <c r="D4247" t="n">
        <v>1.892700019363937</v>
      </c>
    </row>
    <row r="4248">
      <c r="A4248" t="inlineStr">
        <is>
          <t>S|FICO x CHANNEL · SYS_FLAG Y vs N|gco_rate|p|5</t>
        </is>
      </c>
      <c r="B4248" t="n">
        <v>0.7479966289085377</v>
      </c>
      <c r="C4248" t="n">
        <v>0.1585555730141271</v>
      </c>
      <c r="D4248" t="n">
        <v>0.3293670632936706</v>
      </c>
    </row>
    <row r="4249">
      <c r="A4249" t="inlineStr">
        <is>
          <t>S|FICO x CHANNEL · SYS_FLAG Y vs N|gco_rate|se|5</t>
        </is>
      </c>
      <c r="B4249" t="n">
        <v>0.004918597388344823</v>
      </c>
      <c r="C4249" t="n">
        <v>0.005609118223386733</v>
      </c>
      <c r="D4249" t="n">
        <v>0.006209411667443295</v>
      </c>
    </row>
    <row r="4250">
      <c r="A4250" t="inlineStr">
        <is>
          <t>S|FICO x CHANNEL · SYS_FLAG Y vs N|gco_rate|v|6</t>
        </is>
      </c>
    </row>
    <row r="4251">
      <c r="A4251" t="inlineStr">
        <is>
          <t>S|FICO x CHANNEL · SYS_FLAG Y vs N|gco_rate|p|6</t>
        </is>
      </c>
    </row>
    <row r="4252">
      <c r="A4252" t="inlineStr">
        <is>
          <t>S|FICO x CHANNEL · SYS_FLAG Y vs N|gco_rate|se|6</t>
        </is>
      </c>
    </row>
    <row r="4253">
      <c r="A4253" t="inlineStr">
        <is>
          <t>S|FICO x CHANNEL · SYS_FLAG Y vs N|gco_rate|v|7</t>
        </is>
      </c>
    </row>
    <row r="4254">
      <c r="A4254" t="inlineStr">
        <is>
          <t>S|FICO x CHANNEL · SYS_FLAG Y vs N|gco_rate|p|7</t>
        </is>
      </c>
    </row>
    <row r="4255">
      <c r="A4255" t="inlineStr">
        <is>
          <t>S|FICO x CHANNEL · SYS_FLAG Y vs N|gco_rate|se|7</t>
        </is>
      </c>
    </row>
    <row r="4256">
      <c r="A4256" t="inlineStr">
        <is>
          <t>S|FICO x CHANNEL · SYS_FLAG Y vs N|sum|4</t>
        </is>
      </c>
      <c r="B4256" t="inlineStr">
        <is>
          <t>Kept after losses</t>
        </is>
      </c>
      <c r="C4256" t="n">
        <v>15</v>
      </c>
      <c r="D4256" t="inlineStr">
        <is>
          <t>13 of 15</t>
        </is>
      </c>
      <c r="E4256" t="n">
        <v>-2.712402494594421</v>
      </c>
      <c r="F4256" t="n">
        <v>0.4550705475896603</v>
      </c>
      <c r="G4256" t="inlineStr">
        <is>
          <t>pts</t>
        </is>
      </c>
      <c r="H4256" t="n">
        <v>9.999000099990002e-05</v>
      </c>
      <c r="L4256" t="inlineStr">
        <is>
          <t>not tested: dollar rate</t>
        </is>
      </c>
      <c r="P4256" t="n">
        <v>9.999000099990002e-05</v>
      </c>
    </row>
    <row r="4257">
      <c r="A4257" t="inlineStr">
        <is>
          <t>S|FICO x CHANNEL · SYS_FLAG Y vs N|ranr_rate|meta</t>
        </is>
      </c>
      <c r="B4257" t="inlineStr">
        <is>
          <t>pts</t>
        </is>
      </c>
      <c r="C4257" t="n">
        <v>5.723393202</v>
      </c>
    </row>
    <row r="4258">
      <c r="A4258" t="inlineStr">
        <is>
          <t>S|FICO x CHANNEL · SYS_FLAG Y vs N|ranr_rate|v|1</t>
        </is>
      </c>
      <c r="B4258" t="n">
        <v>-3.574192424</v>
      </c>
      <c r="C4258" t="n">
        <v>-4.703252644</v>
      </c>
      <c r="D4258" t="n">
        <v>-3.906620384</v>
      </c>
    </row>
    <row r="4259">
      <c r="A4259" t="inlineStr">
        <is>
          <t>S|FICO x CHANNEL · SYS_FLAG Y vs N|ranr_rate|p|1</t>
        </is>
      </c>
      <c r="B4259" t="n">
        <v>0.1786321367863214</v>
      </c>
      <c r="C4259" t="n">
        <v>0.1537346265373463</v>
      </c>
      <c r="D4259" t="n">
        <v>0.1537346265373463</v>
      </c>
    </row>
    <row r="4260">
      <c r="A4260" t="inlineStr">
        <is>
          <t>S|FICO x CHANNEL · SYS_FLAG Y vs N|ranr_rate|se|1</t>
        </is>
      </c>
      <c r="B4260" t="n">
        <v>0.004858382085495489</v>
      </c>
      <c r="C4260" t="n">
        <v>0.005144104288998688</v>
      </c>
      <c r="D4260" t="n">
        <v>0.005144104288998688</v>
      </c>
    </row>
    <row r="4261">
      <c r="A4261" t="inlineStr">
        <is>
          <t>S|FICO x CHANNEL · SYS_FLAG Y vs N|ranr_rate|v|2</t>
        </is>
      </c>
      <c r="B4261" t="n">
        <v>-3.904159516</v>
      </c>
      <c r="C4261" t="n">
        <v>-1.880750655</v>
      </c>
      <c r="D4261" t="n">
        <v>-5.723393202</v>
      </c>
    </row>
    <row r="4262">
      <c r="A4262" t="inlineStr">
        <is>
          <t>S|FICO x CHANNEL · SYS_FLAG Y vs N|ranr_rate|p|2</t>
        </is>
      </c>
      <c r="B4262" t="n">
        <v>0.1537346265373463</v>
      </c>
      <c r="C4262" t="n">
        <v>0.3632136786321368</v>
      </c>
      <c r="D4262" t="n">
        <v>0.02174782521747825</v>
      </c>
    </row>
    <row r="4263">
      <c r="A4263" t="inlineStr">
        <is>
          <t>S|FICO x CHANNEL · SYS_FLAG Y vs N|ranr_rate|se|2</t>
        </is>
      </c>
      <c r="B4263" t="n">
        <v>0.005144104288998688</v>
      </c>
      <c r="C4263" t="n">
        <v>0.005675323091637002</v>
      </c>
      <c r="D4263" t="n">
        <v>0.004032811937462456</v>
      </c>
    </row>
    <row r="4264">
      <c r="A4264" t="inlineStr">
        <is>
          <t>S|FICO x CHANNEL · SYS_FLAG Y vs N|ranr_rate|v|3</t>
        </is>
      </c>
      <c r="B4264" t="n">
        <v>0.377354062</v>
      </c>
      <c r="C4264" t="n">
        <v>-2.710333304</v>
      </c>
      <c r="D4264" t="n">
        <v>-5.65590869</v>
      </c>
    </row>
    <row r="4265">
      <c r="A4265" t="inlineStr">
        <is>
          <t>S|FICO x CHANNEL · SYS_FLAG Y vs N|ranr_rate|p|3</t>
        </is>
      </c>
      <c r="B4265" t="n">
        <v>0.771022897710229</v>
      </c>
      <c r="C4265" t="n">
        <v>0.1537346265373463</v>
      </c>
      <c r="D4265" t="n">
        <v>0.02174782521747825</v>
      </c>
    </row>
    <row r="4266">
      <c r="A4266" t="inlineStr">
        <is>
          <t>S|FICO x CHANNEL · SYS_FLAG Y vs N|ranr_rate|se|3</t>
        </is>
      </c>
      <c r="B4266" t="n">
        <v>0.004201744743755274</v>
      </c>
      <c r="C4266" t="n">
        <v>0.005144104288998688</v>
      </c>
      <c r="D4266" t="n">
        <v>0.004032811937462456</v>
      </c>
    </row>
    <row r="4267">
      <c r="A4267" t="inlineStr">
        <is>
          <t>S|FICO x CHANNEL · SYS_FLAG Y vs N|ranr_rate|v|4</t>
        </is>
      </c>
      <c r="B4267" t="n">
        <v>-1.980697809</v>
      </c>
      <c r="C4267" t="n">
        <v>0.863007677</v>
      </c>
      <c r="D4267" t="n">
        <v>-3.203294658</v>
      </c>
    </row>
    <row r="4268">
      <c r="A4268" t="inlineStr">
        <is>
          <t>S|FICO x CHANNEL · SYS_FLAG Y vs N|ranr_rate|p|4</t>
        </is>
      </c>
      <c r="B4268" t="n">
        <v>0.1786321367863214</v>
      </c>
      <c r="C4268" t="n">
        <v>0.6106532203922465</v>
      </c>
      <c r="D4268" t="n">
        <v>0.1537346265373463</v>
      </c>
    </row>
    <row r="4269">
      <c r="A4269" t="inlineStr">
        <is>
          <t>S|FICO x CHANNEL · SYS_FLAG Y vs N|ranr_rate|se|4</t>
        </is>
      </c>
      <c r="B4269" t="n">
        <v>0.004858382085495489</v>
      </c>
      <c r="C4269" t="n">
        <v>0.005304469360715544</v>
      </c>
      <c r="D4269" t="n">
        <v>0.005144104288998688</v>
      </c>
    </row>
    <row r="4270">
      <c r="A4270" t="inlineStr">
        <is>
          <t>S|FICO x CHANNEL · SYS_FLAG Y vs N|ranr_rate|v|5</t>
        </is>
      </c>
      <c r="B4270" t="n">
        <v>-0.627489803</v>
      </c>
      <c r="C4270" t="n">
        <v>-1.774974092</v>
      </c>
      <c r="D4270" t="n">
        <v>-1.329022059</v>
      </c>
    </row>
    <row r="4271">
      <c r="A4271" t="inlineStr">
        <is>
          <t>S|FICO x CHANNEL · SYS_FLAG Y vs N|ranr_rate|p|5</t>
        </is>
      </c>
      <c r="B4271" t="n">
        <v>0.6106532203922465</v>
      </c>
      <c r="C4271" t="n">
        <v>0.1537346265373463</v>
      </c>
      <c r="D4271" t="n">
        <v>0.2401123524011235</v>
      </c>
    </row>
    <row r="4272">
      <c r="A4272" t="inlineStr">
        <is>
          <t>S|FICO x CHANNEL · SYS_FLAG Y vs N|ranr_rate|se|5</t>
        </is>
      </c>
      <c r="B4272" t="n">
        <v>0.005304469360715544</v>
      </c>
      <c r="C4272" t="n">
        <v>0.005144104288998688</v>
      </c>
      <c r="D4272" t="n">
        <v>0.005193957963988926</v>
      </c>
    </row>
    <row r="4273">
      <c r="A4273" t="inlineStr">
        <is>
          <t>S|FICO x CHANNEL · SYS_FLAG Y vs N|ranr_rate|v|6</t>
        </is>
      </c>
    </row>
    <row r="4274">
      <c r="A4274" t="inlineStr">
        <is>
          <t>S|FICO x CHANNEL · SYS_FLAG Y vs N|ranr_rate|p|6</t>
        </is>
      </c>
    </row>
    <row r="4275">
      <c r="A4275" t="inlineStr">
        <is>
          <t>S|FICO x CHANNEL · SYS_FLAG Y vs N|ranr_rate|se|6</t>
        </is>
      </c>
    </row>
    <row r="4276">
      <c r="A4276" t="inlineStr">
        <is>
          <t>S|FICO x CHANNEL · SYS_FLAG Y vs N|ranr_rate|v|7</t>
        </is>
      </c>
    </row>
    <row r="4277">
      <c r="A4277" t="inlineStr">
        <is>
          <t>S|FICO x CHANNEL · SYS_FLAG Y vs N|ranr_rate|p|7</t>
        </is>
      </c>
    </row>
    <row r="4278">
      <c r="A4278" t="inlineStr">
        <is>
          <t>S|FICO x CHANNEL · SYS_FLAG Y vs N|ranr_rate|se|7</t>
        </is>
      </c>
    </row>
    <row r="4279">
      <c r="A4279" t="inlineStr">
        <is>
          <t>S|FICO x CHANNEL · SYS_FLAG Y vs N|sum|5</t>
        </is>
      </c>
      <c r="B4279" t="inlineStr">
        <is>
          <t>Earned before losses</t>
        </is>
      </c>
      <c r="C4279" t="n">
        <v>15</v>
      </c>
      <c r="D4279" t="inlineStr">
        <is>
          <t>11 of 15</t>
        </is>
      </c>
      <c r="E4279" t="n">
        <v>-0.3984100812127655</v>
      </c>
      <c r="F4279" t="n">
        <v>0.2439203473045795</v>
      </c>
      <c r="G4279" t="inlineStr">
        <is>
          <t>pts</t>
        </is>
      </c>
      <c r="H4279" t="n">
        <v>0.1065893410658934</v>
      </c>
      <c r="L4279" t="inlineStr">
        <is>
          <t>not tested: dollar rate</t>
        </is>
      </c>
      <c r="P4279" t="n">
        <v>0.003085904299180907</v>
      </c>
    </row>
    <row r="4280">
      <c r="A4280" t="inlineStr">
        <is>
          <t>S|FICO x CHANNEL · SYS_FLAG Y vs N|contribution_rate|meta</t>
        </is>
      </c>
      <c r="B4280" t="inlineStr">
        <is>
          <t>pts</t>
        </is>
      </c>
      <c r="C4280" t="n">
        <v>1.909918611</v>
      </c>
    </row>
    <row r="4281">
      <c r="A4281" t="inlineStr">
        <is>
          <t>S|FICO x CHANNEL · SYS_FLAG Y vs N|contribution_rate|v|1</t>
        </is>
      </c>
      <c r="B4281" t="n">
        <v>-1.325899682</v>
      </c>
      <c r="C4281" t="n">
        <v>0.228040702</v>
      </c>
      <c r="D4281" t="n">
        <v>0.198971907</v>
      </c>
    </row>
    <row r="4282">
      <c r="A4282" t="inlineStr">
        <is>
          <t>S|FICO x CHANNEL · SYS_FLAG Y vs N|contribution_rate|p|1</t>
        </is>
      </c>
      <c r="B4282" t="n">
        <v>0.9527261559558331</v>
      </c>
      <c r="C4282" t="n">
        <v>0.9527261559558331</v>
      </c>
      <c r="D4282" t="n">
        <v>0.9527261559558331</v>
      </c>
    </row>
    <row r="4283">
      <c r="A4283" t="inlineStr">
        <is>
          <t>S|FICO x CHANNEL · SYS_FLAG Y vs N|contribution_rate|se|1</t>
        </is>
      </c>
      <c r="B4283" t="n">
        <v>0.003362898987421631</v>
      </c>
      <c r="C4283" t="n">
        <v>0.003362898987421631</v>
      </c>
      <c r="D4283" t="n">
        <v>0.003362898987421631</v>
      </c>
    </row>
    <row r="4284">
      <c r="A4284" t="inlineStr">
        <is>
          <t>S|FICO x CHANNEL · SYS_FLAG Y vs N|contribution_rate|v|2</t>
        </is>
      </c>
      <c r="B4284" t="n">
        <v>0.154485324</v>
      </c>
      <c r="C4284" t="n">
        <v>-0.800399198</v>
      </c>
      <c r="D4284" t="n">
        <v>-0.432102812</v>
      </c>
    </row>
    <row r="4285">
      <c r="A4285" t="inlineStr">
        <is>
          <t>S|FICO x CHANNEL · SYS_FLAG Y vs N|contribution_rate|p|2</t>
        </is>
      </c>
      <c r="B4285" t="n">
        <v>0.9527261559558331</v>
      </c>
      <c r="C4285" t="n">
        <v>0.9527261559558331</v>
      </c>
      <c r="D4285" t="n">
        <v>0.9527261559558331</v>
      </c>
    </row>
    <row r="4286">
      <c r="A4286" t="inlineStr">
        <is>
          <t>S|FICO x CHANNEL · SYS_FLAG Y vs N|contribution_rate|se|2</t>
        </is>
      </c>
      <c r="B4286" t="n">
        <v>0.003362898987421631</v>
      </c>
      <c r="C4286" t="n">
        <v>0.003362898987421631</v>
      </c>
      <c r="D4286" t="n">
        <v>0.003362898987421631</v>
      </c>
    </row>
    <row r="4287">
      <c r="A4287" t="inlineStr">
        <is>
          <t>S|FICO x CHANNEL · SYS_FLAG Y vs N|contribution_rate|v|3</t>
        </is>
      </c>
      <c r="B4287" t="n">
        <v>-0.232409112</v>
      </c>
      <c r="C4287" t="n">
        <v>-1.909918611</v>
      </c>
      <c r="D4287" t="n">
        <v>-1.584747234</v>
      </c>
    </row>
    <row r="4288">
      <c r="A4288" t="inlineStr">
        <is>
          <t>S|FICO x CHANNEL · SYS_FLAG Y vs N|contribution_rate|p|3</t>
        </is>
      </c>
      <c r="B4288" t="n">
        <v>0.9527261559558331</v>
      </c>
      <c r="C4288" t="n">
        <v>0.1934806519348065</v>
      </c>
      <c r="D4288" t="n">
        <v>0.7184281571842817</v>
      </c>
    </row>
    <row r="4289">
      <c r="A4289" t="inlineStr">
        <is>
          <t>S|FICO x CHANNEL · SYS_FLAG Y vs N|contribution_rate|se|3</t>
        </is>
      </c>
      <c r="B4289" t="n">
        <v>0.003362898987421631</v>
      </c>
      <c r="C4289" t="n">
        <v>0.01692564626934221</v>
      </c>
      <c r="D4289" t="n">
        <v>0.02207277092221751</v>
      </c>
    </row>
    <row r="4290">
      <c r="A4290" t="inlineStr">
        <is>
          <t>S|FICO x CHANNEL · SYS_FLAG Y vs N|contribution_rate|v|4</t>
        </is>
      </c>
      <c r="B4290" t="n">
        <v>-0.13120914</v>
      </c>
      <c r="C4290" t="n">
        <v>0.579270655</v>
      </c>
      <c r="D4290" t="n">
        <v>-0.028011158</v>
      </c>
    </row>
    <row r="4291">
      <c r="A4291" t="inlineStr">
        <is>
          <t>S|FICO x CHANNEL · SYS_FLAG Y vs N|contribution_rate|p|4</t>
        </is>
      </c>
      <c r="B4291" t="n">
        <v>0.9527261559558331</v>
      </c>
      <c r="C4291" t="n">
        <v>0.9527261559558331</v>
      </c>
      <c r="D4291" t="n">
        <v>0.9726027397260274</v>
      </c>
    </row>
    <row r="4292">
      <c r="A4292" t="inlineStr">
        <is>
          <t>S|FICO x CHANNEL · SYS_FLAG Y vs N|contribution_rate|se|4</t>
        </is>
      </c>
      <c r="B4292" t="n">
        <v>0.003362898987421631</v>
      </c>
      <c r="C4292" t="n">
        <v>0.003362898987421631</v>
      </c>
      <c r="D4292" t="n">
        <v>0.001632380176412738</v>
      </c>
    </row>
    <row r="4293">
      <c r="A4293" t="inlineStr">
        <is>
          <t>S|FICO x CHANNEL · SYS_FLAG Y vs N|contribution_rate|v|5</t>
        </is>
      </c>
      <c r="B4293" t="n">
        <v>-0.202936616</v>
      </c>
      <c r="C4293" t="n">
        <v>-0.177549488</v>
      </c>
      <c r="D4293" t="n">
        <v>-0.193546601</v>
      </c>
    </row>
    <row r="4294">
      <c r="A4294" t="inlineStr">
        <is>
          <t>S|FICO x CHANNEL · SYS_FLAG Y vs N|contribution_rate|p|5</t>
        </is>
      </c>
      <c r="B4294" t="n">
        <v>0.9527261559558331</v>
      </c>
      <c r="C4294" t="n">
        <v>0.9527261559558331</v>
      </c>
      <c r="D4294" t="n">
        <v>0.9527261559558331</v>
      </c>
    </row>
    <row r="4295">
      <c r="A4295" t="inlineStr">
        <is>
          <t>S|FICO x CHANNEL · SYS_FLAG Y vs N|contribution_rate|se|5</t>
        </is>
      </c>
      <c r="B4295" t="n">
        <v>0.003362898987421631</v>
      </c>
      <c r="C4295" t="n">
        <v>0.003362898987421631</v>
      </c>
      <c r="D4295" t="n">
        <v>0.003362898987421631</v>
      </c>
    </row>
    <row r="4296">
      <c r="A4296" t="inlineStr">
        <is>
          <t>S|FICO x CHANNEL · SYS_FLAG Y vs N|contribution_rate|v|6</t>
        </is>
      </c>
    </row>
    <row r="4297">
      <c r="A4297" t="inlineStr">
        <is>
          <t>S|FICO x CHANNEL · SYS_FLAG Y vs N|contribution_rate|p|6</t>
        </is>
      </c>
    </row>
    <row r="4298">
      <c r="A4298" t="inlineStr">
        <is>
          <t>S|FICO x CHANNEL · SYS_FLAG Y vs N|contribution_rate|se|6</t>
        </is>
      </c>
    </row>
    <row r="4299">
      <c r="A4299" t="inlineStr">
        <is>
          <t>S|FICO x CHANNEL · SYS_FLAG Y vs N|contribution_rate|v|7</t>
        </is>
      </c>
    </row>
    <row r="4300">
      <c r="A4300" t="inlineStr">
        <is>
          <t>S|FICO x CHANNEL · SYS_FLAG Y vs N|contribution_rate|p|7</t>
        </is>
      </c>
    </row>
    <row r="4301">
      <c r="A4301" t="inlineStr">
        <is>
          <t>S|FICO x CHANNEL · SYS_FLAG Y vs N|contribution_rate|se|7</t>
        </is>
      </c>
    </row>
    <row r="4302">
      <c r="A4302" t="inlineStr">
        <is>
          <t>S|FICO x ASSET_CLASS · SYS_FLAG N vs Y|chip</t>
        </is>
      </c>
    </row>
    <row r="4303">
      <c r="A4303" t="inlineStr">
        <is>
          <t>S|FICO x ASSET_CLASS · SYS_FLAG N vs Y|rows</t>
        </is>
      </c>
      <c r="B4303" t="inlineStr">
        <is>
          <t>496 - 653</t>
        </is>
      </c>
      <c r="C4303" t="inlineStr">
        <is>
          <t>654 - 685</t>
        </is>
      </c>
      <c r="D4303" t="inlineStr">
        <is>
          <t>686 - 711</t>
        </is>
      </c>
      <c r="E4303" t="inlineStr">
        <is>
          <t>712 - 745</t>
        </is>
      </c>
      <c r="F4303" t="inlineStr">
        <is>
          <t>746 - 921</t>
        </is>
      </c>
      <c r="G4303" t="inlineStr">
        <is>
          <t>(blank)</t>
        </is>
      </c>
      <c r="H4303" t="inlineStr">
        <is>
          <t>(marked missing)</t>
        </is>
      </c>
    </row>
    <row r="4304">
      <c r="A4304" t="inlineStr">
        <is>
          <t>S|FICO x ASSET_CLASS · SYS_FLAG N vs Y|cols</t>
        </is>
      </c>
      <c r="B4304" t="inlineStr">
        <is>
          <t>1</t>
        </is>
      </c>
      <c r="C4304" t="inlineStr">
        <is>
          <t>2</t>
        </is>
      </c>
      <c r="D4304" t="inlineStr">
        <is>
          <t>3</t>
        </is>
      </c>
      <c r="E4304" t="inlineStr">
        <is>
          <t>4</t>
        </is>
      </c>
    </row>
    <row r="4305">
      <c r="A4305" t="inlineStr">
        <is>
          <t>S|FICO x ASSET_CLASS · SYS_FLAG N vs Y|sum|1</t>
        </is>
      </c>
      <c r="B4305" t="inlineStr">
        <is>
          <t>Bad loans</t>
        </is>
      </c>
      <c r="C4305" t="n">
        <v>20</v>
      </c>
      <c r="D4305" t="inlineStr">
        <is>
          <t>0 of 20</t>
        </is>
      </c>
      <c r="E4305" t="n">
        <v>0.5886088604005515</v>
      </c>
      <c r="F4305" t="n">
        <v>0.06163062970837476</v>
      </c>
      <c r="G4305" t="inlineStr">
        <is>
          <t>x</t>
        </is>
      </c>
      <c r="H4305" t="n">
        <v>3.128370207191649e-11</v>
      </c>
      <c r="I4305" t="n">
        <v>0.5555695941868072</v>
      </c>
      <c r="J4305" t="n">
        <v>8.723181707296492e-12</v>
      </c>
      <c r="K4305" t="n">
        <v>0.7798084899140335</v>
      </c>
      <c r="M4305" t="n">
        <v>1.850969372299824e-12</v>
      </c>
      <c r="N4305" t="n">
        <v>1</v>
      </c>
      <c r="O4305" t="n">
        <v>24</v>
      </c>
    </row>
    <row r="4306">
      <c r="A4306" t="inlineStr">
        <is>
          <t>S|FICO x ASSET_CLASS · SYS_FLAG N vs Y|outcome_loans|meta</t>
        </is>
      </c>
      <c r="B4306" t="inlineStr">
        <is>
          <t>x</t>
        </is>
      </c>
      <c r="C4306" t="n">
        <v>0.9956639566395663</v>
      </c>
    </row>
    <row r="4307">
      <c r="A4307" t="inlineStr">
        <is>
          <t>S|FICO x ASSET_CLASS · SYS_FLAG N vs Y|outcome_loans|v|1</t>
        </is>
      </c>
      <c r="B4307" t="n">
        <v>0.3974358974358974</v>
      </c>
      <c r="C4307" t="n">
        <v>0.779532403609516</v>
      </c>
      <c r="D4307" t="n">
        <v>0.6402524544179523</v>
      </c>
      <c r="E4307" t="n">
        <v>0.6881559220389805</v>
      </c>
    </row>
    <row r="4308">
      <c r="A4308" t="inlineStr">
        <is>
          <t>S|FICO x ASSET_CLASS · SYS_FLAG N vs Y|outcome_loans|p|1</t>
        </is>
      </c>
      <c r="B4308" t="n">
        <v>0.005062395051771168</v>
      </c>
      <c r="C4308" t="n">
        <v>0.474979081624309</v>
      </c>
      <c r="D4308" t="n">
        <v>0.183292426672739</v>
      </c>
      <c r="E4308" t="n">
        <v>0.183292426672739</v>
      </c>
    </row>
    <row r="4309">
      <c r="A4309" t="inlineStr">
        <is>
          <t>S|FICO x ASSET_CLASS · SYS_FLAG N vs Y|outcome_loans|se|1</t>
        </is>
      </c>
    </row>
    <row r="4310">
      <c r="A4310" t="inlineStr">
        <is>
          <t>S|FICO x ASSET_CLASS · SYS_FLAG N vs Y|outcome_loans|v|2</t>
        </is>
      </c>
      <c r="B4310" t="n">
        <v>0.4452380952380952</v>
      </c>
      <c r="C4310" t="n">
        <v>0.1997549019607843</v>
      </c>
      <c r="D4310" t="n">
        <v>0.7575483091787439</v>
      </c>
      <c r="E4310" t="n">
        <v>0.6229615133724723</v>
      </c>
    </row>
    <row r="4311">
      <c r="A4311" t="inlineStr">
        <is>
          <t>S|FICO x ASSET_CLASS · SYS_FLAG N vs Y|outcome_loans|p|2</t>
        </is>
      </c>
      <c r="B4311" t="n">
        <v>0.1278492837379381</v>
      </c>
      <c r="C4311" t="n">
        <v>0.008947170485720151</v>
      </c>
      <c r="D4311" t="n">
        <v>0.499249302395699</v>
      </c>
      <c r="E4311" t="n">
        <v>0.183292426672739</v>
      </c>
    </row>
    <row r="4312">
      <c r="A4312" t="inlineStr">
        <is>
          <t>S|FICO x ASSET_CLASS · SYS_FLAG N vs Y|outcome_loans|se|2</t>
        </is>
      </c>
    </row>
    <row r="4313">
      <c r="A4313" t="inlineStr">
        <is>
          <t>S|FICO x ASSET_CLASS · SYS_FLAG N vs Y|outcome_loans|v|3</t>
        </is>
      </c>
      <c r="B4313" t="n">
        <v>0.9956639566395663</v>
      </c>
      <c r="C4313" t="n">
        <v>0.3766835016835017</v>
      </c>
      <c r="D4313" t="n">
        <v>0.6004901960784315</v>
      </c>
      <c r="E4313" t="n">
        <v>0.8782978723404256</v>
      </c>
    </row>
    <row r="4314">
      <c r="A4314" t="inlineStr">
        <is>
          <t>S|FICO x ASSET_CLASS · SYS_FLAG N vs Y|outcome_loans|p|3</t>
        </is>
      </c>
      <c r="B4314" t="n">
        <v>0.9920700057451615</v>
      </c>
      <c r="C4314" t="n">
        <v>0.183292426672739</v>
      </c>
      <c r="D4314" t="n">
        <v>0.3313757930975317</v>
      </c>
      <c r="E4314" t="n">
        <v>0.7351489030103198</v>
      </c>
    </row>
    <row r="4315">
      <c r="A4315" t="inlineStr">
        <is>
          <t>S|FICO x ASSET_CLASS · SYS_FLAG N vs Y|outcome_loans|se|3</t>
        </is>
      </c>
    </row>
    <row r="4316">
      <c r="A4316" t="inlineStr">
        <is>
          <t>S|FICO x ASSET_CLASS · SYS_FLAG N vs Y|outcome_loans|v|4</t>
        </is>
      </c>
      <c r="B4316" t="n">
        <v>0.5380154639175257</v>
      </c>
      <c r="C4316" t="n">
        <v>0.6094957673905042</v>
      </c>
      <c r="D4316" t="n">
        <v>0.5511618426416632</v>
      </c>
      <c r="E4316" t="n">
        <v>0.5559917355371901</v>
      </c>
    </row>
    <row r="4317">
      <c r="A4317" t="inlineStr">
        <is>
          <t>S|FICO x ASSET_CLASS · SYS_FLAG N vs Y|outcome_loans|p|4</t>
        </is>
      </c>
      <c r="B4317" t="n">
        <v>0.4007376135119204</v>
      </c>
      <c r="C4317" t="n">
        <v>0.4007376135119204</v>
      </c>
      <c r="D4317" t="n">
        <v>0.3313757930975317</v>
      </c>
      <c r="E4317" t="n">
        <v>0.183292426672739</v>
      </c>
    </row>
    <row r="4318">
      <c r="A4318" t="inlineStr">
        <is>
          <t>S|FICO x ASSET_CLASS · SYS_FLAG N vs Y|outcome_loans|se|4</t>
        </is>
      </c>
    </row>
    <row r="4319">
      <c r="A4319" t="inlineStr">
        <is>
          <t>S|FICO x ASSET_CLASS · SYS_FLAG N vs Y|outcome_loans|v|5</t>
        </is>
      </c>
      <c r="B4319" t="n">
        <v>0.2880755608028335</v>
      </c>
      <c r="C4319" t="n">
        <v>0.639269406392694</v>
      </c>
      <c r="D4319" t="n">
        <v>0.6413902053712481</v>
      </c>
      <c r="E4319" t="n">
        <v>0.6866028708133971</v>
      </c>
    </row>
    <row r="4320">
      <c r="A4320" t="inlineStr">
        <is>
          <t>S|FICO x ASSET_CLASS · SYS_FLAG N vs Y|outcome_loans|p|5</t>
        </is>
      </c>
      <c r="B4320" t="n">
        <v>0.1278492837379381</v>
      </c>
      <c r="C4320" t="n">
        <v>0.474979081624309</v>
      </c>
      <c r="D4320" t="n">
        <v>0.474979081624309</v>
      </c>
      <c r="E4320" t="n">
        <v>0.5063378656072233</v>
      </c>
    </row>
    <row r="4321">
      <c r="A4321" t="inlineStr">
        <is>
          <t>S|FICO x ASSET_CLASS · SYS_FLAG N vs Y|outcome_loans|se|5</t>
        </is>
      </c>
    </row>
    <row r="4322">
      <c r="A4322" t="inlineStr">
        <is>
          <t>S|FICO x ASSET_CLASS · SYS_FLAG N vs Y|outcome_loans|v|6</t>
        </is>
      </c>
    </row>
    <row r="4323">
      <c r="A4323" t="inlineStr">
        <is>
          <t>S|FICO x ASSET_CLASS · SYS_FLAG N vs Y|outcome_loans|p|6</t>
        </is>
      </c>
    </row>
    <row r="4324">
      <c r="A4324" t="inlineStr">
        <is>
          <t>S|FICO x ASSET_CLASS · SYS_FLAG N vs Y|outcome_loans|se|6</t>
        </is>
      </c>
    </row>
    <row r="4325">
      <c r="A4325" t="inlineStr">
        <is>
          <t>S|FICO x ASSET_CLASS · SYS_FLAG N vs Y|outcome_loans|v|7</t>
        </is>
      </c>
    </row>
    <row r="4326">
      <c r="A4326" t="inlineStr">
        <is>
          <t>S|FICO x ASSET_CLASS · SYS_FLAG N vs Y|outcome_loans|p|7</t>
        </is>
      </c>
    </row>
    <row r="4327">
      <c r="A4327" t="inlineStr">
        <is>
          <t>S|FICO x ASSET_CLASS · SYS_FLAG N vs Y|outcome_loans|se|7</t>
        </is>
      </c>
    </row>
    <row r="4328">
      <c r="A4328" t="inlineStr">
        <is>
          <t>S|FICO x ASSET_CLASS · SYS_FLAG N vs Y|sum|2</t>
        </is>
      </c>
      <c r="B4328" t="inlineStr">
        <is>
          <t>Bad dollars</t>
        </is>
      </c>
      <c r="C4328" t="n">
        <v>20</v>
      </c>
      <c r="D4328" t="inlineStr">
        <is>
          <t>0 of 20</t>
        </is>
      </c>
      <c r="E4328" t="n">
        <v>0.5357010880677747</v>
      </c>
      <c r="F4328" t="n">
        <v>0.06663330615429351</v>
      </c>
      <c r="G4328" t="inlineStr">
        <is>
          <t>x</t>
        </is>
      </c>
      <c r="H4328" t="n">
        <v>9.999000099990002e-05</v>
      </c>
      <c r="L4328" t="inlineStr">
        <is>
          <t>not tested: dollar rate</t>
        </is>
      </c>
      <c r="P4328" t="n">
        <v>9.999000099990002e-05</v>
      </c>
    </row>
    <row r="4329">
      <c r="A4329" t="inlineStr">
        <is>
          <t>S|FICO x ASSET_CLASS · SYS_FLAG N vs Y|outcome_booked|meta</t>
        </is>
      </c>
      <c r="B4329" t="inlineStr">
        <is>
          <t>x</t>
        </is>
      </c>
      <c r="C4329" t="n">
        <v>0.8400279007553638</v>
      </c>
    </row>
    <row r="4330">
      <c r="A4330" t="inlineStr">
        <is>
          <t>S|FICO x ASSET_CLASS · SYS_FLAG N vs Y|outcome_booked|v|1</t>
        </is>
      </c>
      <c r="B4330" t="n">
        <v>0.3407208277785517</v>
      </c>
      <c r="C4330" t="n">
        <v>0.8400279007553638</v>
      </c>
      <c r="D4330" t="n">
        <v>0.5982264342726181</v>
      </c>
      <c r="E4330" t="n">
        <v>0.5419511968998909</v>
      </c>
    </row>
    <row r="4331">
      <c r="A4331" t="inlineStr">
        <is>
          <t>S|FICO x ASSET_CLASS · SYS_FLAG N vs Y|outcome_booked|p|1</t>
        </is>
      </c>
      <c r="B4331" t="n">
        <v>0.003999600039996</v>
      </c>
      <c r="C4331" t="n">
        <v>0.6136386361363864</v>
      </c>
      <c r="D4331" t="n">
        <v>0.1887311268873113</v>
      </c>
      <c r="E4331" t="n">
        <v>0.04199580041995801</v>
      </c>
    </row>
    <row r="4332">
      <c r="A4332" t="inlineStr">
        <is>
          <t>S|FICO x ASSET_CLASS · SYS_FLAG N vs Y|outcome_booked|se|1</t>
        </is>
      </c>
      <c r="B4332" t="n">
        <v>0.003999600039996</v>
      </c>
      <c r="C4332" t="n">
        <v>0.004869150443116971</v>
      </c>
      <c r="D4332" t="n">
        <v>0.006604607323392691</v>
      </c>
      <c r="E4332" t="n">
        <v>0.005274546004603686</v>
      </c>
    </row>
    <row r="4333">
      <c r="A4333" t="inlineStr">
        <is>
          <t>S|FICO x ASSET_CLASS · SYS_FLAG N vs Y|outcome_booked|v|2</t>
        </is>
      </c>
      <c r="B4333" t="n">
        <v>0.4338858189835181</v>
      </c>
      <c r="C4333" t="n">
        <v>0.1571654948288093</v>
      </c>
      <c r="D4333" t="n">
        <v>0.6136143379498481</v>
      </c>
      <c r="E4333" t="n">
        <v>0.5849647955187384</v>
      </c>
    </row>
    <row r="4334">
      <c r="A4334" t="inlineStr">
        <is>
          <t>S|FICO x ASSET_CLASS · SYS_FLAG N vs Y|outcome_booked|p|2</t>
        </is>
      </c>
      <c r="B4334" t="n">
        <v>0.15665100156651</v>
      </c>
      <c r="C4334" t="n">
        <v>0.006999300069993001</v>
      </c>
      <c r="D4334" t="n">
        <v>0.372508203725082</v>
      </c>
      <c r="E4334" t="n">
        <v>0.196424801964248</v>
      </c>
    </row>
    <row r="4335">
      <c r="A4335" t="inlineStr">
        <is>
          <t>S|FICO x ASSET_CLASS · SYS_FLAG N vs Y|outcome_booked|se|2</t>
        </is>
      </c>
      <c r="B4335" t="n">
        <v>0.00705429279892683</v>
      </c>
      <c r="C4335" t="n">
        <v>0.002644692997277004</v>
      </c>
      <c r="D4335" t="n">
        <v>0.007338428178390966</v>
      </c>
      <c r="E4335" t="n">
        <v>0.006308065131986647</v>
      </c>
    </row>
    <row r="4336">
      <c r="A4336" t="inlineStr">
        <is>
          <t>S|FICO x ASSET_CLASS · SYS_FLAG N vs Y|outcome_booked|v|3</t>
        </is>
      </c>
      <c r="B4336" t="n">
        <v>0.7682056413784195</v>
      </c>
      <c r="C4336" t="n">
        <v>0.2636635417201598</v>
      </c>
      <c r="D4336" t="n">
        <v>0.5257784081498911</v>
      </c>
      <c r="E4336" t="n">
        <v>0.7614952584306656</v>
      </c>
    </row>
    <row r="4337">
      <c r="A4337" t="inlineStr">
        <is>
          <t>S|FICO x ASSET_CLASS · SYS_FLAG N vs Y|outcome_booked|p|3</t>
        </is>
      </c>
      <c r="B4337" t="n">
        <v>0.6136386361363864</v>
      </c>
      <c r="C4337" t="n">
        <v>0.1334866513348665</v>
      </c>
      <c r="D4337" t="n">
        <v>0.3135686431356864</v>
      </c>
      <c r="E4337" t="n">
        <v>0.5737073351488381</v>
      </c>
    </row>
    <row r="4338">
      <c r="A4338" t="inlineStr">
        <is>
          <t>S|FICO x ASSET_CLASS · SYS_FLAG N vs Y|outcome_booked|se|3</t>
        </is>
      </c>
      <c r="B4338" t="n">
        <v>0.004869150443116971</v>
      </c>
      <c r="C4338" t="n">
        <v>0.008059867062115455</v>
      </c>
      <c r="D4338" t="n">
        <v>0.007271946041558733</v>
      </c>
      <c r="E4338" t="n">
        <v>0.005880558643988473</v>
      </c>
    </row>
    <row r="4339">
      <c r="A4339" t="inlineStr">
        <is>
          <t>S|FICO x ASSET_CLASS · SYS_FLAG N vs Y|outcome_booked|v|4</t>
        </is>
      </c>
      <c r="B4339" t="n">
        <v>0.5146585908537793</v>
      </c>
      <c r="C4339" t="n">
        <v>0.6506351381952329</v>
      </c>
      <c r="D4339" t="n">
        <v>0.7009772412802044</v>
      </c>
      <c r="E4339" t="n">
        <v>0.4540155924213547</v>
      </c>
    </row>
    <row r="4340">
      <c r="A4340" t="inlineStr">
        <is>
          <t>S|FICO x ASSET_CLASS · SYS_FLAG N vs Y|outcome_booked|p|4</t>
        </is>
      </c>
      <c r="B4340" t="n">
        <v>0.4682388903966746</v>
      </c>
      <c r="C4340" t="n">
        <v>0.5242142452421424</v>
      </c>
      <c r="D4340" t="n">
        <v>0.5737073351488381</v>
      </c>
      <c r="E4340" t="n">
        <v>0.1371862813718628</v>
      </c>
    </row>
    <row r="4341">
      <c r="A4341" t="inlineStr">
        <is>
          <t>S|FICO x ASSET_CLASS · SYS_FLAG N vs Y|outcome_booked|se|4</t>
        </is>
      </c>
      <c r="B4341" t="n">
        <v>0.006705706838855759</v>
      </c>
      <c r="C4341" t="n">
        <v>0.006512693391176451</v>
      </c>
      <c r="D4341" t="n">
        <v>0.005880558643988473</v>
      </c>
      <c r="E4341" t="n">
        <v>0.007279595110243504</v>
      </c>
    </row>
    <row r="4342">
      <c r="A4342" t="inlineStr">
        <is>
          <t>S|FICO x ASSET_CLASS · SYS_FLAG N vs Y|outcome_booked|v|5</t>
        </is>
      </c>
      <c r="B4342" t="n">
        <v>0.340381658944824</v>
      </c>
      <c r="C4342" t="n">
        <v>0.5869630205669402</v>
      </c>
      <c r="D4342" t="n">
        <v>0.5751046557504627</v>
      </c>
      <c r="E4342" t="n">
        <v>0.7383729690955161</v>
      </c>
    </row>
    <row r="4343">
      <c r="A4343" t="inlineStr">
        <is>
          <t>S|FICO x ASSET_CLASS · SYS_FLAG N vs Y|outcome_booked|p|5</t>
        </is>
      </c>
      <c r="B4343" t="n">
        <v>0.1871241447283843</v>
      </c>
      <c r="C4343" t="n">
        <v>0.4682388903966746</v>
      </c>
      <c r="D4343" t="n">
        <v>0.4682388903966746</v>
      </c>
      <c r="E4343" t="n">
        <v>0.6136386361363864</v>
      </c>
    </row>
    <row r="4344">
      <c r="A4344" t="inlineStr">
        <is>
          <t>S|FICO x ASSET_CLASS · SYS_FLAG N vs Y|outcome_booked|se|5</t>
        </is>
      </c>
      <c r="B4344" t="n">
        <v>0.007068415437489086</v>
      </c>
      <c r="C4344" t="n">
        <v>0.006705706838855759</v>
      </c>
      <c r="D4344" t="n">
        <v>0.006705706838855759</v>
      </c>
      <c r="E4344" t="n">
        <v>0.004869150443116971</v>
      </c>
    </row>
    <row r="4345">
      <c r="A4345" t="inlineStr">
        <is>
          <t>S|FICO x ASSET_CLASS · SYS_FLAG N vs Y|outcome_booked|v|6</t>
        </is>
      </c>
    </row>
    <row r="4346">
      <c r="A4346" t="inlineStr">
        <is>
          <t>S|FICO x ASSET_CLASS · SYS_FLAG N vs Y|outcome_booked|p|6</t>
        </is>
      </c>
    </row>
    <row r="4347">
      <c r="A4347" t="inlineStr">
        <is>
          <t>S|FICO x ASSET_CLASS · SYS_FLAG N vs Y|outcome_booked|se|6</t>
        </is>
      </c>
    </row>
    <row r="4348">
      <c r="A4348" t="inlineStr">
        <is>
          <t>S|FICO x ASSET_CLASS · SYS_FLAG N vs Y|outcome_booked|v|7</t>
        </is>
      </c>
    </row>
    <row r="4349">
      <c r="A4349" t="inlineStr">
        <is>
          <t>S|FICO x ASSET_CLASS · SYS_FLAG N vs Y|outcome_booked|p|7</t>
        </is>
      </c>
    </row>
    <row r="4350">
      <c r="A4350" t="inlineStr">
        <is>
          <t>S|FICO x ASSET_CLASS · SYS_FLAG N vs Y|outcome_booked|se|7</t>
        </is>
      </c>
    </row>
    <row r="4351">
      <c r="A4351" t="inlineStr">
        <is>
          <t>S|FICO x ASSET_CLASS · SYS_FLAG N vs Y|sum|3</t>
        </is>
      </c>
      <c r="B4351" t="inlineStr">
        <is>
          <t>Charge-offs</t>
        </is>
      </c>
      <c r="C4351" t="n">
        <v>20</v>
      </c>
      <c r="D4351" t="inlineStr">
        <is>
          <t>0 of 20</t>
        </is>
      </c>
      <c r="E4351" t="n">
        <v>0.5651957604824595</v>
      </c>
      <c r="F4351" t="n">
        <v>0.07015984297840425</v>
      </c>
      <c r="G4351" t="inlineStr">
        <is>
          <t>x</t>
        </is>
      </c>
      <c r="H4351" t="n">
        <v>9.999000099990002e-05</v>
      </c>
      <c r="L4351" t="inlineStr">
        <is>
          <t>not tested: dollar rate</t>
        </is>
      </c>
      <c r="P4351" t="n">
        <v>9.999000099990002e-05</v>
      </c>
    </row>
    <row r="4352">
      <c r="A4352" t="inlineStr">
        <is>
          <t>S|FICO x ASSET_CLASS · SYS_FLAG N vs Y|gco_rate|meta</t>
        </is>
      </c>
      <c r="B4352" t="inlineStr">
        <is>
          <t>x</t>
        </is>
      </c>
      <c r="C4352" t="n">
        <v>0.9447692892912065</v>
      </c>
    </row>
    <row r="4353">
      <c r="A4353" t="inlineStr">
        <is>
          <t>S|FICO x ASSET_CLASS · SYS_FLAG N vs Y|gco_rate|v|1</t>
        </is>
      </c>
      <c r="B4353" t="n">
        <v>0.3777345796088384</v>
      </c>
      <c r="C4353" t="n">
        <v>0.9447692892912065</v>
      </c>
      <c r="D4353" t="n">
        <v>0.5918227472448258</v>
      </c>
      <c r="E4353" t="n">
        <v>0.6469032842835013</v>
      </c>
    </row>
    <row r="4354">
      <c r="A4354" t="inlineStr">
        <is>
          <t>S|FICO x ASSET_CLASS · SYS_FLAG N vs Y|gco_rate|p|1</t>
        </is>
      </c>
      <c r="B4354" t="n">
        <v>0.023997600239976</v>
      </c>
      <c r="C4354" t="n">
        <v>0.8681131886811319</v>
      </c>
      <c r="D4354" t="n">
        <v>0.1962303769623038</v>
      </c>
      <c r="E4354" t="n">
        <v>0.151984801519848</v>
      </c>
    </row>
    <row r="4355">
      <c r="A4355" t="inlineStr">
        <is>
          <t>S|FICO x ASSET_CLASS · SYS_FLAG N vs Y|gco_rate|se|1</t>
        </is>
      </c>
      <c r="B4355" t="n">
        <v>0.006923699300101373</v>
      </c>
      <c r="C4355" t="n">
        <v>0.003383676703218105</v>
      </c>
      <c r="D4355" t="n">
        <v>0.006723611987339778</v>
      </c>
      <c r="E4355" t="n">
        <v>0.006412042655532487</v>
      </c>
    </row>
    <row r="4356">
      <c r="A4356" t="inlineStr">
        <is>
          <t>S|FICO x ASSET_CLASS · SYS_FLAG N vs Y|gco_rate|v|2</t>
        </is>
      </c>
      <c r="B4356" t="n">
        <v>0.3770958170386502</v>
      </c>
      <c r="C4356" t="n">
        <v>0.2137995335033157</v>
      </c>
      <c r="D4356" t="n">
        <v>0.7065492253595425</v>
      </c>
      <c r="E4356" t="n">
        <v>0.4939152476310212</v>
      </c>
    </row>
    <row r="4357">
      <c r="A4357" t="inlineStr">
        <is>
          <t>S|FICO x ASSET_CLASS · SYS_FLAG N vs Y|gco_rate|p|2</t>
        </is>
      </c>
      <c r="B4357" t="n">
        <v>0.120987901209879</v>
      </c>
      <c r="C4357" t="n">
        <v>0.045995400459954</v>
      </c>
      <c r="D4357" t="n">
        <v>0.525947405259474</v>
      </c>
      <c r="E4357" t="n">
        <v>0.120987901209879</v>
      </c>
    </row>
    <row r="4358">
      <c r="A4358" t="inlineStr">
        <is>
          <t>S|FICO x ASSET_CLASS · SYS_FLAG N vs Y|gco_rate|se|2</t>
        </is>
      </c>
      <c r="B4358" t="n">
        <v>0.006234219532497701</v>
      </c>
      <c r="C4358" t="n">
        <v>0.006766375896564338</v>
      </c>
      <c r="D4358" t="n">
        <v>0.006516460188733286</v>
      </c>
      <c r="E4358" t="n">
        <v>0.006234219532497701</v>
      </c>
    </row>
    <row r="4359">
      <c r="A4359" t="inlineStr">
        <is>
          <t>S|FICO x ASSET_CLASS · SYS_FLAG N vs Y|gco_rate|v|3</t>
        </is>
      </c>
      <c r="B4359" t="n">
        <v>0.8879955237852186</v>
      </c>
      <c r="C4359" t="n">
        <v>0.2809217622564575</v>
      </c>
      <c r="D4359" t="n">
        <v>0.5650823918264088</v>
      </c>
      <c r="E4359" t="n">
        <v>0.6939219539209777</v>
      </c>
    </row>
    <row r="4360">
      <c r="A4360" t="inlineStr">
        <is>
          <t>S|FICO x ASSET_CLASS · SYS_FLAG N vs Y|gco_rate|p|3</t>
        </is>
      </c>
      <c r="B4360" t="n">
        <v>0.8527568295801998</v>
      </c>
      <c r="C4360" t="n">
        <v>0.120987901209879</v>
      </c>
      <c r="D4360" t="n">
        <v>0.4366836043668361</v>
      </c>
      <c r="E4360" t="n">
        <v>0.525947405259474</v>
      </c>
    </row>
    <row r="4361">
      <c r="A4361" t="inlineStr">
        <is>
          <t>S|FICO x ASSET_CLASS · SYS_FLAG N vs Y|gco_rate|se|3</t>
        </is>
      </c>
      <c r="B4361" t="n">
        <v>0.004128493158326457</v>
      </c>
      <c r="C4361" t="n">
        <v>0.006234219532497701</v>
      </c>
      <c r="D4361" t="n">
        <v>0.007767094820040968</v>
      </c>
      <c r="E4361" t="n">
        <v>0.006516460188733286</v>
      </c>
    </row>
    <row r="4362">
      <c r="A4362" t="inlineStr">
        <is>
          <t>S|FICO x ASSET_CLASS · SYS_FLAG N vs Y|gco_rate|v|4</t>
        </is>
      </c>
      <c r="B4362" t="n">
        <v>0.6091381151375098</v>
      </c>
      <c r="C4362" t="n">
        <v>0.8046995956646353</v>
      </c>
      <c r="D4362" t="n">
        <v>0.6133521493641043</v>
      </c>
      <c r="E4362" t="n">
        <v>0.4026144748157408</v>
      </c>
    </row>
    <row r="4363">
      <c r="A4363" t="inlineStr">
        <is>
          <t>S|FICO x ASSET_CLASS · SYS_FLAG N vs Y|gco_rate|p|4</t>
        </is>
      </c>
      <c r="B4363" t="n">
        <v>0.569068093190681</v>
      </c>
      <c r="C4363" t="n">
        <v>0.80344906685802</v>
      </c>
      <c r="D4363" t="n">
        <v>0.525947405259474</v>
      </c>
      <c r="E4363" t="n">
        <v>0.120987901209879</v>
      </c>
    </row>
    <row r="4364">
      <c r="A4364" t="inlineStr">
        <is>
          <t>S|FICO x ASSET_CLASS · SYS_FLAG N vs Y|gco_rate|se|4</t>
        </is>
      </c>
      <c r="B4364" t="n">
        <v>0.006224922664585269</v>
      </c>
      <c r="C4364" t="n">
        <v>0.005474520922131267</v>
      </c>
      <c r="D4364" t="n">
        <v>0.006516460188733286</v>
      </c>
      <c r="E4364" t="n">
        <v>0.006234219532497701</v>
      </c>
    </row>
    <row r="4365">
      <c r="A4365" t="inlineStr">
        <is>
          <t>S|FICO x ASSET_CLASS · SYS_FLAG N vs Y|gco_rate|v|5</t>
        </is>
      </c>
      <c r="B4365" t="n">
        <v>0.5031964207164837</v>
      </c>
      <c r="C4365" t="n">
        <v>0.6259615413955376</v>
      </c>
      <c r="D4365" t="n">
        <v>0.4459768326478344</v>
      </c>
      <c r="E4365" t="n">
        <v>0.8113034833800241</v>
      </c>
    </row>
    <row r="4366">
      <c r="A4366" t="inlineStr">
        <is>
          <t>S|FICO x ASSET_CLASS · SYS_FLAG N vs Y|gco_rate|p|5</t>
        </is>
      </c>
      <c r="B4366" t="n">
        <v>0.4366836043668361</v>
      </c>
      <c r="C4366" t="n">
        <v>0.525947405259474</v>
      </c>
      <c r="D4366" t="n">
        <v>0.3721850037218501</v>
      </c>
      <c r="E4366" t="n">
        <v>0.819140308191403</v>
      </c>
    </row>
    <row r="4367">
      <c r="A4367" t="inlineStr">
        <is>
          <t>S|FICO x ASSET_CLASS · SYS_FLAG N vs Y|gco_rate|se|5</t>
        </is>
      </c>
      <c r="B4367" t="n">
        <v>0.007767094820040968</v>
      </c>
      <c r="C4367" t="n">
        <v>0.006516460188733286</v>
      </c>
      <c r="D4367" t="n">
        <v>0.008297928109191607</v>
      </c>
      <c r="E4367" t="n">
        <v>0.004890450423903109</v>
      </c>
    </row>
    <row r="4368">
      <c r="A4368" t="inlineStr">
        <is>
          <t>S|FICO x ASSET_CLASS · SYS_FLAG N vs Y|gco_rate|v|6</t>
        </is>
      </c>
    </row>
    <row r="4369">
      <c r="A4369" t="inlineStr">
        <is>
          <t>S|FICO x ASSET_CLASS · SYS_FLAG N vs Y|gco_rate|p|6</t>
        </is>
      </c>
    </row>
    <row r="4370">
      <c r="A4370" t="inlineStr">
        <is>
          <t>S|FICO x ASSET_CLASS · SYS_FLAG N vs Y|gco_rate|se|6</t>
        </is>
      </c>
    </row>
    <row r="4371">
      <c r="A4371" t="inlineStr">
        <is>
          <t>S|FICO x ASSET_CLASS · SYS_FLAG N vs Y|gco_rate|v|7</t>
        </is>
      </c>
    </row>
    <row r="4372">
      <c r="A4372" t="inlineStr">
        <is>
          <t>S|FICO x ASSET_CLASS · SYS_FLAG N vs Y|gco_rate|p|7</t>
        </is>
      </c>
    </row>
    <row r="4373">
      <c r="A4373" t="inlineStr">
        <is>
          <t>S|FICO x ASSET_CLASS · SYS_FLAG N vs Y|gco_rate|se|7</t>
        </is>
      </c>
    </row>
    <row r="4374">
      <c r="A4374" t="inlineStr">
        <is>
          <t>S|FICO x ASSET_CLASS · SYS_FLAG N vs Y|sum|4</t>
        </is>
      </c>
      <c r="B4374" t="inlineStr">
        <is>
          <t>Kept after losses</t>
        </is>
      </c>
      <c r="C4374" t="n">
        <v>20</v>
      </c>
      <c r="D4374" t="inlineStr">
        <is>
          <t>1 of 20</t>
        </is>
      </c>
      <c r="E4374" t="n">
        <v>2.665141078810107</v>
      </c>
      <c r="F4374" t="n">
        <v>0.4462745765034222</v>
      </c>
      <c r="G4374" t="inlineStr">
        <is>
          <t>pts</t>
        </is>
      </c>
      <c r="H4374" t="n">
        <v>9.999000099990002e-05</v>
      </c>
      <c r="L4374" t="inlineStr">
        <is>
          <t>not tested: dollar rate</t>
        </is>
      </c>
      <c r="P4374" t="n">
        <v>9.999000099990002e-05</v>
      </c>
    </row>
    <row r="4375">
      <c r="A4375" t="inlineStr">
        <is>
          <t>S|FICO x ASSET_CLASS · SYS_FLAG N vs Y|ranr_rate|meta</t>
        </is>
      </c>
      <c r="B4375" t="inlineStr">
        <is>
          <t>pts</t>
        </is>
      </c>
      <c r="C4375" t="n">
        <v>6.938756603</v>
      </c>
    </row>
    <row r="4376">
      <c r="A4376" t="inlineStr">
        <is>
          <t>S|FICO x ASSET_CLASS · SYS_FLAG N vs Y|ranr_rate|v|1</t>
        </is>
      </c>
      <c r="B4376" t="n">
        <v>6.938756603</v>
      </c>
      <c r="C4376" t="n">
        <v>1.940713507</v>
      </c>
      <c r="D4376" t="n">
        <v>2.821562314</v>
      </c>
      <c r="E4376" t="n">
        <v>5.824154104</v>
      </c>
    </row>
    <row r="4377">
      <c r="A4377" t="inlineStr">
        <is>
          <t>S|FICO x ASSET_CLASS · SYS_FLAG N vs Y|ranr_rate|p|1</t>
        </is>
      </c>
      <c r="B4377" t="n">
        <v>0.088657800886578</v>
      </c>
      <c r="C4377" t="n">
        <v>0.5601939806019398</v>
      </c>
      <c r="D4377" t="n">
        <v>0.4438222844382229</v>
      </c>
      <c r="E4377" t="n">
        <v>0.205979402059794</v>
      </c>
    </row>
    <row r="4378">
      <c r="A4378" t="inlineStr">
        <is>
          <t>S|FICO x ASSET_CLASS · SYS_FLAG N vs Y|ranr_rate|se|1</t>
        </is>
      </c>
      <c r="B4378" t="n">
        <v>0.007636699550541948</v>
      </c>
      <c r="C4378" t="n">
        <v>0.006216310640965251</v>
      </c>
      <c r="D4378" t="n">
        <v>0.006283190477406107</v>
      </c>
      <c r="E4378" t="n">
        <v>0.00884019283820362</v>
      </c>
    </row>
    <row r="4379">
      <c r="A4379" t="inlineStr">
        <is>
          <t>S|FICO x ASSET_CLASS · SYS_FLAG N vs Y|ranr_rate|v|2</t>
        </is>
      </c>
      <c r="B4379" t="n">
        <v>1.11043173</v>
      </c>
      <c r="C4379" t="n">
        <v>5.203768471</v>
      </c>
      <c r="D4379" t="n">
        <v>4.309471109</v>
      </c>
      <c r="E4379" t="n">
        <v>4.861494885</v>
      </c>
    </row>
    <row r="4380">
      <c r="A4380" t="inlineStr">
        <is>
          <t>S|FICO x ASSET_CLASS · SYS_FLAG N vs Y|ranr_rate|p|2</t>
        </is>
      </c>
      <c r="B4380" t="n">
        <v>0.6504055476805261</v>
      </c>
      <c r="C4380" t="n">
        <v>0.088657800886578</v>
      </c>
      <c r="D4380" t="n">
        <v>0.208312502083125</v>
      </c>
      <c r="E4380" t="n">
        <v>0.1604839516048395</v>
      </c>
    </row>
    <row r="4381">
      <c r="A4381" t="inlineStr">
        <is>
          <t>S|FICO x ASSET_CLASS · SYS_FLAG N vs Y|ranr_rate|se|2</t>
        </is>
      </c>
      <c r="B4381" t="n">
        <v>0.005849406985478118</v>
      </c>
      <c r="C4381" t="n">
        <v>0.007636699550541948</v>
      </c>
      <c r="D4381" t="n">
        <v>0.008068338790727729</v>
      </c>
      <c r="E4381" t="n">
        <v>0.00881285798876558</v>
      </c>
    </row>
    <row r="4382">
      <c r="A4382" t="inlineStr">
        <is>
          <t>S|FICO x ASSET_CLASS · SYS_FLAG N vs Y|ranr_rate|v|3</t>
        </is>
      </c>
      <c r="B4382" t="n">
        <v>0.419122112</v>
      </c>
      <c r="C4382" t="n">
        <v>4.576500326</v>
      </c>
      <c r="D4382" t="n">
        <v>2.295795292</v>
      </c>
      <c r="E4382" t="n">
        <v>2.890120831</v>
      </c>
    </row>
    <row r="4383">
      <c r="A4383" t="inlineStr">
        <is>
          <t>S|FICO x ASSET_CLASS · SYS_FLAG N vs Y|ranr_rate|p|3</t>
        </is>
      </c>
      <c r="B4383" t="n">
        <v>0.845915408459154</v>
      </c>
      <c r="C4383" t="n">
        <v>0.02199780021997801</v>
      </c>
      <c r="D4383" t="n">
        <v>0.3551311535513115</v>
      </c>
      <c r="E4383" t="n">
        <v>0.3465367748939391</v>
      </c>
    </row>
    <row r="4384">
      <c r="A4384" t="inlineStr">
        <is>
          <t>S|FICO x ASSET_CLASS · SYS_FLAG N vs Y|ranr_rate|se|3</t>
        </is>
      </c>
      <c r="B4384" t="n">
        <v>0.003610298189769601</v>
      </c>
      <c r="C4384" t="n">
        <v>0.006629269199429467</v>
      </c>
      <c r="D4384" t="n">
        <v>0.006824713325086757</v>
      </c>
      <c r="E4384" t="n">
        <v>0.009327471976755802</v>
      </c>
    </row>
    <row r="4385">
      <c r="A4385" t="inlineStr">
        <is>
          <t>S|FICO x ASSET_CLASS · SYS_FLAG N vs Y|ranr_rate|v|4</t>
        </is>
      </c>
      <c r="B4385" t="n">
        <v>1.946539963</v>
      </c>
      <c r="C4385" t="n">
        <v>-0.623407849</v>
      </c>
      <c r="D4385" t="n">
        <v>1.891673986</v>
      </c>
      <c r="E4385" t="n">
        <v>2.410761252</v>
      </c>
    </row>
    <row r="4386">
      <c r="A4386" t="inlineStr">
        <is>
          <t>S|FICO x ASSET_CLASS · SYS_FLAG N vs Y|ranr_rate|p|4</t>
        </is>
      </c>
      <c r="B4386" t="n">
        <v>0.3826760181124745</v>
      </c>
      <c r="C4386" t="n">
        <v>0.7812552078125521</v>
      </c>
      <c r="D4386" t="n">
        <v>0.3551311535513115</v>
      </c>
      <c r="E4386" t="n">
        <v>0.3551311535513115</v>
      </c>
    </row>
    <row r="4387">
      <c r="A4387" t="inlineStr">
        <is>
          <t>S|FICO x ASSET_CLASS · SYS_FLAG N vs Y|ranr_rate|se|4</t>
        </is>
      </c>
      <c r="B4387" t="n">
        <v>0.006326445218576895</v>
      </c>
      <c r="C4387" t="n">
        <v>0.00507643223415533</v>
      </c>
      <c r="D4387" t="n">
        <v>0.006824713325086757</v>
      </c>
      <c r="E4387" t="n">
        <v>0.006824713325086757</v>
      </c>
    </row>
    <row r="4388">
      <c r="A4388" t="inlineStr">
        <is>
          <t>S|FICO x ASSET_CLASS · SYS_FLAG N vs Y|ranr_rate|v|5</t>
        </is>
      </c>
      <c r="B4388" t="n">
        <v>1.511163527</v>
      </c>
      <c r="C4388" t="n">
        <v>1.63820911</v>
      </c>
      <c r="D4388" t="n">
        <v>1.309549832</v>
      </c>
      <c r="E4388" t="n">
        <v>0.357416268</v>
      </c>
    </row>
    <row r="4389">
      <c r="A4389" t="inlineStr">
        <is>
          <t>S|FICO x ASSET_CLASS · SYS_FLAG N vs Y|ranr_rate|p|5</t>
        </is>
      </c>
      <c r="B4389" t="n">
        <v>0.3551311535513115</v>
      </c>
      <c r="C4389" t="n">
        <v>0.3755009114473168</v>
      </c>
      <c r="D4389" t="n">
        <v>0.3551311535513115</v>
      </c>
      <c r="E4389" t="n">
        <v>0.7883422184097381</v>
      </c>
    </row>
    <row r="4390">
      <c r="A4390" t="inlineStr">
        <is>
          <t>S|FICO x ASSET_CLASS · SYS_FLAG N vs Y|ranr_rate|se|5</t>
        </is>
      </c>
      <c r="B4390" t="n">
        <v>0.006824713325086757</v>
      </c>
      <c r="C4390" t="n">
        <v>0.006608273416113948</v>
      </c>
      <c r="D4390" t="n">
        <v>0.006824713325086757</v>
      </c>
      <c r="E4390" t="n">
        <v>0.004564542263889411</v>
      </c>
    </row>
    <row r="4391">
      <c r="A4391" t="inlineStr">
        <is>
          <t>S|FICO x ASSET_CLASS · SYS_FLAG N vs Y|ranr_rate|v|6</t>
        </is>
      </c>
    </row>
    <row r="4392">
      <c r="A4392" t="inlineStr">
        <is>
          <t>S|FICO x ASSET_CLASS · SYS_FLAG N vs Y|ranr_rate|p|6</t>
        </is>
      </c>
    </row>
    <row r="4393">
      <c r="A4393" t="inlineStr">
        <is>
          <t>S|FICO x ASSET_CLASS · SYS_FLAG N vs Y|ranr_rate|se|6</t>
        </is>
      </c>
    </row>
    <row r="4394">
      <c r="A4394" t="inlineStr">
        <is>
          <t>S|FICO x ASSET_CLASS · SYS_FLAG N vs Y|ranr_rate|v|7</t>
        </is>
      </c>
    </row>
    <row r="4395">
      <c r="A4395" t="inlineStr">
        <is>
          <t>S|FICO x ASSET_CLASS · SYS_FLAG N vs Y|ranr_rate|p|7</t>
        </is>
      </c>
    </row>
    <row r="4396">
      <c r="A4396" t="inlineStr">
        <is>
          <t>S|FICO x ASSET_CLASS · SYS_FLAG N vs Y|ranr_rate|se|7</t>
        </is>
      </c>
    </row>
    <row r="4397">
      <c r="A4397" t="inlineStr">
        <is>
          <t>S|FICO x ASSET_CLASS · SYS_FLAG N vs Y|sum|5</t>
        </is>
      </c>
      <c r="B4397" t="inlineStr">
        <is>
          <t>Earned before losses</t>
        </is>
      </c>
      <c r="C4397" t="n">
        <v>20</v>
      </c>
      <c r="D4397" t="inlineStr">
        <is>
          <t>6 of 20</t>
        </is>
      </c>
      <c r="E4397" t="n">
        <v>0.3020464704049222</v>
      </c>
      <c r="F4397" t="n">
        <v>0.2419313030981957</v>
      </c>
      <c r="G4397" t="inlineStr">
        <is>
          <t>pts</t>
        </is>
      </c>
      <c r="H4397" t="n">
        <v>0.2164783521647835</v>
      </c>
      <c r="L4397" t="inlineStr">
        <is>
          <t>not tested: dollar rate</t>
        </is>
      </c>
      <c r="P4397" t="n">
        <v>0.004118439937753172</v>
      </c>
    </row>
    <row r="4398">
      <c r="A4398" t="inlineStr">
        <is>
          <t>S|FICO x ASSET_CLASS · SYS_FLAG N vs Y|contribution_rate|meta</t>
        </is>
      </c>
      <c r="B4398" t="inlineStr">
        <is>
          <t>pts</t>
        </is>
      </c>
      <c r="C4398" t="n">
        <v>2.623507039</v>
      </c>
    </row>
    <row r="4399">
      <c r="A4399" t="inlineStr">
        <is>
          <t>S|FICO x ASSET_CLASS · SYS_FLAG N vs Y|contribution_rate|v|1</t>
        </is>
      </c>
      <c r="B4399" t="n">
        <v>0.06581229099999999</v>
      </c>
      <c r="C4399" t="n">
        <v>1.602810584</v>
      </c>
      <c r="D4399" t="n">
        <v>-1.38832842</v>
      </c>
      <c r="E4399" t="n">
        <v>0.470343725</v>
      </c>
    </row>
    <row r="4400">
      <c r="A4400" t="inlineStr">
        <is>
          <t>S|FICO x ASSET_CLASS · SYS_FLAG N vs Y|contribution_rate|p|1</t>
        </is>
      </c>
      <c r="B4400" t="n">
        <v>0.9988001199880012</v>
      </c>
      <c r="C4400" t="n">
        <v>0.7703674077036742</v>
      </c>
      <c r="D4400" t="n">
        <v>0.7839216078392162</v>
      </c>
      <c r="E4400" t="n">
        <v>0.9732776722327767</v>
      </c>
    </row>
    <row r="4401">
      <c r="A4401" t="inlineStr">
        <is>
          <t>S|FICO x ASSET_CLASS · SYS_FLAG N vs Y|contribution_rate|se|1</t>
        </is>
      </c>
      <c r="B4401" t="n">
        <v>0.0003461849650050654</v>
      </c>
      <c r="C4401" t="n">
        <v>0.01057573463085545</v>
      </c>
      <c r="D4401" t="n">
        <v>0.009004326332468733</v>
      </c>
      <c r="E4401" t="n">
        <v>0.00518967882459135</v>
      </c>
    </row>
    <row r="4402">
      <c r="A4402" t="inlineStr">
        <is>
          <t>S|FICO x ASSET_CLASS · SYS_FLAG N vs Y|contribution_rate|v|2</t>
        </is>
      </c>
      <c r="B4402" t="n">
        <v>-1.959430337</v>
      </c>
      <c r="C4402" t="n">
        <v>0.788765971</v>
      </c>
      <c r="D4402" t="n">
        <v>2.623507039</v>
      </c>
      <c r="E4402" t="n">
        <v>0.379186545</v>
      </c>
    </row>
    <row r="4403">
      <c r="A4403" t="inlineStr">
        <is>
          <t>S|FICO x ASSET_CLASS · SYS_FLAG N vs Y|contribution_rate|p|2</t>
        </is>
      </c>
      <c r="B4403" t="n">
        <v>0.4350993472081363</v>
      </c>
      <c r="C4403" t="n">
        <v>0.8554529162468368</v>
      </c>
      <c r="D4403" t="n">
        <v>0.334966503349665</v>
      </c>
      <c r="E4403" t="n">
        <v>0.9732776722327767</v>
      </c>
    </row>
    <row r="4404">
      <c r="A4404" t="inlineStr">
        <is>
          <t>S|FICO x ASSET_CLASS · SYS_FLAG N vs Y|contribution_rate|se|2</t>
        </is>
      </c>
      <c r="B4404" t="n">
        <v>0.01026562004986693</v>
      </c>
      <c r="C4404" t="n">
        <v>0.007643832269845412</v>
      </c>
      <c r="D4404" t="n">
        <v>0.01799294993915769</v>
      </c>
      <c r="E4404" t="n">
        <v>0.00518967882459135</v>
      </c>
    </row>
    <row r="4405">
      <c r="A4405" t="inlineStr">
        <is>
          <t>S|FICO x ASSET_CLASS · SYS_FLAG N vs Y|contribution_rate|v|3</t>
        </is>
      </c>
      <c r="B4405" t="n">
        <v>0.002674284</v>
      </c>
      <c r="C4405" t="n">
        <v>2.366935839</v>
      </c>
      <c r="D4405" t="n">
        <v>0.391704516</v>
      </c>
      <c r="E4405" t="n">
        <v>1.485488777</v>
      </c>
    </row>
    <row r="4406">
      <c r="A4406" t="inlineStr">
        <is>
          <t>S|FICO x ASSET_CLASS · SYS_FLAG N vs Y|contribution_rate|p|3</t>
        </is>
      </c>
      <c r="B4406" t="n">
        <v>0.9988001199880012</v>
      </c>
      <c r="C4406" t="n">
        <v>0.334966503349665</v>
      </c>
      <c r="D4406" t="n">
        <v>0.9719028097190281</v>
      </c>
      <c r="E4406" t="n">
        <v>0.4350993472081363</v>
      </c>
    </row>
    <row r="4407">
      <c r="A4407" t="inlineStr">
        <is>
          <t>S|FICO x ASSET_CLASS · SYS_FLAG N vs Y|contribution_rate|se|3</t>
        </is>
      </c>
      <c r="B4407" t="n">
        <v>0.0003461849650050654</v>
      </c>
      <c r="C4407" t="n">
        <v>0.01799294993915769</v>
      </c>
      <c r="D4407" t="n">
        <v>0.006662113131530836</v>
      </c>
      <c r="E4407" t="n">
        <v>0.01026562004986693</v>
      </c>
    </row>
    <row r="4408">
      <c r="A4408" t="inlineStr">
        <is>
          <t>S|FICO x ASSET_CLASS · SYS_FLAG N vs Y|contribution_rate|v|4</t>
        </is>
      </c>
      <c r="B4408" t="n">
        <v>0.709494377</v>
      </c>
      <c r="C4408" t="n">
        <v>-1.198373257</v>
      </c>
      <c r="D4408" t="n">
        <v>0.734346229</v>
      </c>
      <c r="E4408" t="n">
        <v>-1.546234463</v>
      </c>
    </row>
    <row r="4409">
      <c r="A4409" t="inlineStr">
        <is>
          <t>S|FICO x ASSET_CLASS · SYS_FLAG N vs Y|contribution_rate|p|4</t>
        </is>
      </c>
      <c r="B4409" t="n">
        <v>0.7839216078392162</v>
      </c>
      <c r="C4409" t="n">
        <v>0.4350993472081363</v>
      </c>
      <c r="D4409" t="n">
        <v>0.7703674077036742</v>
      </c>
      <c r="E4409" t="n">
        <v>0.368629803686298</v>
      </c>
    </row>
    <row r="4410">
      <c r="A4410" t="inlineStr">
        <is>
          <t>S|FICO x ASSET_CLASS · SYS_FLAG N vs Y|contribution_rate|se|4</t>
        </is>
      </c>
      <c r="B4410" t="n">
        <v>0.009004326332468733</v>
      </c>
      <c r="C4410" t="n">
        <v>0.01026562004986693</v>
      </c>
      <c r="D4410" t="n">
        <v>0.01057573463085545</v>
      </c>
      <c r="E4410" t="n">
        <v>0.01523694225364631</v>
      </c>
    </row>
    <row r="4411">
      <c r="A4411" t="inlineStr">
        <is>
          <t>S|FICO x ASSET_CLASS · SYS_FLAG N vs Y|contribution_rate|v|5</t>
        </is>
      </c>
      <c r="B4411" t="n">
        <v>0.248829577</v>
      </c>
      <c r="C4411" t="n">
        <v>0.504454667</v>
      </c>
      <c r="D4411" t="n">
        <v>-0.039837777</v>
      </c>
      <c r="E4411" t="n">
        <v>-0.018692776</v>
      </c>
    </row>
    <row r="4412">
      <c r="A4412" t="inlineStr">
        <is>
          <t>S|FICO x ASSET_CLASS · SYS_FLAG N vs Y|contribution_rate|p|5</t>
        </is>
      </c>
      <c r="B4412" t="n">
        <v>0.8120854581208546</v>
      </c>
      <c r="C4412" t="n">
        <v>0.4350993472081363</v>
      </c>
      <c r="D4412" t="n">
        <v>0.9988001199880012</v>
      </c>
      <c r="E4412" t="n">
        <v>0.9988001199880012</v>
      </c>
    </row>
    <row r="4413">
      <c r="A4413" t="inlineStr">
        <is>
          <t>S|FICO x ASSET_CLASS · SYS_FLAG N vs Y|contribution_rate|se|5</t>
        </is>
      </c>
      <c r="B4413" t="n">
        <v>0.008330624059717252</v>
      </c>
      <c r="C4413" t="n">
        <v>0.01026562004986693</v>
      </c>
      <c r="D4413" t="n">
        <v>0.0003461849650050654</v>
      </c>
      <c r="E4413" t="n">
        <v>0.0003461849650050654</v>
      </c>
    </row>
    <row r="4414">
      <c r="A4414" t="inlineStr">
        <is>
          <t>S|FICO x ASSET_CLASS · SYS_FLAG N vs Y|contribution_rate|v|6</t>
        </is>
      </c>
    </row>
    <row r="4415">
      <c r="A4415" t="inlineStr">
        <is>
          <t>S|FICO x ASSET_CLASS · SYS_FLAG N vs Y|contribution_rate|p|6</t>
        </is>
      </c>
    </row>
    <row r="4416">
      <c r="A4416" t="inlineStr">
        <is>
          <t>S|FICO x ASSET_CLASS · SYS_FLAG N vs Y|contribution_rate|se|6</t>
        </is>
      </c>
    </row>
    <row r="4417">
      <c r="A4417" t="inlineStr">
        <is>
          <t>S|FICO x ASSET_CLASS · SYS_FLAG N vs Y|contribution_rate|v|7</t>
        </is>
      </c>
    </row>
    <row r="4418">
      <c r="A4418" t="inlineStr">
        <is>
          <t>S|FICO x ASSET_CLASS · SYS_FLAG N vs Y|contribution_rate|p|7</t>
        </is>
      </c>
    </row>
    <row r="4419">
      <c r="A4419" t="inlineStr">
        <is>
          <t>S|FICO x ASSET_CLASS · SYS_FLAG N vs Y|contribution_rate|se|7</t>
        </is>
      </c>
    </row>
    <row r="4420">
      <c r="A4420" t="inlineStr">
        <is>
          <t>S|FICO x ASSET_CLASS · SYS_FLAG Y vs N|chip</t>
        </is>
      </c>
    </row>
    <row r="4421">
      <c r="A4421" t="inlineStr">
        <is>
          <t>S|FICO x ASSET_CLASS · SYS_FLAG Y vs N|rows</t>
        </is>
      </c>
      <c r="B4421" t="inlineStr">
        <is>
          <t>496 - 653</t>
        </is>
      </c>
      <c r="C4421" t="inlineStr">
        <is>
          <t>654 - 685</t>
        </is>
      </c>
      <c r="D4421" t="inlineStr">
        <is>
          <t>686 - 711</t>
        </is>
      </c>
      <c r="E4421" t="inlineStr">
        <is>
          <t>712 - 745</t>
        </is>
      </c>
      <c r="F4421" t="inlineStr">
        <is>
          <t>746 - 921</t>
        </is>
      </c>
      <c r="G4421" t="inlineStr">
        <is>
          <t>(blank)</t>
        </is>
      </c>
      <c r="H4421" t="inlineStr">
        <is>
          <t>(marked missing)</t>
        </is>
      </c>
    </row>
    <row r="4422">
      <c r="A4422" t="inlineStr">
        <is>
          <t>S|FICO x ASSET_CLASS · SYS_FLAG Y vs N|cols</t>
        </is>
      </c>
      <c r="B4422" t="inlineStr">
        <is>
          <t>1</t>
        </is>
      </c>
      <c r="C4422" t="inlineStr">
        <is>
          <t>2</t>
        </is>
      </c>
      <c r="D4422" t="inlineStr">
        <is>
          <t>3</t>
        </is>
      </c>
      <c r="E4422" t="inlineStr">
        <is>
          <t>4</t>
        </is>
      </c>
    </row>
    <row r="4423">
      <c r="A4423" t="inlineStr">
        <is>
          <t>S|FICO x ASSET_CLASS · SYS_FLAG Y vs N|sum|1</t>
        </is>
      </c>
      <c r="B4423" t="inlineStr">
        <is>
          <t>Bad loans</t>
        </is>
      </c>
      <c r="C4423" t="n">
        <v>20</v>
      </c>
      <c r="D4423" t="inlineStr">
        <is>
          <t>20 of 20</t>
        </is>
      </c>
      <c r="E4423" t="n">
        <v>1.692440882722242</v>
      </c>
      <c r="F4423" t="n">
        <v>0.1042770133493036</v>
      </c>
      <c r="G4423" t="inlineStr">
        <is>
          <t>x</t>
        </is>
      </c>
      <c r="H4423" t="n">
        <v>3.128370207191649e-11</v>
      </c>
      <c r="I4423" t="n">
        <v>1.799954515984105</v>
      </c>
      <c r="J4423" t="n">
        <v>8.723181707296492e-12</v>
      </c>
      <c r="K4423" t="n">
        <v>0.7798084899140335</v>
      </c>
      <c r="M4423" t="n">
        <v>1.850969372299824e-12</v>
      </c>
      <c r="N4423" t="n">
        <v>1</v>
      </c>
      <c r="O4423" t="n">
        <v>24</v>
      </c>
    </row>
    <row r="4424">
      <c r="A4424" t="inlineStr">
        <is>
          <t>S|FICO x ASSET_CLASS · SYS_FLAG Y vs N|outcome_loans|meta</t>
        </is>
      </c>
      <c r="B4424" t="inlineStr">
        <is>
          <t>x</t>
        </is>
      </c>
      <c r="C4424" t="n">
        <v>5.006134969325154</v>
      </c>
    </row>
    <row r="4425">
      <c r="A4425" t="inlineStr">
        <is>
          <t>S|FICO x ASSET_CLASS · SYS_FLAG Y vs N|outcome_loans|v|1</t>
        </is>
      </c>
      <c r="B4425" t="n">
        <v>2.516129032258065</v>
      </c>
      <c r="C4425" t="n">
        <v>1.28282031044462</v>
      </c>
      <c r="D4425" t="n">
        <v>1.561883899233297</v>
      </c>
      <c r="E4425" t="n">
        <v>1.453159041394336</v>
      </c>
    </row>
    <row r="4426">
      <c r="A4426" t="inlineStr">
        <is>
          <t>S|FICO x ASSET_CLASS · SYS_FLAG Y vs N|outcome_loans|p|1</t>
        </is>
      </c>
      <c r="B4426" t="n">
        <v>0.005062395051771168</v>
      </c>
      <c r="C4426" t="n">
        <v>0.474979081624309</v>
      </c>
      <c r="D4426" t="n">
        <v>0.183292426672739</v>
      </c>
      <c r="E4426" t="n">
        <v>0.183292426672739</v>
      </c>
    </row>
    <row r="4427">
      <c r="A4427" t="inlineStr">
        <is>
          <t>S|FICO x ASSET_CLASS · SYS_FLAG Y vs N|outcome_loans|se|1</t>
        </is>
      </c>
    </row>
    <row r="4428">
      <c r="A4428" t="inlineStr">
        <is>
          <t>S|FICO x ASSET_CLASS · SYS_FLAG Y vs N|outcome_loans|v|2</t>
        </is>
      </c>
      <c r="B4428" t="n">
        <v>2.245989304812834</v>
      </c>
      <c r="C4428" t="n">
        <v>5.006134969325154</v>
      </c>
      <c r="D4428" t="n">
        <v>1.320047827819849</v>
      </c>
      <c r="E4428" t="n">
        <v>1.605235602094241</v>
      </c>
    </row>
    <row r="4429">
      <c r="A4429" t="inlineStr">
        <is>
          <t>S|FICO x ASSET_CLASS · SYS_FLAG Y vs N|outcome_loans|p|2</t>
        </is>
      </c>
      <c r="B4429" t="n">
        <v>0.1278492837379381</v>
      </c>
      <c r="C4429" t="n">
        <v>0.008947170485720151</v>
      </c>
      <c r="D4429" t="n">
        <v>0.499249302395699</v>
      </c>
      <c r="E4429" t="n">
        <v>0.183292426672739</v>
      </c>
    </row>
    <row r="4430">
      <c r="A4430" t="inlineStr">
        <is>
          <t>S|FICO x ASSET_CLASS · SYS_FLAG Y vs N|outcome_loans|se|2</t>
        </is>
      </c>
    </row>
    <row r="4431">
      <c r="A4431" t="inlineStr">
        <is>
          <t>S|FICO x ASSET_CLASS · SYS_FLAG Y vs N|outcome_loans|v|3</t>
        </is>
      </c>
      <c r="B4431" t="n">
        <v>1.004354926510615</v>
      </c>
      <c r="C4431" t="n">
        <v>2.654748603351955</v>
      </c>
      <c r="D4431" t="n">
        <v>1.66530612244898</v>
      </c>
      <c r="E4431" t="n">
        <v>1.138565891472868</v>
      </c>
    </row>
    <row r="4432">
      <c r="A4432" t="inlineStr">
        <is>
          <t>S|FICO x ASSET_CLASS · SYS_FLAG Y vs N|outcome_loans|p|3</t>
        </is>
      </c>
      <c r="B4432" t="n">
        <v>0.9920700057451615</v>
      </c>
      <c r="C4432" t="n">
        <v>0.183292426672739</v>
      </c>
      <c r="D4432" t="n">
        <v>0.3313757930975317</v>
      </c>
      <c r="E4432" t="n">
        <v>0.7351489030103198</v>
      </c>
    </row>
    <row r="4433">
      <c r="A4433" t="inlineStr">
        <is>
          <t>S|FICO x ASSET_CLASS · SYS_FLAG Y vs N|outcome_loans|se|3</t>
        </is>
      </c>
    </row>
    <row r="4434">
      <c r="A4434" t="inlineStr">
        <is>
          <t>S|FICO x ASSET_CLASS · SYS_FLAG Y vs N|outcome_loans|v|4</t>
        </is>
      </c>
      <c r="B4434" t="n">
        <v>1.858682634730539</v>
      </c>
      <c r="C4434" t="n">
        <v>1.640700483091788</v>
      </c>
      <c r="D4434" t="n">
        <v>1.814349112426036</v>
      </c>
      <c r="E4434" t="n">
        <v>1.798587885544407</v>
      </c>
    </row>
    <row r="4435">
      <c r="A4435" t="inlineStr">
        <is>
          <t>S|FICO x ASSET_CLASS · SYS_FLAG Y vs N|outcome_loans|p|4</t>
        </is>
      </c>
      <c r="B4435" t="n">
        <v>0.4007376135119204</v>
      </c>
      <c r="C4435" t="n">
        <v>0.4007376135119204</v>
      </c>
      <c r="D4435" t="n">
        <v>0.3313757930975317</v>
      </c>
      <c r="E4435" t="n">
        <v>0.183292426672739</v>
      </c>
    </row>
    <row r="4436">
      <c r="A4436" t="inlineStr">
        <is>
          <t>S|FICO x ASSET_CLASS · SYS_FLAG Y vs N|outcome_loans|se|4</t>
        </is>
      </c>
    </row>
    <row r="4437">
      <c r="A4437" t="inlineStr">
        <is>
          <t>S|FICO x ASSET_CLASS · SYS_FLAG Y vs N|outcome_loans|v|5</t>
        </is>
      </c>
      <c r="B4437" t="n">
        <v>3.471311475409836</v>
      </c>
      <c r="C4437" t="n">
        <v>1.564285714285715</v>
      </c>
      <c r="D4437" t="n">
        <v>1.559113300492611</v>
      </c>
      <c r="E4437" t="n">
        <v>1.456445993031359</v>
      </c>
    </row>
    <row r="4438">
      <c r="A4438" t="inlineStr">
        <is>
          <t>S|FICO x ASSET_CLASS · SYS_FLAG Y vs N|outcome_loans|p|5</t>
        </is>
      </c>
      <c r="B4438" t="n">
        <v>0.1278492837379381</v>
      </c>
      <c r="C4438" t="n">
        <v>0.474979081624309</v>
      </c>
      <c r="D4438" t="n">
        <v>0.474979081624309</v>
      </c>
      <c r="E4438" t="n">
        <v>0.5063378656072233</v>
      </c>
    </row>
    <row r="4439">
      <c r="A4439" t="inlineStr">
        <is>
          <t>S|FICO x ASSET_CLASS · SYS_FLAG Y vs N|outcome_loans|se|5</t>
        </is>
      </c>
    </row>
    <row r="4440">
      <c r="A4440" t="inlineStr">
        <is>
          <t>S|FICO x ASSET_CLASS · SYS_FLAG Y vs N|outcome_loans|v|6</t>
        </is>
      </c>
    </row>
    <row r="4441">
      <c r="A4441" t="inlineStr">
        <is>
          <t>S|FICO x ASSET_CLASS · SYS_FLAG Y vs N|outcome_loans|p|6</t>
        </is>
      </c>
    </row>
    <row r="4442">
      <c r="A4442" t="inlineStr">
        <is>
          <t>S|FICO x ASSET_CLASS · SYS_FLAG Y vs N|outcome_loans|se|6</t>
        </is>
      </c>
    </row>
    <row r="4443">
      <c r="A4443" t="inlineStr">
        <is>
          <t>S|FICO x ASSET_CLASS · SYS_FLAG Y vs N|outcome_loans|v|7</t>
        </is>
      </c>
    </row>
    <row r="4444">
      <c r="A4444" t="inlineStr">
        <is>
          <t>S|FICO x ASSET_CLASS · SYS_FLAG Y vs N|outcome_loans|p|7</t>
        </is>
      </c>
    </row>
    <row r="4445">
      <c r="A4445" t="inlineStr">
        <is>
          <t>S|FICO x ASSET_CLASS · SYS_FLAG Y vs N|outcome_loans|se|7</t>
        </is>
      </c>
    </row>
    <row r="4446">
      <c r="A4446" t="inlineStr">
        <is>
          <t>S|FICO x ASSET_CLASS · SYS_FLAG Y vs N|sum|2</t>
        </is>
      </c>
      <c r="B4446" t="inlineStr">
        <is>
          <t>Bad dollars</t>
        </is>
      </c>
      <c r="C4446" t="n">
        <v>20</v>
      </c>
      <c r="D4446" t="inlineStr">
        <is>
          <t>20 of 20</t>
        </is>
      </c>
      <c r="E4446" t="n">
        <v>1.866141566388789</v>
      </c>
      <c r="F4446" t="n">
        <v>0.1246917037129972</v>
      </c>
      <c r="G4446" t="inlineStr">
        <is>
          <t>x</t>
        </is>
      </c>
      <c r="H4446" t="n">
        <v>9.999000099990002e-05</v>
      </c>
      <c r="L4446" t="inlineStr">
        <is>
          <t>not tested: dollar rate</t>
        </is>
      </c>
      <c r="P4446" t="n">
        <v>9.999000099990002e-05</v>
      </c>
    </row>
    <row r="4447">
      <c r="A4447" t="inlineStr">
        <is>
          <t>S|FICO x ASSET_CLASS · SYS_FLAG Y vs N|outcome_booked|meta</t>
        </is>
      </c>
      <c r="B4447" t="inlineStr">
        <is>
          <t>x</t>
        </is>
      </c>
      <c r="C4447" t="n">
        <v>6.36271976294312</v>
      </c>
    </row>
    <row r="4448">
      <c r="A4448" t="inlineStr">
        <is>
          <t>S|FICO x ASSET_CLASS · SYS_FLAG Y vs N|outcome_booked|v|1</t>
        </is>
      </c>
      <c r="B4448" t="n">
        <v>2.934954128046263</v>
      </c>
      <c r="C4448" t="n">
        <v>1.190436649902684</v>
      </c>
      <c r="D4448" t="n">
        <v>1.671607843969478</v>
      </c>
      <c r="E4448" t="n">
        <v>1.845184595440094</v>
      </c>
    </row>
    <row r="4449">
      <c r="A4449" t="inlineStr">
        <is>
          <t>S|FICO x ASSET_CLASS · SYS_FLAG Y vs N|outcome_booked|p|1</t>
        </is>
      </c>
      <c r="B4449" t="n">
        <v>0.006999300069993001</v>
      </c>
      <c r="C4449" t="n">
        <v>0.6136386361363864</v>
      </c>
      <c r="D4449" t="n">
        <v>0.1887311268873113</v>
      </c>
      <c r="E4449" t="n">
        <v>0.04199580041995801</v>
      </c>
    </row>
    <row r="4450">
      <c r="A4450" t="inlineStr">
        <is>
          <t>S|FICO x ASSET_CLASS · SYS_FLAG Y vs N|outcome_booked|se|1</t>
        </is>
      </c>
      <c r="B4450" t="n">
        <v>0.002644692997277004</v>
      </c>
      <c r="C4450" t="n">
        <v>0.004869150443116971</v>
      </c>
      <c r="D4450" t="n">
        <v>0.006604607323392691</v>
      </c>
      <c r="E4450" t="n">
        <v>0.005274546004603686</v>
      </c>
    </row>
    <row r="4451">
      <c r="A4451" t="inlineStr">
        <is>
          <t>S|FICO x ASSET_CLASS · SYS_FLAG Y vs N|outcome_booked|v|2</t>
        </is>
      </c>
      <c r="B4451" t="n">
        <v>2.30475382288995</v>
      </c>
      <c r="C4451" t="n">
        <v>6.36271976294312</v>
      </c>
      <c r="D4451" t="n">
        <v>1.6296881251848</v>
      </c>
      <c r="E4451" t="n">
        <v>1.709504584995093</v>
      </c>
    </row>
    <row r="4452">
      <c r="A4452" t="inlineStr">
        <is>
          <t>S|FICO x ASSET_CLASS · SYS_FLAG Y vs N|outcome_booked|p|2</t>
        </is>
      </c>
      <c r="B4452" t="n">
        <v>0.15665100156651</v>
      </c>
      <c r="C4452" t="n">
        <v>0.006999300069993001</v>
      </c>
      <c r="D4452" t="n">
        <v>0.372508203725082</v>
      </c>
      <c r="E4452" t="n">
        <v>0.196424801964248</v>
      </c>
    </row>
    <row r="4453">
      <c r="A4453" t="inlineStr">
        <is>
          <t>S|FICO x ASSET_CLASS · SYS_FLAG Y vs N|outcome_booked|se|2</t>
        </is>
      </c>
      <c r="B4453" t="n">
        <v>0.00705429279892683</v>
      </c>
      <c r="C4453" t="n">
        <v>0.002644692997277004</v>
      </c>
      <c r="D4453" t="n">
        <v>0.007338428178390966</v>
      </c>
      <c r="E4453" t="n">
        <v>0.006308065131986647</v>
      </c>
    </row>
    <row r="4454">
      <c r="A4454" t="inlineStr">
        <is>
          <t>S|FICO x ASSET_CLASS · SYS_FLAG Y vs N|outcome_booked|v|3</t>
        </is>
      </c>
      <c r="B4454" t="n">
        <v>1.301734777950424</v>
      </c>
      <c r="C4454" t="n">
        <v>3.792712460266324</v>
      </c>
      <c r="D4454" t="n">
        <v>1.901941929336352</v>
      </c>
      <c r="E4454" t="n">
        <v>1.313205813074738</v>
      </c>
    </row>
    <row r="4455">
      <c r="A4455" t="inlineStr">
        <is>
          <t>S|FICO x ASSET_CLASS · SYS_FLAG Y vs N|outcome_booked|p|3</t>
        </is>
      </c>
      <c r="B4455" t="n">
        <v>0.6136386361363864</v>
      </c>
      <c r="C4455" t="n">
        <v>0.1334866513348665</v>
      </c>
      <c r="D4455" t="n">
        <v>0.3135686431356864</v>
      </c>
      <c r="E4455" t="n">
        <v>0.5737073351488381</v>
      </c>
    </row>
    <row r="4456">
      <c r="A4456" t="inlineStr">
        <is>
          <t>S|FICO x ASSET_CLASS · SYS_FLAG Y vs N|outcome_booked|se|3</t>
        </is>
      </c>
      <c r="B4456" t="n">
        <v>0.004869150443116971</v>
      </c>
      <c r="C4456" t="n">
        <v>0.008059867062115455</v>
      </c>
      <c r="D4456" t="n">
        <v>0.007271946041558733</v>
      </c>
      <c r="E4456" t="n">
        <v>0.005880558643988473</v>
      </c>
    </row>
    <row r="4457">
      <c r="A4457" t="inlineStr">
        <is>
          <t>S|FICO x ASSET_CLASS · SYS_FLAG Y vs N|outcome_booked|v|4</t>
        </is>
      </c>
      <c r="B4457" t="n">
        <v>1.943035670192693</v>
      </c>
      <c r="C4457" t="n">
        <v>1.536959720272493</v>
      </c>
      <c r="D4457" t="n">
        <v>1.426579838988333</v>
      </c>
      <c r="E4457" t="n">
        <v>2.202567525636736</v>
      </c>
    </row>
    <row r="4458">
      <c r="A4458" t="inlineStr">
        <is>
          <t>S|FICO x ASSET_CLASS · SYS_FLAG Y vs N|outcome_booked|p|4</t>
        </is>
      </c>
      <c r="B4458" t="n">
        <v>0.4682388903966746</v>
      </c>
      <c r="C4458" t="n">
        <v>0.5242142452421424</v>
      </c>
      <c r="D4458" t="n">
        <v>0.5737073351488381</v>
      </c>
      <c r="E4458" t="n">
        <v>0.1371862813718628</v>
      </c>
    </row>
    <row r="4459">
      <c r="A4459" t="inlineStr">
        <is>
          <t>S|FICO x ASSET_CLASS · SYS_FLAG Y vs N|outcome_booked|se|4</t>
        </is>
      </c>
      <c r="B4459" t="n">
        <v>0.006705706838855759</v>
      </c>
      <c r="C4459" t="n">
        <v>0.006512693391176451</v>
      </c>
      <c r="D4459" t="n">
        <v>0.005880558643988473</v>
      </c>
      <c r="E4459" t="n">
        <v>0.007279595110243504</v>
      </c>
    </row>
    <row r="4460">
      <c r="A4460" t="inlineStr">
        <is>
          <t>S|FICO x ASSET_CLASS · SYS_FLAG Y vs N|outcome_booked|v|5</t>
        </is>
      </c>
      <c r="B4460" t="n">
        <v>2.937878624541578</v>
      </c>
      <c r="C4460" t="n">
        <v>1.703684840373952</v>
      </c>
      <c r="D4460" t="n">
        <v>1.738813953253578</v>
      </c>
      <c r="E4460" t="n">
        <v>1.354329101761362</v>
      </c>
    </row>
    <row r="4461">
      <c r="A4461" t="inlineStr">
        <is>
          <t>S|FICO x ASSET_CLASS · SYS_FLAG Y vs N|outcome_booked|p|5</t>
        </is>
      </c>
      <c r="B4461" t="n">
        <v>0.1871241447283843</v>
      </c>
      <c r="C4461" t="n">
        <v>0.4682388903966746</v>
      </c>
      <c r="D4461" t="n">
        <v>0.4682388903966746</v>
      </c>
      <c r="E4461" t="n">
        <v>0.6136386361363864</v>
      </c>
    </row>
    <row r="4462">
      <c r="A4462" t="inlineStr">
        <is>
          <t>S|FICO x ASSET_CLASS · SYS_FLAG Y vs N|outcome_booked|se|5</t>
        </is>
      </c>
      <c r="B4462" t="n">
        <v>0.007068415437489086</v>
      </c>
      <c r="C4462" t="n">
        <v>0.006705706838855759</v>
      </c>
      <c r="D4462" t="n">
        <v>0.006705706838855759</v>
      </c>
      <c r="E4462" t="n">
        <v>0.004869150443116971</v>
      </c>
    </row>
    <row r="4463">
      <c r="A4463" t="inlineStr">
        <is>
          <t>S|FICO x ASSET_CLASS · SYS_FLAG Y vs N|outcome_booked|v|6</t>
        </is>
      </c>
    </row>
    <row r="4464">
      <c r="A4464" t="inlineStr">
        <is>
          <t>S|FICO x ASSET_CLASS · SYS_FLAG Y vs N|outcome_booked|p|6</t>
        </is>
      </c>
    </row>
    <row r="4465">
      <c r="A4465" t="inlineStr">
        <is>
          <t>S|FICO x ASSET_CLASS · SYS_FLAG Y vs N|outcome_booked|se|6</t>
        </is>
      </c>
    </row>
    <row r="4466">
      <c r="A4466" t="inlineStr">
        <is>
          <t>S|FICO x ASSET_CLASS · SYS_FLAG Y vs N|outcome_booked|v|7</t>
        </is>
      </c>
    </row>
    <row r="4467">
      <c r="A4467" t="inlineStr">
        <is>
          <t>S|FICO x ASSET_CLASS · SYS_FLAG Y vs N|outcome_booked|p|7</t>
        </is>
      </c>
    </row>
    <row r="4468">
      <c r="A4468" t="inlineStr">
        <is>
          <t>S|FICO x ASSET_CLASS · SYS_FLAG Y vs N|outcome_booked|se|7</t>
        </is>
      </c>
    </row>
    <row r="4469">
      <c r="A4469" t="inlineStr">
        <is>
          <t>S|FICO x ASSET_CLASS · SYS_FLAG Y vs N|sum|3</t>
        </is>
      </c>
      <c r="B4469" t="inlineStr">
        <is>
          <t>Charge-offs</t>
        </is>
      </c>
      <c r="C4469" t="n">
        <v>20</v>
      </c>
      <c r="D4469" t="inlineStr">
        <is>
          <t>20 of 20</t>
        </is>
      </c>
      <c r="E4469" t="n">
        <v>1.764163747236726</v>
      </c>
      <c r="F4469" t="n">
        <v>0.1242010377741757</v>
      </c>
      <c r="G4469" t="inlineStr">
        <is>
          <t>x</t>
        </is>
      </c>
      <c r="H4469" t="n">
        <v>9.999000099990002e-05</v>
      </c>
      <c r="L4469" t="inlineStr">
        <is>
          <t>not tested: dollar rate</t>
        </is>
      </c>
      <c r="P4469" t="n">
        <v>9.999000099990002e-05</v>
      </c>
    </row>
    <row r="4470">
      <c r="A4470" t="inlineStr">
        <is>
          <t>S|FICO x ASSET_CLASS · SYS_FLAG Y vs N|gco_rate|meta</t>
        </is>
      </c>
      <c r="B4470" t="inlineStr">
        <is>
          <t>x</t>
        </is>
      </c>
      <c r="C4470" t="n">
        <v>4.67727868070625</v>
      </c>
    </row>
    <row r="4471">
      <c r="A4471" t="inlineStr">
        <is>
          <t>S|FICO x ASSET_CLASS · SYS_FLAG Y vs N|gco_rate|v|1</t>
        </is>
      </c>
      <c r="B4471" t="n">
        <v>2.647361544276794</v>
      </c>
      <c r="C4471" t="n">
        <v>1.058459468713498</v>
      </c>
      <c r="D4471" t="n">
        <v>1.689695106609884</v>
      </c>
      <c r="E4471" t="n">
        <v>1.545826129337993</v>
      </c>
    </row>
    <row r="4472">
      <c r="A4472" t="inlineStr">
        <is>
          <t>S|FICO x ASSET_CLASS · SYS_FLAG Y vs N|gco_rate|p|1</t>
        </is>
      </c>
      <c r="B4472" t="n">
        <v>0.023997600239976</v>
      </c>
      <c r="C4472" t="n">
        <v>0.8681131886811319</v>
      </c>
      <c r="D4472" t="n">
        <v>0.1962303769623038</v>
      </c>
      <c r="E4472" t="n">
        <v>0.151984801519848</v>
      </c>
    </row>
    <row r="4473">
      <c r="A4473" t="inlineStr">
        <is>
          <t>S|FICO x ASSET_CLASS · SYS_FLAG Y vs N|gco_rate|se|1</t>
        </is>
      </c>
      <c r="B4473" t="n">
        <v>0.006923699300101373</v>
      </c>
      <c r="C4473" t="n">
        <v>0.003383676703218105</v>
      </c>
      <c r="D4473" t="n">
        <v>0.006723611987339778</v>
      </c>
      <c r="E4473" t="n">
        <v>0.006412042655532487</v>
      </c>
    </row>
    <row r="4474">
      <c r="A4474" t="inlineStr">
        <is>
          <t>S|FICO x ASSET_CLASS · SYS_FLAG Y vs N|gco_rate|v|2</t>
        </is>
      </c>
      <c r="B4474" t="n">
        <v>2.65184590975589</v>
      </c>
      <c r="C4474" t="n">
        <v>4.67727868070625</v>
      </c>
      <c r="D4474" t="n">
        <v>1.415329553989857</v>
      </c>
      <c r="E4474" t="n">
        <v>2.024638852103324</v>
      </c>
    </row>
    <row r="4475">
      <c r="A4475" t="inlineStr">
        <is>
          <t>S|FICO x ASSET_CLASS · SYS_FLAG Y vs N|gco_rate|p|2</t>
        </is>
      </c>
      <c r="B4475" t="n">
        <v>0.120987901209879</v>
      </c>
      <c r="C4475" t="n">
        <v>0.045995400459954</v>
      </c>
      <c r="D4475" t="n">
        <v>0.525947405259474</v>
      </c>
      <c r="E4475" t="n">
        <v>0.120987901209879</v>
      </c>
    </row>
    <row r="4476">
      <c r="A4476" t="inlineStr">
        <is>
          <t>S|FICO x ASSET_CLASS · SYS_FLAG Y vs N|gco_rate|se|2</t>
        </is>
      </c>
      <c r="B4476" t="n">
        <v>0.006234219532497701</v>
      </c>
      <c r="C4476" t="n">
        <v>0.006766375896564338</v>
      </c>
      <c r="D4476" t="n">
        <v>0.006516460188733286</v>
      </c>
      <c r="E4476" t="n">
        <v>0.006234219532497701</v>
      </c>
    </row>
    <row r="4477">
      <c r="A4477" t="inlineStr">
        <is>
          <t>S|FICO x ASSET_CLASS · SYS_FLAG Y vs N|gco_rate|v|3</t>
        </is>
      </c>
      <c r="B4477" t="n">
        <v>1.12613180271151</v>
      </c>
      <c r="C4477" t="n">
        <v>3.559709977495746</v>
      </c>
      <c r="D4477" t="n">
        <v>1.76965344251462</v>
      </c>
      <c r="E4477" t="n">
        <v>1.441084252125964</v>
      </c>
    </row>
    <row r="4478">
      <c r="A4478" t="inlineStr">
        <is>
          <t>S|FICO x ASSET_CLASS · SYS_FLAG Y vs N|gco_rate|p|3</t>
        </is>
      </c>
      <c r="B4478" t="n">
        <v>0.8527568295801998</v>
      </c>
      <c r="C4478" t="n">
        <v>0.120987901209879</v>
      </c>
      <c r="D4478" t="n">
        <v>0.4366836043668361</v>
      </c>
      <c r="E4478" t="n">
        <v>0.525947405259474</v>
      </c>
    </row>
    <row r="4479">
      <c r="A4479" t="inlineStr">
        <is>
          <t>S|FICO x ASSET_CLASS · SYS_FLAG Y vs N|gco_rate|se|3</t>
        </is>
      </c>
      <c r="B4479" t="n">
        <v>0.004128493158326457</v>
      </c>
      <c r="C4479" t="n">
        <v>0.006234219532497701</v>
      </c>
      <c r="D4479" t="n">
        <v>0.007767094820040968</v>
      </c>
      <c r="E4479" t="n">
        <v>0.006516460188733286</v>
      </c>
    </row>
    <row r="4480">
      <c r="A4480" t="inlineStr">
        <is>
          <t>S|FICO x ASSET_CLASS · SYS_FLAG Y vs N|gco_rate|v|4</t>
        </is>
      </c>
      <c r="B4480" t="n">
        <v>1.641663811784713</v>
      </c>
      <c r="C4480" t="n">
        <v>1.242699766953478</v>
      </c>
      <c r="D4480" t="n">
        <v>1.630384765157756</v>
      </c>
      <c r="E4480" t="n">
        <v>2.483765643194167</v>
      </c>
    </row>
    <row r="4481">
      <c r="A4481" t="inlineStr">
        <is>
          <t>S|FICO x ASSET_CLASS · SYS_FLAG Y vs N|gco_rate|p|4</t>
        </is>
      </c>
      <c r="B4481" t="n">
        <v>0.569068093190681</v>
      </c>
      <c r="C4481" t="n">
        <v>0.80344906685802</v>
      </c>
      <c r="D4481" t="n">
        <v>0.525947405259474</v>
      </c>
      <c r="E4481" t="n">
        <v>0.120987901209879</v>
      </c>
    </row>
    <row r="4482">
      <c r="A4482" t="inlineStr">
        <is>
          <t>S|FICO x ASSET_CLASS · SYS_FLAG Y vs N|gco_rate|se|4</t>
        </is>
      </c>
      <c r="B4482" t="n">
        <v>0.006224922664585269</v>
      </c>
      <c r="C4482" t="n">
        <v>0.005474520922131267</v>
      </c>
      <c r="D4482" t="n">
        <v>0.006516460188733286</v>
      </c>
      <c r="E4482" t="n">
        <v>0.006234219532497701</v>
      </c>
    </row>
    <row r="4483">
      <c r="A4483" t="inlineStr">
        <is>
          <t>S|FICO x ASSET_CLASS · SYS_FLAG Y vs N|gco_rate|v|5</t>
        </is>
      </c>
      <c r="B4483" t="n">
        <v>1.987295534765798</v>
      </c>
      <c r="C4483" t="n">
        <v>1.597542235215553</v>
      </c>
      <c r="D4483" t="n">
        <v>2.242268940435411</v>
      </c>
      <c r="E4483" t="n">
        <v>1.232584378701093</v>
      </c>
    </row>
    <row r="4484">
      <c r="A4484" t="inlineStr">
        <is>
          <t>S|FICO x ASSET_CLASS · SYS_FLAG Y vs N|gco_rate|p|5</t>
        </is>
      </c>
      <c r="B4484" t="n">
        <v>0.4366836043668361</v>
      </c>
      <c r="C4484" t="n">
        <v>0.525947405259474</v>
      </c>
      <c r="D4484" t="n">
        <v>0.3721850037218501</v>
      </c>
      <c r="E4484" t="n">
        <v>0.819140308191403</v>
      </c>
    </row>
    <row r="4485">
      <c r="A4485" t="inlineStr">
        <is>
          <t>S|FICO x ASSET_CLASS · SYS_FLAG Y vs N|gco_rate|se|5</t>
        </is>
      </c>
      <c r="B4485" t="n">
        <v>0.007767094820040968</v>
      </c>
      <c r="C4485" t="n">
        <v>0.006516460188733286</v>
      </c>
      <c r="D4485" t="n">
        <v>0.008297928109191607</v>
      </c>
      <c r="E4485" t="n">
        <v>0.004890450423903109</v>
      </c>
    </row>
    <row r="4486">
      <c r="A4486" t="inlineStr">
        <is>
          <t>S|FICO x ASSET_CLASS · SYS_FLAG Y vs N|gco_rate|v|6</t>
        </is>
      </c>
    </row>
    <row r="4487">
      <c r="A4487" t="inlineStr">
        <is>
          <t>S|FICO x ASSET_CLASS · SYS_FLAG Y vs N|gco_rate|p|6</t>
        </is>
      </c>
    </row>
    <row r="4488">
      <c r="A4488" t="inlineStr">
        <is>
          <t>S|FICO x ASSET_CLASS · SYS_FLAG Y vs N|gco_rate|se|6</t>
        </is>
      </c>
    </row>
    <row r="4489">
      <c r="A4489" t="inlineStr">
        <is>
          <t>S|FICO x ASSET_CLASS · SYS_FLAG Y vs N|gco_rate|v|7</t>
        </is>
      </c>
    </row>
    <row r="4490">
      <c r="A4490" t="inlineStr">
        <is>
          <t>S|FICO x ASSET_CLASS · SYS_FLAG Y vs N|gco_rate|p|7</t>
        </is>
      </c>
    </row>
    <row r="4491">
      <c r="A4491" t="inlineStr">
        <is>
          <t>S|FICO x ASSET_CLASS · SYS_FLAG Y vs N|gco_rate|se|7</t>
        </is>
      </c>
    </row>
    <row r="4492">
      <c r="A4492" t="inlineStr">
        <is>
          <t>S|FICO x ASSET_CLASS · SYS_FLAG Y vs N|sum|4</t>
        </is>
      </c>
      <c r="B4492" t="inlineStr">
        <is>
          <t>Kept after losses</t>
        </is>
      </c>
      <c r="C4492" t="n">
        <v>20</v>
      </c>
      <c r="D4492" t="inlineStr">
        <is>
          <t>19 of 20</t>
        </is>
      </c>
      <c r="E4492" t="n">
        <v>-2.693494819205148</v>
      </c>
      <c r="F4492" t="n">
        <v>0.454346498019233</v>
      </c>
      <c r="G4492" t="inlineStr">
        <is>
          <t>pts</t>
        </is>
      </c>
      <c r="H4492" t="n">
        <v>9.999000099990002e-05</v>
      </c>
      <c r="L4492" t="inlineStr">
        <is>
          <t>not tested: dollar rate</t>
        </is>
      </c>
      <c r="P4492" t="n">
        <v>9.999000099990002e-05</v>
      </c>
    </row>
    <row r="4493">
      <c r="A4493" t="inlineStr">
        <is>
          <t>S|FICO x ASSET_CLASS · SYS_FLAG Y vs N|ranr_rate|meta</t>
        </is>
      </c>
      <c r="B4493" t="inlineStr">
        <is>
          <t>pts</t>
        </is>
      </c>
      <c r="C4493" t="n">
        <v>6.938756603</v>
      </c>
    </row>
    <row r="4494">
      <c r="A4494" t="inlineStr">
        <is>
          <t>S|FICO x ASSET_CLASS · SYS_FLAG Y vs N|ranr_rate|v|1</t>
        </is>
      </c>
      <c r="B4494" t="n">
        <v>-6.938756603</v>
      </c>
      <c r="C4494" t="n">
        <v>-1.940713507</v>
      </c>
      <c r="D4494" t="n">
        <v>-2.821562314</v>
      </c>
      <c r="E4494" t="n">
        <v>-5.824154104</v>
      </c>
    </row>
    <row r="4495">
      <c r="A4495" t="inlineStr">
        <is>
          <t>S|FICO x ASSET_CLASS · SYS_FLAG Y vs N|ranr_rate|p|1</t>
        </is>
      </c>
      <c r="B4495" t="n">
        <v>0.088657800886578</v>
      </c>
      <c r="C4495" t="n">
        <v>0.5601939806019398</v>
      </c>
      <c r="D4495" t="n">
        <v>0.4438222844382229</v>
      </c>
      <c r="E4495" t="n">
        <v>0.205979402059794</v>
      </c>
    </row>
    <row r="4496">
      <c r="A4496" t="inlineStr">
        <is>
          <t>S|FICO x ASSET_CLASS · SYS_FLAG Y vs N|ranr_rate|se|1</t>
        </is>
      </c>
      <c r="B4496" t="n">
        <v>0.007636699550541948</v>
      </c>
      <c r="C4496" t="n">
        <v>0.006216310640965251</v>
      </c>
      <c r="D4496" t="n">
        <v>0.006283190477406107</v>
      </c>
      <c r="E4496" t="n">
        <v>0.00884019283820362</v>
      </c>
    </row>
    <row r="4497">
      <c r="A4497" t="inlineStr">
        <is>
          <t>S|FICO x ASSET_CLASS · SYS_FLAG Y vs N|ranr_rate|v|2</t>
        </is>
      </c>
      <c r="B4497" t="n">
        <v>-1.11043173</v>
      </c>
      <c r="C4497" t="n">
        <v>-5.203768471</v>
      </c>
      <c r="D4497" t="n">
        <v>-4.309471109</v>
      </c>
      <c r="E4497" t="n">
        <v>-4.861494885</v>
      </c>
    </row>
    <row r="4498">
      <c r="A4498" t="inlineStr">
        <is>
          <t>S|FICO x ASSET_CLASS · SYS_FLAG Y vs N|ranr_rate|p|2</t>
        </is>
      </c>
      <c r="B4498" t="n">
        <v>0.6504055476805261</v>
      </c>
      <c r="C4498" t="n">
        <v>0.088657800886578</v>
      </c>
      <c r="D4498" t="n">
        <v>0.208312502083125</v>
      </c>
      <c r="E4498" t="n">
        <v>0.1604839516048395</v>
      </c>
    </row>
    <row r="4499">
      <c r="A4499" t="inlineStr">
        <is>
          <t>S|FICO x ASSET_CLASS · SYS_FLAG Y vs N|ranr_rate|se|2</t>
        </is>
      </c>
      <c r="B4499" t="n">
        <v>0.005849406985478118</v>
      </c>
      <c r="C4499" t="n">
        <v>0.007636699550541948</v>
      </c>
      <c r="D4499" t="n">
        <v>0.008068338790727729</v>
      </c>
      <c r="E4499" t="n">
        <v>0.00881285798876558</v>
      </c>
    </row>
    <row r="4500">
      <c r="A4500" t="inlineStr">
        <is>
          <t>S|FICO x ASSET_CLASS · SYS_FLAG Y vs N|ranr_rate|v|3</t>
        </is>
      </c>
      <c r="B4500" t="n">
        <v>-0.419122112</v>
      </c>
      <c r="C4500" t="n">
        <v>-4.576500326</v>
      </c>
      <c r="D4500" t="n">
        <v>-2.295795292</v>
      </c>
      <c r="E4500" t="n">
        <v>-2.890120831</v>
      </c>
    </row>
    <row r="4501">
      <c r="A4501" t="inlineStr">
        <is>
          <t>S|FICO x ASSET_CLASS · SYS_FLAG Y vs N|ranr_rate|p|3</t>
        </is>
      </c>
      <c r="B4501" t="n">
        <v>0.845915408459154</v>
      </c>
      <c r="C4501" t="n">
        <v>0.02199780021997801</v>
      </c>
      <c r="D4501" t="n">
        <v>0.3551311535513115</v>
      </c>
      <c r="E4501" t="n">
        <v>0.3465367748939391</v>
      </c>
    </row>
    <row r="4502">
      <c r="A4502" t="inlineStr">
        <is>
          <t>S|FICO x ASSET_CLASS · SYS_FLAG Y vs N|ranr_rate|se|3</t>
        </is>
      </c>
      <c r="B4502" t="n">
        <v>0.003610298189769601</v>
      </c>
      <c r="C4502" t="n">
        <v>0.006629269199429467</v>
      </c>
      <c r="D4502" t="n">
        <v>0.006824713325086757</v>
      </c>
      <c r="E4502" t="n">
        <v>0.009327471976755802</v>
      </c>
    </row>
    <row r="4503">
      <c r="A4503" t="inlineStr">
        <is>
          <t>S|FICO x ASSET_CLASS · SYS_FLAG Y vs N|ranr_rate|v|4</t>
        </is>
      </c>
      <c r="B4503" t="n">
        <v>-1.946539963</v>
      </c>
      <c r="C4503" t="n">
        <v>0.623407849</v>
      </c>
      <c r="D4503" t="n">
        <v>-1.891673986</v>
      </c>
      <c r="E4503" t="n">
        <v>-2.410761252</v>
      </c>
    </row>
    <row r="4504">
      <c r="A4504" t="inlineStr">
        <is>
          <t>S|FICO x ASSET_CLASS · SYS_FLAG Y vs N|ranr_rate|p|4</t>
        </is>
      </c>
      <c r="B4504" t="n">
        <v>0.3826760181124745</v>
      </c>
      <c r="C4504" t="n">
        <v>0.7812552078125521</v>
      </c>
      <c r="D4504" t="n">
        <v>0.3551311535513115</v>
      </c>
      <c r="E4504" t="n">
        <v>0.3551311535513115</v>
      </c>
    </row>
    <row r="4505">
      <c r="A4505" t="inlineStr">
        <is>
          <t>S|FICO x ASSET_CLASS · SYS_FLAG Y vs N|ranr_rate|se|4</t>
        </is>
      </c>
      <c r="B4505" t="n">
        <v>0.006326445218576895</v>
      </c>
      <c r="C4505" t="n">
        <v>0.00507643223415533</v>
      </c>
      <c r="D4505" t="n">
        <v>0.006824713325086757</v>
      </c>
      <c r="E4505" t="n">
        <v>0.006824713325086757</v>
      </c>
    </row>
    <row r="4506">
      <c r="A4506" t="inlineStr">
        <is>
          <t>S|FICO x ASSET_CLASS · SYS_FLAG Y vs N|ranr_rate|v|5</t>
        </is>
      </c>
      <c r="B4506" t="n">
        <v>-1.511163527</v>
      </c>
      <c r="C4506" t="n">
        <v>-1.63820911</v>
      </c>
      <c r="D4506" t="n">
        <v>-1.309549832</v>
      </c>
      <c r="E4506" t="n">
        <v>-0.357416268</v>
      </c>
    </row>
    <row r="4507">
      <c r="A4507" t="inlineStr">
        <is>
          <t>S|FICO x ASSET_CLASS · SYS_FLAG Y vs N|ranr_rate|p|5</t>
        </is>
      </c>
      <c r="B4507" t="n">
        <v>0.3551311535513115</v>
      </c>
      <c r="C4507" t="n">
        <v>0.3755009114473168</v>
      </c>
      <c r="D4507" t="n">
        <v>0.3551311535513115</v>
      </c>
      <c r="E4507" t="n">
        <v>0.7883422184097381</v>
      </c>
    </row>
    <row r="4508">
      <c r="A4508" t="inlineStr">
        <is>
          <t>S|FICO x ASSET_CLASS · SYS_FLAG Y vs N|ranr_rate|se|5</t>
        </is>
      </c>
      <c r="B4508" t="n">
        <v>0.006824713325086757</v>
      </c>
      <c r="C4508" t="n">
        <v>0.006608273416113948</v>
      </c>
      <c r="D4508" t="n">
        <v>0.006824713325086757</v>
      </c>
      <c r="E4508" t="n">
        <v>0.004564542263889411</v>
      </c>
    </row>
    <row r="4509">
      <c r="A4509" t="inlineStr">
        <is>
          <t>S|FICO x ASSET_CLASS · SYS_FLAG Y vs N|ranr_rate|v|6</t>
        </is>
      </c>
    </row>
    <row r="4510">
      <c r="A4510" t="inlineStr">
        <is>
          <t>S|FICO x ASSET_CLASS · SYS_FLAG Y vs N|ranr_rate|p|6</t>
        </is>
      </c>
    </row>
    <row r="4511">
      <c r="A4511" t="inlineStr">
        <is>
          <t>S|FICO x ASSET_CLASS · SYS_FLAG Y vs N|ranr_rate|se|6</t>
        </is>
      </c>
    </row>
    <row r="4512">
      <c r="A4512" t="inlineStr">
        <is>
          <t>S|FICO x ASSET_CLASS · SYS_FLAG Y vs N|ranr_rate|v|7</t>
        </is>
      </c>
    </row>
    <row r="4513">
      <c r="A4513" t="inlineStr">
        <is>
          <t>S|FICO x ASSET_CLASS · SYS_FLAG Y vs N|ranr_rate|p|7</t>
        </is>
      </c>
    </row>
    <row r="4514">
      <c r="A4514" t="inlineStr">
        <is>
          <t>S|FICO x ASSET_CLASS · SYS_FLAG Y vs N|ranr_rate|se|7</t>
        </is>
      </c>
    </row>
    <row r="4515">
      <c r="A4515" t="inlineStr">
        <is>
          <t>S|FICO x ASSET_CLASS · SYS_FLAG Y vs N|sum|5</t>
        </is>
      </c>
      <c r="B4515" t="inlineStr">
        <is>
          <t>Earned before losses</t>
        </is>
      </c>
      <c r="C4515" t="n">
        <v>20</v>
      </c>
      <c r="D4515" t="inlineStr">
        <is>
          <t>14 of 20</t>
        </is>
      </c>
      <c r="E4515" t="n">
        <v>-0.3094541727154838</v>
      </c>
      <c r="F4515" t="n">
        <v>0.2460760392831994</v>
      </c>
      <c r="G4515" t="inlineStr">
        <is>
          <t>pts</t>
        </is>
      </c>
      <c r="H4515" t="n">
        <v>0.2164783521647835</v>
      </c>
      <c r="L4515" t="inlineStr">
        <is>
          <t>not tested: dollar rate</t>
        </is>
      </c>
      <c r="P4515" t="n">
        <v>0.004118439937753172</v>
      </c>
    </row>
    <row r="4516">
      <c r="A4516" t="inlineStr">
        <is>
          <t>S|FICO x ASSET_CLASS · SYS_FLAG Y vs N|contribution_rate|meta</t>
        </is>
      </c>
      <c r="B4516" t="inlineStr">
        <is>
          <t>pts</t>
        </is>
      </c>
      <c r="C4516" t="n">
        <v>2.623507039</v>
      </c>
    </row>
    <row r="4517">
      <c r="A4517" t="inlineStr">
        <is>
          <t>S|FICO x ASSET_CLASS · SYS_FLAG Y vs N|contribution_rate|v|1</t>
        </is>
      </c>
      <c r="B4517" t="n">
        <v>-0.06581229099999999</v>
      </c>
      <c r="C4517" t="n">
        <v>-1.602810584</v>
      </c>
      <c r="D4517" t="n">
        <v>1.38832842</v>
      </c>
      <c r="E4517" t="n">
        <v>-0.470343725</v>
      </c>
    </row>
    <row r="4518">
      <c r="A4518" t="inlineStr">
        <is>
          <t>S|FICO x ASSET_CLASS · SYS_FLAG Y vs N|contribution_rate|p|1</t>
        </is>
      </c>
      <c r="B4518" t="n">
        <v>0.9988001199880012</v>
      </c>
      <c r="C4518" t="n">
        <v>0.7703674077036742</v>
      </c>
      <c r="D4518" t="n">
        <v>0.7839216078392162</v>
      </c>
      <c r="E4518" t="n">
        <v>0.9732776722327767</v>
      </c>
    </row>
    <row r="4519">
      <c r="A4519" t="inlineStr">
        <is>
          <t>S|FICO x ASSET_CLASS · SYS_FLAG Y vs N|contribution_rate|se|1</t>
        </is>
      </c>
      <c r="B4519" t="n">
        <v>0.0003461849650050654</v>
      </c>
      <c r="C4519" t="n">
        <v>0.01057573463085545</v>
      </c>
      <c r="D4519" t="n">
        <v>0.009004326332468733</v>
      </c>
      <c r="E4519" t="n">
        <v>0.00518967882459135</v>
      </c>
    </row>
    <row r="4520">
      <c r="A4520" t="inlineStr">
        <is>
          <t>S|FICO x ASSET_CLASS · SYS_FLAG Y vs N|contribution_rate|v|2</t>
        </is>
      </c>
      <c r="B4520" t="n">
        <v>1.959430337</v>
      </c>
      <c r="C4520" t="n">
        <v>-0.788765971</v>
      </c>
      <c r="D4520" t="n">
        <v>-2.623507039</v>
      </c>
      <c r="E4520" t="n">
        <v>-0.379186545</v>
      </c>
    </row>
    <row r="4521">
      <c r="A4521" t="inlineStr">
        <is>
          <t>S|FICO x ASSET_CLASS · SYS_FLAG Y vs N|contribution_rate|p|2</t>
        </is>
      </c>
      <c r="B4521" t="n">
        <v>0.4350993472081363</v>
      </c>
      <c r="C4521" t="n">
        <v>0.8554529162468368</v>
      </c>
      <c r="D4521" t="n">
        <v>0.334966503349665</v>
      </c>
      <c r="E4521" t="n">
        <v>0.9732776722327767</v>
      </c>
    </row>
    <row r="4522">
      <c r="A4522" t="inlineStr">
        <is>
          <t>S|FICO x ASSET_CLASS · SYS_FLAG Y vs N|contribution_rate|se|2</t>
        </is>
      </c>
      <c r="B4522" t="n">
        <v>0.01026562004986693</v>
      </c>
      <c r="C4522" t="n">
        <v>0.007643832269845412</v>
      </c>
      <c r="D4522" t="n">
        <v>0.01799294993915769</v>
      </c>
      <c r="E4522" t="n">
        <v>0.00518967882459135</v>
      </c>
    </row>
    <row r="4523">
      <c r="A4523" t="inlineStr">
        <is>
          <t>S|FICO x ASSET_CLASS · SYS_FLAG Y vs N|contribution_rate|v|3</t>
        </is>
      </c>
      <c r="B4523" t="n">
        <v>-0.002674284</v>
      </c>
      <c r="C4523" t="n">
        <v>-2.366935839</v>
      </c>
      <c r="D4523" t="n">
        <v>-0.391704516</v>
      </c>
      <c r="E4523" t="n">
        <v>-1.485488777</v>
      </c>
    </row>
    <row r="4524">
      <c r="A4524" t="inlineStr">
        <is>
          <t>S|FICO x ASSET_CLASS · SYS_FLAG Y vs N|contribution_rate|p|3</t>
        </is>
      </c>
      <c r="B4524" t="n">
        <v>0.9988001199880012</v>
      </c>
      <c r="C4524" t="n">
        <v>0.334966503349665</v>
      </c>
      <c r="D4524" t="n">
        <v>0.9719028097190281</v>
      </c>
      <c r="E4524" t="n">
        <v>0.4350993472081363</v>
      </c>
    </row>
    <row r="4525">
      <c r="A4525" t="inlineStr">
        <is>
          <t>S|FICO x ASSET_CLASS · SYS_FLAG Y vs N|contribution_rate|se|3</t>
        </is>
      </c>
      <c r="B4525" t="n">
        <v>0.0003461849650050654</v>
      </c>
      <c r="C4525" t="n">
        <v>0.01799294993915769</v>
      </c>
      <c r="D4525" t="n">
        <v>0.006662113131530836</v>
      </c>
      <c r="E4525" t="n">
        <v>0.01026562004986693</v>
      </c>
    </row>
    <row r="4526">
      <c r="A4526" t="inlineStr">
        <is>
          <t>S|FICO x ASSET_CLASS · SYS_FLAG Y vs N|contribution_rate|v|4</t>
        </is>
      </c>
      <c r="B4526" t="n">
        <v>-0.709494377</v>
      </c>
      <c r="C4526" t="n">
        <v>1.198373257</v>
      </c>
      <c r="D4526" t="n">
        <v>-0.734346229</v>
      </c>
      <c r="E4526" t="n">
        <v>1.546234463</v>
      </c>
    </row>
    <row r="4527">
      <c r="A4527" t="inlineStr">
        <is>
          <t>S|FICO x ASSET_CLASS · SYS_FLAG Y vs N|contribution_rate|p|4</t>
        </is>
      </c>
      <c r="B4527" t="n">
        <v>0.7839216078392162</v>
      </c>
      <c r="C4527" t="n">
        <v>0.4350993472081363</v>
      </c>
      <c r="D4527" t="n">
        <v>0.7703674077036742</v>
      </c>
      <c r="E4527" t="n">
        <v>0.368629803686298</v>
      </c>
    </row>
    <row r="4528">
      <c r="A4528" t="inlineStr">
        <is>
          <t>S|FICO x ASSET_CLASS · SYS_FLAG Y vs N|contribution_rate|se|4</t>
        </is>
      </c>
      <c r="B4528" t="n">
        <v>0.009004326332468733</v>
      </c>
      <c r="C4528" t="n">
        <v>0.01026562004986693</v>
      </c>
      <c r="D4528" t="n">
        <v>0.01057573463085545</v>
      </c>
      <c r="E4528" t="n">
        <v>0.01523694225364631</v>
      </c>
    </row>
    <row r="4529">
      <c r="A4529" t="inlineStr">
        <is>
          <t>S|FICO x ASSET_CLASS · SYS_FLAG Y vs N|contribution_rate|v|5</t>
        </is>
      </c>
      <c r="B4529" t="n">
        <v>-0.248829577</v>
      </c>
      <c r="C4529" t="n">
        <v>-0.504454667</v>
      </c>
      <c r="D4529" t="n">
        <v>0.039837777</v>
      </c>
      <c r="E4529" t="n">
        <v>0.018692776</v>
      </c>
    </row>
    <row r="4530">
      <c r="A4530" t="inlineStr">
        <is>
          <t>S|FICO x ASSET_CLASS · SYS_FLAG Y vs N|contribution_rate|p|5</t>
        </is>
      </c>
      <c r="B4530" t="n">
        <v>0.8120854581208546</v>
      </c>
      <c r="C4530" t="n">
        <v>0.4350993472081363</v>
      </c>
      <c r="D4530" t="n">
        <v>0.9988001199880012</v>
      </c>
      <c r="E4530" t="n">
        <v>0.9988001199880012</v>
      </c>
    </row>
    <row r="4531">
      <c r="A4531" t="inlineStr">
        <is>
          <t>S|FICO x ASSET_CLASS · SYS_FLAG Y vs N|contribution_rate|se|5</t>
        </is>
      </c>
      <c r="B4531" t="n">
        <v>0.008330624059717252</v>
      </c>
      <c r="C4531" t="n">
        <v>0.01026562004986693</v>
      </c>
      <c r="D4531" t="n">
        <v>0.0003461849650050654</v>
      </c>
      <c r="E4531" t="n">
        <v>0.0003461849650050654</v>
      </c>
    </row>
    <row r="4532">
      <c r="A4532" t="inlineStr">
        <is>
          <t>S|FICO x ASSET_CLASS · SYS_FLAG Y vs N|contribution_rate|v|6</t>
        </is>
      </c>
    </row>
    <row r="4533">
      <c r="A4533" t="inlineStr">
        <is>
          <t>S|FICO x ASSET_CLASS · SYS_FLAG Y vs N|contribution_rate|p|6</t>
        </is>
      </c>
    </row>
    <row r="4534">
      <c r="A4534" t="inlineStr">
        <is>
          <t>S|FICO x ASSET_CLASS · SYS_FLAG Y vs N|contribution_rate|se|6</t>
        </is>
      </c>
    </row>
    <row r="4535">
      <c r="A4535" t="inlineStr">
        <is>
          <t>S|FICO x ASSET_CLASS · SYS_FLAG Y vs N|contribution_rate|v|7</t>
        </is>
      </c>
    </row>
    <row r="4536">
      <c r="A4536" t="inlineStr">
        <is>
          <t>S|FICO x ASSET_CLASS · SYS_FLAG Y vs N|contribution_rate|p|7</t>
        </is>
      </c>
    </row>
    <row r="4537">
      <c r="A4537" t="inlineStr">
        <is>
          <t>S|FICO x ASSET_CLASS · SYS_FLAG Y vs N|contribution_rate|se|7</t>
        </is>
      </c>
    </row>
    <row r="4538">
      <c r="A4538" t="inlineStr">
        <is>
          <t>S|ORIG_BAL x CHANNEL · SYS_FLAG N vs Y|chip</t>
        </is>
      </c>
    </row>
    <row r="4539">
      <c r="A4539" t="inlineStr">
        <is>
          <t>S|ORIG_BAL x CHANNEL · SYS_FLAG N vs Y|rows</t>
        </is>
      </c>
      <c r="B4539" t="inlineStr">
        <is>
          <t>5,005 - 15,448</t>
        </is>
      </c>
      <c r="C4539" t="inlineStr">
        <is>
          <t>15,449 - 26,323</t>
        </is>
      </c>
      <c r="D4539" t="inlineStr">
        <is>
          <t>26,324 - 37,950</t>
        </is>
      </c>
      <c r="E4539" t="inlineStr">
        <is>
          <t>37,951 - 49,151</t>
        </is>
      </c>
      <c r="F4539" t="inlineStr">
        <is>
          <t>49,152 - 59,984</t>
        </is>
      </c>
      <c r="G4539" t="inlineStr">
        <is>
          <t>(blank)</t>
        </is>
      </c>
    </row>
    <row r="4540">
      <c r="A4540" t="inlineStr">
        <is>
          <t>S|ORIG_BAL x CHANNEL · SYS_FLAG N vs Y|cols</t>
        </is>
      </c>
      <c r="B4540" t="inlineStr">
        <is>
          <t>Branch</t>
        </is>
      </c>
      <c r="C4540" t="inlineStr">
        <is>
          <t>Broker</t>
        </is>
      </c>
      <c r="D4540" t="inlineStr">
        <is>
          <t>Online</t>
        </is>
      </c>
    </row>
    <row r="4541">
      <c r="A4541" t="inlineStr">
        <is>
          <t>S|ORIG_BAL x CHANNEL · SYS_FLAG N vs Y|sum|1</t>
        </is>
      </c>
      <c r="B4541" t="inlineStr">
        <is>
          <t>Bad loans</t>
        </is>
      </c>
      <c r="C4541" t="n">
        <v>15</v>
      </c>
      <c r="D4541" t="inlineStr">
        <is>
          <t>2 of 15</t>
        </is>
      </c>
      <c r="E4541" t="n">
        <v>0.5713014453531249</v>
      </c>
      <c r="F4541" t="n">
        <v>0.06106388636827022</v>
      </c>
      <c r="G4541" t="inlineStr">
        <is>
          <t>x</t>
        </is>
      </c>
      <c r="H4541" t="n">
        <v>2.210875720935313e-12</v>
      </c>
      <c r="I4541" t="n">
        <v>0.5447160387845478</v>
      </c>
      <c r="J4541" t="n">
        <v>5.557919212743171e-13</v>
      </c>
      <c r="K4541" t="n">
        <v>0.01573428043015973</v>
      </c>
      <c r="M4541" t="n">
        <v>5.557919212743187e-13</v>
      </c>
      <c r="N4541" t="n">
        <v>1</v>
      </c>
      <c r="O4541" t="n">
        <v>15</v>
      </c>
    </row>
    <row r="4542">
      <c r="A4542" t="inlineStr">
        <is>
          <t>S|ORIG_BAL x CHANNEL · SYS_FLAG N vs Y|outcome_loans|meta</t>
        </is>
      </c>
      <c r="B4542" t="inlineStr">
        <is>
          <t>x</t>
        </is>
      </c>
      <c r="C4542" t="n">
        <v>1.077715757835981</v>
      </c>
    </row>
    <row r="4543">
      <c r="A4543" t="inlineStr">
        <is>
          <t>S|ORIG_BAL x CHANNEL · SYS_FLAG N vs Y|outcome_loans|v|1</t>
        </is>
      </c>
      <c r="B4543" t="n">
        <v>0.7561830933923958</v>
      </c>
      <c r="C4543" t="n">
        <v>0.5594279366842543</v>
      </c>
      <c r="D4543" t="n">
        <v>0.4865184484389782</v>
      </c>
    </row>
    <row r="4544">
      <c r="A4544" t="inlineStr">
        <is>
          <t>S|ORIG_BAL x CHANNEL · SYS_FLAG N vs Y|outcome_loans|p|1</t>
        </is>
      </c>
      <c r="B4544" t="n">
        <v>0.4903858355695458</v>
      </c>
      <c r="C4544" t="n">
        <v>0.1039569902959033</v>
      </c>
      <c r="D4544" t="n">
        <v>0.03105762260068567</v>
      </c>
    </row>
    <row r="4545">
      <c r="A4545" t="inlineStr">
        <is>
          <t>S|ORIG_BAL x CHANNEL · SYS_FLAG N vs Y|outcome_loans|se|1</t>
        </is>
      </c>
    </row>
    <row r="4546">
      <c r="A4546" t="inlineStr">
        <is>
          <t>S|ORIG_BAL x CHANNEL · SYS_FLAG N vs Y|outcome_loans|v|2</t>
        </is>
      </c>
      <c r="B4546" t="n">
        <v>1.077715757835981</v>
      </c>
      <c r="C4546" t="n">
        <v>0.6662116040955632</v>
      </c>
      <c r="D4546" t="n">
        <v>1.057777777777778</v>
      </c>
    </row>
    <row r="4547">
      <c r="A4547" t="inlineStr">
        <is>
          <t>S|ORIG_BAL x CHANNEL · SYS_FLAG N vs Y|outcome_loans|p|2</t>
        </is>
      </c>
      <c r="B4547" t="n">
        <v>0.8382577473142603</v>
      </c>
      <c r="C4547" t="n">
        <v>0.1612982155620388</v>
      </c>
      <c r="D4547" t="n">
        <v>0.8382577473142603</v>
      </c>
    </row>
    <row r="4548">
      <c r="A4548" t="inlineStr">
        <is>
          <t>S|ORIG_BAL x CHANNEL · SYS_FLAG N vs Y|outcome_loans|se|2</t>
        </is>
      </c>
    </row>
    <row r="4549">
      <c r="A4549" t="inlineStr">
        <is>
          <t>S|ORIG_BAL x CHANNEL · SYS_FLAG N vs Y|outcome_loans|v|3</t>
        </is>
      </c>
      <c r="B4549" t="n">
        <v>0.6188424798651433</v>
      </c>
      <c r="C4549" t="n">
        <v>0.7743950039032007</v>
      </c>
      <c r="D4549" t="n">
        <v>0.3888888888888889</v>
      </c>
    </row>
    <row r="4550">
      <c r="A4550" t="inlineStr">
        <is>
          <t>S|ORIG_BAL x CHANNEL · SYS_FLAG N vs Y|outcome_loans|p|3</t>
        </is>
      </c>
      <c r="B4550" t="n">
        <v>0.2326516302451457</v>
      </c>
      <c r="C4550" t="n">
        <v>0.4903858355695458</v>
      </c>
      <c r="D4550" t="n">
        <v>0.01226150619792516</v>
      </c>
    </row>
    <row r="4551">
      <c r="A4551" t="inlineStr">
        <is>
          <t>S|ORIG_BAL x CHANNEL · SYS_FLAG N vs Y|outcome_loans|se|3</t>
        </is>
      </c>
    </row>
    <row r="4552">
      <c r="A4552" t="inlineStr">
        <is>
          <t>S|ORIG_BAL x CHANNEL · SYS_FLAG N vs Y|outcome_loans|v|4</t>
        </is>
      </c>
      <c r="B4552" t="n">
        <v>0.789235493777275</v>
      </c>
      <c r="C4552" t="n">
        <v>0.3531914893617021</v>
      </c>
      <c r="D4552" t="n">
        <v>0.2663311313830345</v>
      </c>
    </row>
    <row r="4553">
      <c r="A4553" t="inlineStr">
        <is>
          <t>S|ORIG_BAL x CHANNEL · SYS_FLAG N vs Y|outcome_loans|p|4</t>
        </is>
      </c>
      <c r="B4553" t="n">
        <v>0.4903858355695458</v>
      </c>
      <c r="C4553" t="n">
        <v>0.002275429021917355</v>
      </c>
      <c r="D4553" t="n">
        <v>0.0006086177613070279</v>
      </c>
    </row>
    <row r="4554">
      <c r="A4554" t="inlineStr">
        <is>
          <t>S|ORIG_BAL x CHANNEL · SYS_FLAG N vs Y|outcome_loans|se|4</t>
        </is>
      </c>
    </row>
    <row r="4555">
      <c r="A4555" t="inlineStr">
        <is>
          <t>S|ORIG_BAL x CHANNEL · SYS_FLAG N vs Y|outcome_loans|v|5</t>
        </is>
      </c>
      <c r="B4555" t="n">
        <v>0.2172241445597847</v>
      </c>
      <c r="C4555" t="n">
        <v>0.6615827338129496</v>
      </c>
      <c r="D4555" t="n">
        <v>0.3138602520045819</v>
      </c>
    </row>
    <row r="4556">
      <c r="A4556" t="inlineStr">
        <is>
          <t>S|ORIG_BAL x CHANNEL · SYS_FLAG N vs Y|outcome_loans|p|5</t>
        </is>
      </c>
      <c r="B4556" t="n">
        <v>0.003380609347395555</v>
      </c>
      <c r="C4556" t="n">
        <v>0.2326516302451457</v>
      </c>
      <c r="D4556" t="n">
        <v>0.003777627981855522</v>
      </c>
    </row>
    <row r="4557">
      <c r="A4557" t="inlineStr">
        <is>
          <t>S|ORIG_BAL x CHANNEL · SYS_FLAG N vs Y|outcome_loans|se|5</t>
        </is>
      </c>
    </row>
    <row r="4558">
      <c r="A4558" t="inlineStr">
        <is>
          <t>S|ORIG_BAL x CHANNEL · SYS_FLAG N vs Y|outcome_loans|v|6</t>
        </is>
      </c>
    </row>
    <row r="4559">
      <c r="A4559" t="inlineStr">
        <is>
          <t>S|ORIG_BAL x CHANNEL · SYS_FLAG N vs Y|outcome_loans|p|6</t>
        </is>
      </c>
    </row>
    <row r="4560">
      <c r="A4560" t="inlineStr">
        <is>
          <t>S|ORIG_BAL x CHANNEL · SYS_FLAG N vs Y|outcome_loans|se|6</t>
        </is>
      </c>
    </row>
    <row r="4561">
      <c r="A4561" t="inlineStr">
        <is>
          <t>S|ORIG_BAL x CHANNEL · SYS_FLAG N vs Y|sum|2</t>
        </is>
      </c>
      <c r="B4561" t="inlineStr">
        <is>
          <t>Bad dollars</t>
        </is>
      </c>
      <c r="C4561" t="n">
        <v>15</v>
      </c>
      <c r="D4561" t="inlineStr">
        <is>
          <t>1 of 15</t>
        </is>
      </c>
      <c r="E4561" t="n">
        <v>0.5234601279885992</v>
      </c>
      <c r="F4561" t="n">
        <v>0.06645291917062235</v>
      </c>
      <c r="G4561" t="inlineStr">
        <is>
          <t>x</t>
        </is>
      </c>
      <c r="H4561" t="n">
        <v>9.999000099990002e-05</v>
      </c>
      <c r="L4561" t="inlineStr">
        <is>
          <t>not tested: dollar rate</t>
        </is>
      </c>
      <c r="P4561" t="n">
        <v>9.999000099990002e-05</v>
      </c>
    </row>
    <row r="4562">
      <c r="A4562" t="inlineStr">
        <is>
          <t>S|ORIG_BAL x CHANNEL · SYS_FLAG N vs Y|outcome_booked|meta</t>
        </is>
      </c>
      <c r="B4562" t="inlineStr">
        <is>
          <t>x</t>
        </is>
      </c>
      <c r="C4562" t="n">
        <v>1.042078898268505</v>
      </c>
    </row>
    <row r="4563">
      <c r="A4563" t="inlineStr">
        <is>
          <t>S|ORIG_BAL x CHANNEL · SYS_FLAG N vs Y|outcome_booked|v|1</t>
        </is>
      </c>
      <c r="B4563" t="n">
        <v>0.7249027275416102</v>
      </c>
      <c r="C4563" t="n">
        <v>0.6528230762493802</v>
      </c>
      <c r="D4563" t="n">
        <v>0.4176856511770088</v>
      </c>
    </row>
    <row r="4564">
      <c r="A4564" t="inlineStr">
        <is>
          <t>S|ORIG_BAL x CHANNEL · SYS_FLAG N vs Y|outcome_booked|p|1</t>
        </is>
      </c>
      <c r="B4564" t="n">
        <v>0.4762705547627055</v>
      </c>
      <c r="C4564" t="n">
        <v>0.2791387527913876</v>
      </c>
      <c r="D4564" t="n">
        <v>0.01224877512248775</v>
      </c>
    </row>
    <row r="4565">
      <c r="A4565" t="inlineStr">
        <is>
          <t>S|ORIG_BAL x CHANNEL · SYS_FLAG N vs Y|outcome_booked|se|1</t>
        </is>
      </c>
      <c r="B4565" t="n">
        <v>0.006500970743432968</v>
      </c>
      <c r="C4565" t="n">
        <v>0.006223446081893705</v>
      </c>
      <c r="D4565" t="n">
        <v>0.001745620385829007</v>
      </c>
    </row>
    <row r="4566">
      <c r="A4566" t="inlineStr">
        <is>
          <t>S|ORIG_BAL x CHANNEL · SYS_FLAG N vs Y|outcome_booked|v|2</t>
        </is>
      </c>
      <c r="B4566" t="n">
        <v>0.9679673202965606</v>
      </c>
      <c r="C4566" t="n">
        <v>0.7058549271185955</v>
      </c>
      <c r="D4566" t="n">
        <v>1.042078898268505</v>
      </c>
    </row>
    <row r="4567">
      <c r="A4567" t="inlineStr">
        <is>
          <t>S|ORIG_BAL x CHANNEL · SYS_FLAG N vs Y|outcome_booked|p|2</t>
        </is>
      </c>
      <c r="B4567" t="n">
        <v>0.9272072792720728</v>
      </c>
      <c r="C4567" t="n">
        <v>0.2787846215378462</v>
      </c>
      <c r="D4567" t="n">
        <v>0.9272072792720728</v>
      </c>
    </row>
    <row r="4568">
      <c r="A4568" t="inlineStr">
        <is>
          <t>S|ORIG_BAL x CHANNEL · SYS_FLAG N vs Y|outcome_booked|se|2</t>
        </is>
      </c>
      <c r="B4568" t="n">
        <v>0.002597959594315377</v>
      </c>
      <c r="C4568" t="n">
        <v>0.006670834281987984</v>
      </c>
      <c r="D4568" t="n">
        <v>0.002597959594315377</v>
      </c>
    </row>
    <row r="4569">
      <c r="A4569" t="inlineStr">
        <is>
          <t>S|ORIG_BAL x CHANNEL · SYS_FLAG N vs Y|outcome_booked|v|3</t>
        </is>
      </c>
      <c r="B4569" t="n">
        <v>0.6538206844598439</v>
      </c>
      <c r="C4569" t="n">
        <v>0.790232625435849</v>
      </c>
      <c r="D4569" t="n">
        <v>0.3983526970800206</v>
      </c>
    </row>
    <row r="4570">
      <c r="A4570" t="inlineStr">
        <is>
          <t>S|ORIG_BAL x CHANNEL · SYS_FLAG N vs Y|outcome_booked|p|3</t>
        </is>
      </c>
      <c r="B4570" t="n">
        <v>0.3226177382261773</v>
      </c>
      <c r="C4570" t="n">
        <v>0.5636936306369363</v>
      </c>
      <c r="D4570" t="n">
        <v>0.01224877512248775</v>
      </c>
    </row>
    <row r="4571">
      <c r="A4571" t="inlineStr">
        <is>
          <t>S|ORIG_BAL x CHANNEL · SYS_FLAG N vs Y|outcome_booked|se|3</t>
        </is>
      </c>
      <c r="B4571" t="n">
        <v>0.006163151809919108</v>
      </c>
      <c r="C4571" t="n">
        <v>0.006219859556899333</v>
      </c>
      <c r="D4571" t="n">
        <v>0.001745620385829007</v>
      </c>
    </row>
    <row r="4572">
      <c r="A4572" t="inlineStr">
        <is>
          <t>S|ORIG_BAL x CHANNEL · SYS_FLAG N vs Y|outcome_booked|v|4</t>
        </is>
      </c>
      <c r="B4572" t="n">
        <v>0.8197632111582784</v>
      </c>
      <c r="C4572" t="n">
        <v>0.3767196000853318</v>
      </c>
      <c r="D4572" t="n">
        <v>0.2586364309941553</v>
      </c>
    </row>
    <row r="4573">
      <c r="A4573" t="inlineStr">
        <is>
          <t>S|ORIG_BAL x CHANNEL · SYS_FLAG N vs Y|outcome_booked|p|4</t>
        </is>
      </c>
      <c r="B4573" t="n">
        <v>0.5912870251436394</v>
      </c>
      <c r="C4573" t="n">
        <v>0.0035996400359964</v>
      </c>
      <c r="D4573" t="n">
        <v>0.0014998500149985</v>
      </c>
    </row>
    <row r="4574">
      <c r="A4574" t="inlineStr">
        <is>
          <t>S|ORIG_BAL x CHANNEL · SYS_FLAG N vs Y|outcome_booked|se|4</t>
        </is>
      </c>
      <c r="B4574" t="n">
        <v>0.005767442359295041</v>
      </c>
      <c r="C4574" t="n">
        <v>0.001469179458323239</v>
      </c>
      <c r="D4574" t="n">
        <v>0.0014998500149985</v>
      </c>
    </row>
    <row r="4575">
      <c r="A4575" t="inlineStr">
        <is>
          <t>S|ORIG_BAL x CHANNEL · SYS_FLAG N vs Y|outcome_booked|v|5</t>
        </is>
      </c>
      <c r="B4575" t="n">
        <v>0.2157297293076979</v>
      </c>
      <c r="C4575" t="n">
        <v>0.6599212574426148</v>
      </c>
      <c r="D4575" t="n">
        <v>0.3243158866496043</v>
      </c>
    </row>
    <row r="4576">
      <c r="A4576" t="inlineStr">
        <is>
          <t>S|ORIG_BAL x CHANNEL · SYS_FLAG N vs Y|outcome_booked|p|5</t>
        </is>
      </c>
      <c r="B4576" t="n">
        <v>0.001999800019998001</v>
      </c>
      <c r="C4576" t="n">
        <v>0.2787846215378462</v>
      </c>
      <c r="D4576" t="n">
        <v>0.007713514362849429</v>
      </c>
    </row>
    <row r="4577">
      <c r="A4577" t="inlineStr">
        <is>
          <t>S|ORIG_BAL x CHANNEL · SYS_FLAG N vs Y|outcome_booked|se|5</t>
        </is>
      </c>
      <c r="B4577" t="n">
        <v>0.001414001449782143</v>
      </c>
      <c r="C4577" t="n">
        <v>0.006670834281987984</v>
      </c>
      <c r="D4577" t="n">
        <v>0.001816546734716733</v>
      </c>
    </row>
    <row r="4578">
      <c r="A4578" t="inlineStr">
        <is>
          <t>S|ORIG_BAL x CHANNEL · SYS_FLAG N vs Y|outcome_booked|v|6</t>
        </is>
      </c>
    </row>
    <row r="4579">
      <c r="A4579" t="inlineStr">
        <is>
          <t>S|ORIG_BAL x CHANNEL · SYS_FLAG N vs Y|outcome_booked|p|6</t>
        </is>
      </c>
    </row>
    <row r="4580">
      <c r="A4580" t="inlineStr">
        <is>
          <t>S|ORIG_BAL x CHANNEL · SYS_FLAG N vs Y|outcome_booked|se|6</t>
        </is>
      </c>
    </row>
    <row r="4581">
      <c r="A4581" t="inlineStr">
        <is>
          <t>S|ORIG_BAL x CHANNEL · SYS_FLAG N vs Y|sum|3</t>
        </is>
      </c>
      <c r="B4581" t="inlineStr">
        <is>
          <t>Charge-offs</t>
        </is>
      </c>
      <c r="C4581" t="n">
        <v>15</v>
      </c>
      <c r="D4581" t="inlineStr">
        <is>
          <t>1 of 15</t>
        </is>
      </c>
      <c r="E4581" t="n">
        <v>0.5533778766976516</v>
      </c>
      <c r="F4581" t="n">
        <v>0.06978807289035739</v>
      </c>
      <c r="G4581" t="inlineStr">
        <is>
          <t>x</t>
        </is>
      </c>
      <c r="H4581" t="n">
        <v>9.999000099990002e-05</v>
      </c>
      <c r="L4581" t="inlineStr">
        <is>
          <t>not tested: dollar rate</t>
        </is>
      </c>
      <c r="P4581" t="n">
        <v>9.999000099990002e-05</v>
      </c>
    </row>
    <row r="4582">
      <c r="A4582" t="inlineStr">
        <is>
          <t>S|ORIG_BAL x CHANNEL · SYS_FLAG N vs Y|gco_rate|meta</t>
        </is>
      </c>
      <c r="B4582" t="inlineStr">
        <is>
          <t>x</t>
        </is>
      </c>
      <c r="C4582" t="n">
        <v>1.010851932863777</v>
      </c>
    </row>
    <row r="4583">
      <c r="A4583" t="inlineStr">
        <is>
          <t>S|ORIG_BAL x CHANNEL · SYS_FLAG N vs Y|gco_rate|v|1</t>
        </is>
      </c>
      <c r="B4583" t="n">
        <v>0.635346592849268</v>
      </c>
      <c r="C4583" t="n">
        <v>0.6627916569134737</v>
      </c>
      <c r="D4583" t="n">
        <v>0.4056000049100187</v>
      </c>
    </row>
    <row r="4584">
      <c r="A4584" t="inlineStr">
        <is>
          <t>S|ORIG_BAL x CHANNEL · SYS_FLAG N vs Y|gco_rate|p|1</t>
        </is>
      </c>
      <c r="B4584" t="n">
        <v>0.3366330033663301</v>
      </c>
      <c r="C4584" t="n">
        <v>0.3366330033663301</v>
      </c>
      <c r="D4584" t="n">
        <v>0.0158984101589841</v>
      </c>
    </row>
    <row r="4585">
      <c r="A4585" t="inlineStr">
        <is>
          <t>S|ORIG_BAL x CHANNEL · SYS_FLAG N vs Y|gco_rate|se|1</t>
        </is>
      </c>
      <c r="B4585" t="n">
        <v>0.006691287070923757</v>
      </c>
      <c r="C4585" t="n">
        <v>0.006691287070923757</v>
      </c>
      <c r="D4585" t="n">
        <v>0.002178129266856516</v>
      </c>
    </row>
    <row r="4586">
      <c r="A4586" t="inlineStr">
        <is>
          <t>S|ORIG_BAL x CHANNEL · SYS_FLAG N vs Y|gco_rate|v|2</t>
        </is>
      </c>
      <c r="B4586" t="n">
        <v>1.010851932863777</v>
      </c>
      <c r="C4586" t="n">
        <v>0.7590087816039806</v>
      </c>
      <c r="D4586" t="n">
        <v>0.9863802117486774</v>
      </c>
    </row>
    <row r="4587">
      <c r="A4587" t="inlineStr">
        <is>
          <t>S|ORIG_BAL x CHANNEL · SYS_FLAG N vs Y|gco_rate|p|2</t>
        </is>
      </c>
      <c r="B4587" t="n">
        <v>0.9773022697730227</v>
      </c>
      <c r="C4587" t="n">
        <v>0.3868249538682495</v>
      </c>
      <c r="D4587" t="n">
        <v>0.9773022697730227</v>
      </c>
    </row>
    <row r="4588">
      <c r="A4588" t="inlineStr">
        <is>
          <t>S|ORIG_BAL x CHANNEL · SYS_FLAG N vs Y|gco_rate|se|2</t>
        </is>
      </c>
      <c r="B4588" t="n">
        <v>0.001489380517850313</v>
      </c>
      <c r="C4588" t="n">
        <v>0.006146991365875916</v>
      </c>
      <c r="D4588" t="n">
        <v>0.001489380517850313</v>
      </c>
    </row>
    <row r="4589">
      <c r="A4589" t="inlineStr">
        <is>
          <t>S|ORIG_BAL x CHANNEL · SYS_FLAG N vs Y|gco_rate|v|3</t>
        </is>
      </c>
      <c r="B4589" t="n">
        <v>0.6327027413578268</v>
      </c>
      <c r="C4589" t="n">
        <v>0.9718563063625723</v>
      </c>
      <c r="D4589" t="n">
        <v>0.4151233397680683</v>
      </c>
    </row>
    <row r="4590">
      <c r="A4590" t="inlineStr">
        <is>
          <t>S|ORIG_BAL x CHANNEL · SYS_FLAG N vs Y|gco_rate|p|3</t>
        </is>
      </c>
      <c r="B4590" t="n">
        <v>0.3366330033663301</v>
      </c>
      <c r="C4590" t="n">
        <v>0.9773022697730227</v>
      </c>
      <c r="D4590" t="n">
        <v>0.02274772522747725</v>
      </c>
    </row>
    <row r="4591">
      <c r="A4591" t="inlineStr">
        <is>
          <t>S|ORIG_BAL x CHANNEL · SYS_FLAG N vs Y|gco_rate|se|3</t>
        </is>
      </c>
      <c r="B4591" t="n">
        <v>0.006691287070923757</v>
      </c>
      <c r="C4591" t="n">
        <v>0.001489380517850313</v>
      </c>
      <c r="D4591" t="n">
        <v>0.002373854546211042</v>
      </c>
    </row>
    <row r="4592">
      <c r="A4592" t="inlineStr">
        <is>
          <t>S|ORIG_BAL x CHANNEL · SYS_FLAG N vs Y|gco_rate|v|4</t>
        </is>
      </c>
      <c r="B4592" t="n">
        <v>0.8740582093581279</v>
      </c>
      <c r="C4592" t="n">
        <v>0.4177984854882391</v>
      </c>
      <c r="D4592" t="n">
        <v>0.2756931047391982</v>
      </c>
    </row>
    <row r="4593">
      <c r="A4593" t="inlineStr">
        <is>
          <t>S|ORIG_BAL x CHANNEL · SYS_FLAG N vs Y|gco_rate|p|4</t>
        </is>
      </c>
      <c r="B4593" t="n">
        <v>0.8240425957404259</v>
      </c>
      <c r="C4593" t="n">
        <v>0.008999100089991</v>
      </c>
      <c r="D4593" t="n">
        <v>0.0014998500149985</v>
      </c>
    </row>
    <row r="4594">
      <c r="A4594" t="inlineStr">
        <is>
          <t>S|ORIG_BAL x CHANNEL · SYS_FLAG N vs Y|gco_rate|se|4</t>
        </is>
      </c>
      <c r="B4594" t="n">
        <v>0.005924584754064315</v>
      </c>
      <c r="C4594" t="n">
        <v>0.001961799888159276</v>
      </c>
      <c r="D4594" t="n">
        <v>0.0014998500149985</v>
      </c>
    </row>
    <row r="4595">
      <c r="A4595" t="inlineStr">
        <is>
          <t>S|ORIG_BAL x CHANNEL · SYS_FLAG N vs Y|gco_rate|v|5</t>
        </is>
      </c>
      <c r="B4595" t="n">
        <v>0.2204218287129784</v>
      </c>
      <c r="C4595" t="n">
        <v>0.7254577619610092</v>
      </c>
      <c r="D4595" t="n">
        <v>0.3170142426948203</v>
      </c>
    </row>
    <row r="4596">
      <c r="A4596" t="inlineStr">
        <is>
          <t>S|ORIG_BAL x CHANNEL · SYS_FLAG N vs Y|gco_rate|p|5</t>
        </is>
      </c>
      <c r="B4596" t="n">
        <v>0.005999400059994</v>
      </c>
      <c r="C4596" t="n">
        <v>0.3868249538682495</v>
      </c>
      <c r="D4596" t="n">
        <v>0.008999100089991</v>
      </c>
    </row>
    <row r="4597">
      <c r="A4597" t="inlineStr">
        <is>
          <t>S|ORIG_BAL x CHANNEL · SYS_FLAG N vs Y|gco_rate|se|5</t>
        </is>
      </c>
      <c r="B4597" t="n">
        <v>0.002448632430538731</v>
      </c>
      <c r="C4597" t="n">
        <v>0.006146991365875916</v>
      </c>
      <c r="D4597" t="n">
        <v>0.001961799888159276</v>
      </c>
    </row>
    <row r="4598">
      <c r="A4598" t="inlineStr">
        <is>
          <t>S|ORIG_BAL x CHANNEL · SYS_FLAG N vs Y|gco_rate|v|6</t>
        </is>
      </c>
    </row>
    <row r="4599">
      <c r="A4599" t="inlineStr">
        <is>
          <t>S|ORIG_BAL x CHANNEL · SYS_FLAG N vs Y|gco_rate|p|6</t>
        </is>
      </c>
    </row>
    <row r="4600">
      <c r="A4600" t="inlineStr">
        <is>
          <t>S|ORIG_BAL x CHANNEL · SYS_FLAG N vs Y|gco_rate|se|6</t>
        </is>
      </c>
    </row>
    <row r="4601">
      <c r="A4601" t="inlineStr">
        <is>
          <t>S|ORIG_BAL x CHANNEL · SYS_FLAG N vs Y|sum|4</t>
        </is>
      </c>
      <c r="B4601" t="inlineStr">
        <is>
          <t>Kept after losses</t>
        </is>
      </c>
      <c r="C4601" t="n">
        <v>15</v>
      </c>
      <c r="D4601" t="inlineStr">
        <is>
          <t>1 of 15</t>
        </is>
      </c>
      <c r="E4601" t="n">
        <v>2.56965370515255</v>
      </c>
      <c r="F4601" t="n">
        <v>0.4600137640640348</v>
      </c>
      <c r="G4601" t="inlineStr">
        <is>
          <t>pts</t>
        </is>
      </c>
      <c r="H4601" t="n">
        <v>9.999000099990002e-05</v>
      </c>
      <c r="L4601" t="inlineStr">
        <is>
          <t>not tested: dollar rate</t>
        </is>
      </c>
      <c r="P4601" t="n">
        <v>9.999000099990002e-05</v>
      </c>
    </row>
    <row r="4602">
      <c r="A4602" t="inlineStr">
        <is>
          <t>S|ORIG_BAL x CHANNEL · SYS_FLAG N vs Y|ranr_rate|meta</t>
        </is>
      </c>
      <c r="B4602" t="inlineStr">
        <is>
          <t>pts</t>
        </is>
      </c>
      <c r="C4602" t="n">
        <v>6.959254876</v>
      </c>
    </row>
    <row r="4603">
      <c r="A4603" t="inlineStr">
        <is>
          <t>S|ORIG_BAL x CHANNEL · SYS_FLAG N vs Y|ranr_rate|v|1</t>
        </is>
      </c>
      <c r="B4603" t="n">
        <v>2.156163201</v>
      </c>
      <c r="C4603" t="n">
        <v>3.346102348</v>
      </c>
      <c r="D4603" t="n">
        <v>3.179995958</v>
      </c>
    </row>
    <row r="4604">
      <c r="A4604" t="inlineStr">
        <is>
          <t>S|ORIG_BAL x CHANNEL · SYS_FLAG N vs Y|ranr_rate|p|1</t>
        </is>
      </c>
      <c r="B4604" t="n">
        <v>0.3468938820403674</v>
      </c>
      <c r="C4604" t="n">
        <v>0.1717328267173283</v>
      </c>
      <c r="D4604" t="n">
        <v>0.1717328267173283</v>
      </c>
    </row>
    <row r="4605">
      <c r="A4605" t="inlineStr">
        <is>
          <t>S|ORIG_BAL x CHANNEL · SYS_FLAG N vs Y|ranr_rate|se|1</t>
        </is>
      </c>
      <c r="B4605" t="n">
        <v>0.00789308981037596</v>
      </c>
      <c r="C4605" t="n">
        <v>0.006323289515916513</v>
      </c>
      <c r="D4605" t="n">
        <v>0.006323289515916513</v>
      </c>
    </row>
    <row r="4606">
      <c r="A4606" t="inlineStr">
        <is>
          <t>S|ORIG_BAL x CHANNEL · SYS_FLAG N vs Y|ranr_rate|v|2</t>
        </is>
      </c>
      <c r="B4606" t="n">
        <v>0.147321087</v>
      </c>
      <c r="C4606" t="n">
        <v>1.153792586</v>
      </c>
      <c r="D4606" t="n">
        <v>0.103889388</v>
      </c>
    </row>
    <row r="4607">
      <c r="A4607" t="inlineStr">
        <is>
          <t>S|ORIG_BAL x CHANNEL · SYS_FLAG N vs Y|ranr_rate|p|2</t>
        </is>
      </c>
      <c r="B4607" t="n">
        <v>0.9584041595840416</v>
      </c>
      <c r="C4607" t="n">
        <v>0.698930106989301</v>
      </c>
      <c r="D4607" t="n">
        <v>0.9584041595840416</v>
      </c>
    </row>
    <row r="4608">
      <c r="A4608" t="inlineStr">
        <is>
          <t>S|ORIG_BAL x CHANNEL · SYS_FLAG N vs Y|ranr_rate|se|2</t>
        </is>
      </c>
      <c r="B4608" t="n">
        <v>0.001996637835864295</v>
      </c>
      <c r="C4608" t="n">
        <v>0.006816034148056987</v>
      </c>
      <c r="D4608" t="n">
        <v>0.001996637835864295</v>
      </c>
    </row>
    <row r="4609">
      <c r="A4609" t="inlineStr">
        <is>
          <t>S|ORIG_BAL x CHANNEL · SYS_FLAG N vs Y|ranr_rate|v|3</t>
        </is>
      </c>
      <c r="B4609" t="n">
        <v>2.035646029</v>
      </c>
      <c r="C4609" t="n">
        <v>-0.571762929</v>
      </c>
      <c r="D4609" t="n">
        <v>2.048618712</v>
      </c>
    </row>
    <row r="4610">
      <c r="A4610" t="inlineStr">
        <is>
          <t>S|ORIG_BAL x CHANNEL · SYS_FLAG N vs Y|ranr_rate|p|3</t>
        </is>
      </c>
      <c r="B4610" t="n">
        <v>0.348298503482985</v>
      </c>
      <c r="C4610" t="n">
        <v>0.8807869213078692</v>
      </c>
      <c r="D4610" t="n">
        <v>0.348298503482985</v>
      </c>
    </row>
    <row r="4611">
      <c r="A4611" t="inlineStr">
        <is>
          <t>S|ORIG_BAL x CHANNEL · SYS_FLAG N vs Y|ranr_rate|se|3</t>
        </is>
      </c>
      <c r="B4611" t="n">
        <v>0.006776323916966248</v>
      </c>
      <c r="C4611" t="n">
        <v>0.005702613882140733</v>
      </c>
      <c r="D4611" t="n">
        <v>0.006776323916966248</v>
      </c>
    </row>
    <row r="4612">
      <c r="A4612" t="inlineStr">
        <is>
          <t>S|ORIG_BAL x CHANNEL · SYS_FLAG N vs Y|ranr_rate|v|4</t>
        </is>
      </c>
      <c r="B4612" t="n">
        <v>0.510364452</v>
      </c>
      <c r="C4612" t="n">
        <v>4.339692565</v>
      </c>
      <c r="D4612" t="n">
        <v>6.959254876</v>
      </c>
    </row>
    <row r="4613">
      <c r="A4613" t="inlineStr">
        <is>
          <t>S|ORIG_BAL x CHANNEL · SYS_FLAG N vs Y|ranr_rate|p|4</t>
        </is>
      </c>
      <c r="B4613" t="n">
        <v>0.8819118088191181</v>
      </c>
      <c r="C4613" t="n">
        <v>0.04199580041995801</v>
      </c>
      <c r="D4613" t="n">
        <v>0.002999700029997001</v>
      </c>
    </row>
    <row r="4614">
      <c r="A4614" t="inlineStr">
        <is>
          <t>S|ORIG_BAL x CHANNEL · SYS_FLAG N vs Y|ranr_rate|se|4</t>
        </is>
      </c>
      <c r="B4614" t="n">
        <v>0.004897163567850631</v>
      </c>
      <c r="C4614" t="n">
        <v>0.004563062073288913</v>
      </c>
      <c r="D4614" t="n">
        <v>0.002121002174673215</v>
      </c>
    </row>
    <row r="4615">
      <c r="A4615" t="inlineStr">
        <is>
          <t>S|ORIG_BAL x CHANNEL · SYS_FLAG N vs Y|ranr_rate|v|5</t>
        </is>
      </c>
      <c r="B4615" t="n">
        <v>2.546782001</v>
      </c>
      <c r="C4615" t="n">
        <v>1.755538911</v>
      </c>
      <c r="D4615" t="n">
        <v>4.803202788</v>
      </c>
    </row>
    <row r="4616">
      <c r="A4616" t="inlineStr">
        <is>
          <t>S|ORIG_BAL x CHANNEL · SYS_FLAG N vs Y|ranr_rate|p|5</t>
        </is>
      </c>
      <c r="B4616" t="n">
        <v>0.1717328267173283</v>
      </c>
      <c r="C4616" t="n">
        <v>0.3818618138186181</v>
      </c>
      <c r="D4616" t="n">
        <v>0.0134986501349865</v>
      </c>
    </row>
    <row r="4617">
      <c r="A4617" t="inlineStr">
        <is>
          <t>S|ORIG_BAL x CHANNEL · SYS_FLAG N vs Y|ranr_rate|se|5</t>
        </is>
      </c>
      <c r="B4617" t="n">
        <v>0.006323289515916513</v>
      </c>
      <c r="C4617" t="n">
        <v>0.006534326865677001</v>
      </c>
      <c r="D4617" t="n">
        <v>0.003178956785754283</v>
      </c>
    </row>
    <row r="4618">
      <c r="A4618" t="inlineStr">
        <is>
          <t>S|ORIG_BAL x CHANNEL · SYS_FLAG N vs Y|ranr_rate|v|6</t>
        </is>
      </c>
    </row>
    <row r="4619">
      <c r="A4619" t="inlineStr">
        <is>
          <t>S|ORIG_BAL x CHANNEL · SYS_FLAG N vs Y|ranr_rate|p|6</t>
        </is>
      </c>
    </row>
    <row r="4620">
      <c r="A4620" t="inlineStr">
        <is>
          <t>S|ORIG_BAL x CHANNEL · SYS_FLAG N vs Y|ranr_rate|se|6</t>
        </is>
      </c>
    </row>
    <row r="4621">
      <c r="A4621" t="inlineStr">
        <is>
          <t>S|ORIG_BAL x CHANNEL · SYS_FLAG N vs Y|sum|5</t>
        </is>
      </c>
      <c r="B4621" t="inlineStr">
        <is>
          <t>Earned before losses</t>
        </is>
      </c>
      <c r="C4621" t="n">
        <v>15</v>
      </c>
      <c r="D4621" t="inlineStr">
        <is>
          <t>6 of 15</t>
        </is>
      </c>
      <c r="E4621" t="n">
        <v>0.1281797751296413</v>
      </c>
      <c r="F4621" t="n">
        <v>0.2983864408698744</v>
      </c>
      <c r="G4621" t="inlineStr">
        <is>
          <t>pts</t>
        </is>
      </c>
      <c r="H4621" t="n">
        <v>0.6693330666933307</v>
      </c>
      <c r="L4621" t="inlineStr">
        <is>
          <t>not tested: dollar rate</t>
        </is>
      </c>
      <c r="P4621" t="n">
        <v>0.004704533053600878</v>
      </c>
    </row>
    <row r="4622">
      <c r="A4622" t="inlineStr">
        <is>
          <t>S|ORIG_BAL x CHANNEL · SYS_FLAG N vs Y|contribution_rate|meta</t>
        </is>
      </c>
      <c r="B4622" t="inlineStr">
        <is>
          <t>pts</t>
        </is>
      </c>
      <c r="C4622" t="n">
        <v>1.596791434</v>
      </c>
    </row>
    <row r="4623">
      <c r="A4623" t="inlineStr">
        <is>
          <t>S|ORIG_BAL x CHANNEL · SYS_FLAG N vs Y|contribution_rate|v|1</t>
        </is>
      </c>
      <c r="B4623" t="n">
        <v>0.527939852</v>
      </c>
      <c r="C4623" t="n">
        <v>1.46002467</v>
      </c>
      <c r="D4623" t="n">
        <v>-0.62089436</v>
      </c>
    </row>
    <row r="4624">
      <c r="A4624" t="inlineStr">
        <is>
          <t>S|ORIG_BAL x CHANNEL · SYS_FLAG N vs Y|contribution_rate|p|1</t>
        </is>
      </c>
      <c r="B4624" t="n">
        <v>0.9862013798620138</v>
      </c>
      <c r="C4624" t="n">
        <v>0.9862013798620138</v>
      </c>
      <c r="D4624" t="n">
        <v>0.9862013798620138</v>
      </c>
    </row>
    <row r="4625">
      <c r="A4625" t="inlineStr">
        <is>
          <t>S|ORIG_BAL x CHANNEL · SYS_FLAG N vs Y|contribution_rate|se|1</t>
        </is>
      </c>
      <c r="B4625" t="n">
        <v>0.00116654267904238</v>
      </c>
      <c r="C4625" t="n">
        <v>0.00116654267904238</v>
      </c>
      <c r="D4625" t="n">
        <v>0.00116654267904238</v>
      </c>
    </row>
    <row r="4626">
      <c r="A4626" t="inlineStr">
        <is>
          <t>S|ORIG_BAL x CHANNEL · SYS_FLAG N vs Y|contribution_rate|v|2</t>
        </is>
      </c>
      <c r="B4626" t="n">
        <v>0.191011652</v>
      </c>
      <c r="C4626" t="n">
        <v>-0.731432721</v>
      </c>
      <c r="D4626" t="n">
        <v>0.034285953</v>
      </c>
    </row>
    <row r="4627">
      <c r="A4627" t="inlineStr">
        <is>
          <t>S|ORIG_BAL x CHANNEL · SYS_FLAG N vs Y|contribution_rate|p|2</t>
        </is>
      </c>
      <c r="B4627" t="n">
        <v>0.9862013798620138</v>
      </c>
      <c r="C4627" t="n">
        <v>0.9862013798620138</v>
      </c>
      <c r="D4627" t="n">
        <v>0.9862013798620138</v>
      </c>
    </row>
    <row r="4628">
      <c r="A4628" t="inlineStr">
        <is>
          <t>S|ORIG_BAL x CHANNEL · SYS_FLAG N vs Y|contribution_rate|se|2</t>
        </is>
      </c>
      <c r="B4628" t="n">
        <v>0.00116654267904238</v>
      </c>
      <c r="C4628" t="n">
        <v>0.00116654267904238</v>
      </c>
      <c r="D4628" t="n">
        <v>0.00116654267904238</v>
      </c>
    </row>
    <row r="4629">
      <c r="A4629" t="inlineStr">
        <is>
          <t>S|ORIG_BAL x CHANNEL · SYS_FLAG N vs Y|contribution_rate|v|3</t>
        </is>
      </c>
      <c r="B4629" t="n">
        <v>0.421706621</v>
      </c>
      <c r="C4629" t="n">
        <v>-0.6877752029999999</v>
      </c>
      <c r="D4629" t="n">
        <v>-1.115486134</v>
      </c>
    </row>
    <row r="4630">
      <c r="A4630" t="inlineStr">
        <is>
          <t>S|ORIG_BAL x CHANNEL · SYS_FLAG N vs Y|contribution_rate|p|3</t>
        </is>
      </c>
      <c r="B4630" t="n">
        <v>0.9862013798620138</v>
      </c>
      <c r="C4630" t="n">
        <v>0.9862013798620138</v>
      </c>
      <c r="D4630" t="n">
        <v>0.9862013798620138</v>
      </c>
    </row>
    <row r="4631">
      <c r="A4631" t="inlineStr">
        <is>
          <t>S|ORIG_BAL x CHANNEL · SYS_FLAG N vs Y|contribution_rate|se|3</t>
        </is>
      </c>
      <c r="B4631" t="n">
        <v>0.00116654267904238</v>
      </c>
      <c r="C4631" t="n">
        <v>0.00116654267904238</v>
      </c>
      <c r="D4631" t="n">
        <v>0.00116654267904238</v>
      </c>
    </row>
    <row r="4632">
      <c r="A4632" t="inlineStr">
        <is>
          <t>S|ORIG_BAL x CHANNEL · SYS_FLAG N vs Y|contribution_rate|v|4</t>
        </is>
      </c>
      <c r="B4632" t="n">
        <v>-0.086502126</v>
      </c>
      <c r="C4632" t="n">
        <v>0.017010624</v>
      </c>
      <c r="D4632" t="n">
        <v>1.596791434</v>
      </c>
    </row>
    <row r="4633">
      <c r="A4633" t="inlineStr">
        <is>
          <t>S|ORIG_BAL x CHANNEL · SYS_FLAG N vs Y|contribution_rate|p|4</t>
        </is>
      </c>
      <c r="B4633" t="n">
        <v>0.9862013798620138</v>
      </c>
      <c r="C4633" t="n">
        <v>0.9862013798620138</v>
      </c>
      <c r="D4633" t="n">
        <v>0.9862013798620138</v>
      </c>
    </row>
    <row r="4634">
      <c r="A4634" t="inlineStr">
        <is>
          <t>S|ORIG_BAL x CHANNEL · SYS_FLAG N vs Y|contribution_rate|se|4</t>
        </is>
      </c>
      <c r="B4634" t="n">
        <v>0.00116654267904238</v>
      </c>
      <c r="C4634" t="n">
        <v>0.00116654267904238</v>
      </c>
      <c r="D4634" t="n">
        <v>0.00116654267904238</v>
      </c>
    </row>
    <row r="4635">
      <c r="A4635" t="inlineStr">
        <is>
          <t>S|ORIG_BAL x CHANNEL · SYS_FLAG N vs Y|contribution_rate|v|5</t>
        </is>
      </c>
      <c r="B4635" t="n">
        <v>-0.618960452</v>
      </c>
      <c r="C4635" t="n">
        <v>0.173720877</v>
      </c>
      <c r="D4635" t="n">
        <v>1.154134755</v>
      </c>
    </row>
    <row r="4636">
      <c r="A4636" t="inlineStr">
        <is>
          <t>S|ORIG_BAL x CHANNEL · SYS_FLAG N vs Y|contribution_rate|p|5</t>
        </is>
      </c>
      <c r="B4636" t="n">
        <v>0.9862013798620138</v>
      </c>
      <c r="C4636" t="n">
        <v>0.9862013798620138</v>
      </c>
      <c r="D4636" t="n">
        <v>0.9862013798620138</v>
      </c>
    </row>
    <row r="4637">
      <c r="A4637" t="inlineStr">
        <is>
          <t>S|ORIG_BAL x CHANNEL · SYS_FLAG N vs Y|contribution_rate|se|5</t>
        </is>
      </c>
      <c r="B4637" t="n">
        <v>0.00116654267904238</v>
      </c>
      <c r="C4637" t="n">
        <v>0.00116654267904238</v>
      </c>
      <c r="D4637" t="n">
        <v>0.00116654267904238</v>
      </c>
    </row>
    <row r="4638">
      <c r="A4638" t="inlineStr">
        <is>
          <t>S|ORIG_BAL x CHANNEL · SYS_FLAG N vs Y|contribution_rate|v|6</t>
        </is>
      </c>
    </row>
    <row r="4639">
      <c r="A4639" t="inlineStr">
        <is>
          <t>S|ORIG_BAL x CHANNEL · SYS_FLAG N vs Y|contribution_rate|p|6</t>
        </is>
      </c>
    </row>
    <row r="4640">
      <c r="A4640" t="inlineStr">
        <is>
          <t>S|ORIG_BAL x CHANNEL · SYS_FLAG N vs Y|contribution_rate|se|6</t>
        </is>
      </c>
    </row>
    <row r="4641">
      <c r="A4641" t="inlineStr">
        <is>
          <t>S|ORIG_BAL x CHANNEL · SYS_FLAG Y vs N|chip</t>
        </is>
      </c>
    </row>
    <row r="4642">
      <c r="A4642" t="inlineStr">
        <is>
          <t>S|ORIG_BAL x CHANNEL · SYS_FLAG Y vs N|rows</t>
        </is>
      </c>
      <c r="B4642" t="inlineStr">
        <is>
          <t>5,005 - 15,448</t>
        </is>
      </c>
      <c r="C4642" t="inlineStr">
        <is>
          <t>15,449 - 26,323</t>
        </is>
      </c>
      <c r="D4642" t="inlineStr">
        <is>
          <t>26,324 - 37,950</t>
        </is>
      </c>
      <c r="E4642" t="inlineStr">
        <is>
          <t>37,951 - 49,151</t>
        </is>
      </c>
      <c r="F4642" t="inlineStr">
        <is>
          <t>49,152 - 59,984</t>
        </is>
      </c>
      <c r="G4642" t="inlineStr">
        <is>
          <t>(blank)</t>
        </is>
      </c>
    </row>
    <row r="4643">
      <c r="A4643" t="inlineStr">
        <is>
          <t>S|ORIG_BAL x CHANNEL · SYS_FLAG Y vs N|cols</t>
        </is>
      </c>
      <c r="B4643" t="inlineStr">
        <is>
          <t>Branch</t>
        </is>
      </c>
      <c r="C4643" t="inlineStr">
        <is>
          <t>Broker</t>
        </is>
      </c>
      <c r="D4643" t="inlineStr">
        <is>
          <t>Online</t>
        </is>
      </c>
    </row>
    <row r="4644">
      <c r="A4644" t="inlineStr">
        <is>
          <t>S|ORIG_BAL x CHANNEL · SYS_FLAG Y vs N|sum|1</t>
        </is>
      </c>
      <c r="B4644" t="inlineStr">
        <is>
          <t>Bad loans</t>
        </is>
      </c>
      <c r="C4644" t="n">
        <v>15</v>
      </c>
      <c r="D4644" t="inlineStr">
        <is>
          <t>13 of 15</t>
        </is>
      </c>
      <c r="E4644" t="n">
        <v>1.751799738225351</v>
      </c>
      <c r="F4644" t="n">
        <v>0.1070411836860048</v>
      </c>
      <c r="G4644" t="inlineStr">
        <is>
          <t>x</t>
        </is>
      </c>
      <c r="H4644" t="n">
        <v>2.210875720935313e-12</v>
      </c>
      <c r="I4644" t="n">
        <v>1.835818901590175</v>
      </c>
      <c r="J4644" t="n">
        <v>5.557919212743171e-13</v>
      </c>
      <c r="K4644" t="n">
        <v>0.01573428043015973</v>
      </c>
      <c r="M4644" t="n">
        <v>5.557919212743187e-13</v>
      </c>
      <c r="N4644" t="n">
        <v>1</v>
      </c>
      <c r="O4644" t="n">
        <v>15</v>
      </c>
    </row>
    <row r="4645">
      <c r="A4645" t="inlineStr">
        <is>
          <t>S|ORIG_BAL x CHANNEL · SYS_FLAG Y vs N|outcome_loans|meta</t>
        </is>
      </c>
      <c r="B4645" t="inlineStr">
        <is>
          <t>x</t>
        </is>
      </c>
      <c r="C4645" t="n">
        <v>4.603539823008849</v>
      </c>
    </row>
    <row r="4646">
      <c r="A4646" t="inlineStr">
        <is>
          <t>S|ORIG_BAL x CHANNEL · SYS_FLAG Y vs N|outcome_loans|v|1</t>
        </is>
      </c>
      <c r="B4646" t="n">
        <v>1.32243104710764</v>
      </c>
      <c r="C4646" t="n">
        <v>1.787540332588732</v>
      </c>
      <c r="D4646" t="n">
        <v>2.055420515313563</v>
      </c>
    </row>
    <row r="4647">
      <c r="A4647" t="inlineStr">
        <is>
          <t>S|ORIG_BAL x CHANNEL · SYS_FLAG Y vs N|outcome_loans|p|1</t>
        </is>
      </c>
      <c r="B4647" t="n">
        <v>0.4903858355695458</v>
      </c>
      <c r="C4647" t="n">
        <v>0.1039569902959033</v>
      </c>
      <c r="D4647" t="n">
        <v>0.03105762260068567</v>
      </c>
    </row>
    <row r="4648">
      <c r="A4648" t="inlineStr">
        <is>
          <t>S|ORIG_BAL x CHANNEL · SYS_FLAG Y vs N|outcome_loans|se|1</t>
        </is>
      </c>
    </row>
    <row r="4649">
      <c r="A4649" t="inlineStr">
        <is>
          <t>S|ORIG_BAL x CHANNEL · SYS_FLAG Y vs N|outcome_loans|v|2</t>
        </is>
      </c>
      <c r="B4649" t="n">
        <v>0.9278884462151394</v>
      </c>
      <c r="C4649" t="n">
        <v>1.501024590163934</v>
      </c>
      <c r="D4649" t="n">
        <v>0.9453781512605042</v>
      </c>
    </row>
    <row r="4650">
      <c r="A4650" t="inlineStr">
        <is>
          <t>S|ORIG_BAL x CHANNEL · SYS_FLAG Y vs N|outcome_loans|p|2</t>
        </is>
      </c>
      <c r="B4650" t="n">
        <v>0.8382577473142603</v>
      </c>
      <c r="C4650" t="n">
        <v>0.1612982155620388</v>
      </c>
      <c r="D4650" t="n">
        <v>0.8382577473142603</v>
      </c>
    </row>
    <row r="4651">
      <c r="A4651" t="inlineStr">
        <is>
          <t>S|ORIG_BAL x CHANNEL · SYS_FLAG Y vs N|outcome_loans|se|2</t>
        </is>
      </c>
    </row>
    <row r="4652">
      <c r="A4652" t="inlineStr">
        <is>
          <t>S|ORIG_BAL x CHANNEL · SYS_FLAG Y vs N|outcome_loans|v|3</t>
        </is>
      </c>
      <c r="B4652" t="n">
        <v>1.6159200968523</v>
      </c>
      <c r="C4652" t="n">
        <v>1.29133064516129</v>
      </c>
      <c r="D4652" t="n">
        <v>2.571428571428571</v>
      </c>
    </row>
    <row r="4653">
      <c r="A4653" t="inlineStr">
        <is>
          <t>S|ORIG_BAL x CHANNEL · SYS_FLAG Y vs N|outcome_loans|p|3</t>
        </is>
      </c>
      <c r="B4653" t="n">
        <v>0.2326516302451457</v>
      </c>
      <c r="C4653" t="n">
        <v>0.4903858355695458</v>
      </c>
      <c r="D4653" t="n">
        <v>0.01226150619792516</v>
      </c>
    </row>
    <row r="4654">
      <c r="A4654" t="inlineStr">
        <is>
          <t>S|ORIG_BAL x CHANNEL · SYS_FLAG Y vs N|outcome_loans|se|3</t>
        </is>
      </c>
    </row>
    <row r="4655">
      <c r="A4655" t="inlineStr">
        <is>
          <t>S|ORIG_BAL x CHANNEL · SYS_FLAG Y vs N|outcome_loans|v|4</t>
        </is>
      </c>
      <c r="B4655" t="n">
        <v>1.2670489453205</v>
      </c>
      <c r="C4655" t="n">
        <v>2.831325301204819</v>
      </c>
      <c r="D4655" t="n">
        <v>3.754724409448818</v>
      </c>
    </row>
    <row r="4656">
      <c r="A4656" t="inlineStr">
        <is>
          <t>S|ORIG_BAL x CHANNEL · SYS_FLAG Y vs N|outcome_loans|p|4</t>
        </is>
      </c>
      <c r="B4656" t="n">
        <v>0.4903858355695458</v>
      </c>
      <c r="C4656" t="n">
        <v>0.002275429021917355</v>
      </c>
      <c r="D4656" t="n">
        <v>0.0006086177613070279</v>
      </c>
    </row>
    <row r="4657">
      <c r="A4657" t="inlineStr">
        <is>
          <t>S|ORIG_BAL x CHANNEL · SYS_FLAG Y vs N|outcome_loans|se|4</t>
        </is>
      </c>
    </row>
    <row r="4658">
      <c r="A4658" t="inlineStr">
        <is>
          <t>S|ORIG_BAL x CHANNEL · SYS_FLAG Y vs N|outcome_loans|v|5</t>
        </is>
      </c>
      <c r="B4658" t="n">
        <v>4.603539823008849</v>
      </c>
      <c r="C4658" t="n">
        <v>1.5115267507612</v>
      </c>
      <c r="D4658" t="n">
        <v>3.186131386861314</v>
      </c>
    </row>
    <row r="4659">
      <c r="A4659" t="inlineStr">
        <is>
          <t>S|ORIG_BAL x CHANNEL · SYS_FLAG Y vs N|outcome_loans|p|5</t>
        </is>
      </c>
      <c r="B4659" t="n">
        <v>0.003380609347395555</v>
      </c>
      <c r="C4659" t="n">
        <v>0.2326516302451457</v>
      </c>
      <c r="D4659" t="n">
        <v>0.003777627981855522</v>
      </c>
    </row>
    <row r="4660">
      <c r="A4660" t="inlineStr">
        <is>
          <t>S|ORIG_BAL x CHANNEL · SYS_FLAG Y vs N|outcome_loans|se|5</t>
        </is>
      </c>
    </row>
    <row r="4661">
      <c r="A4661" t="inlineStr">
        <is>
          <t>S|ORIG_BAL x CHANNEL · SYS_FLAG Y vs N|outcome_loans|v|6</t>
        </is>
      </c>
    </row>
    <row r="4662">
      <c r="A4662" t="inlineStr">
        <is>
          <t>S|ORIG_BAL x CHANNEL · SYS_FLAG Y vs N|outcome_loans|p|6</t>
        </is>
      </c>
    </row>
    <row r="4663">
      <c r="A4663" t="inlineStr">
        <is>
          <t>S|ORIG_BAL x CHANNEL · SYS_FLAG Y vs N|outcome_loans|se|6</t>
        </is>
      </c>
    </row>
    <row r="4664">
      <c r="A4664" t="inlineStr">
        <is>
          <t>S|ORIG_BAL x CHANNEL · SYS_FLAG Y vs N|sum|2</t>
        </is>
      </c>
      <c r="B4664" t="inlineStr">
        <is>
          <t>Bad dollars</t>
        </is>
      </c>
      <c r="C4664" t="n">
        <v>15</v>
      </c>
      <c r="D4664" t="inlineStr">
        <is>
          <t>14 of 15</t>
        </is>
      </c>
      <c r="E4664" t="n">
        <v>1.907880847575971</v>
      </c>
      <c r="F4664" t="n">
        <v>0.1278846218865719</v>
      </c>
      <c r="G4664" t="inlineStr">
        <is>
          <t>x</t>
        </is>
      </c>
      <c r="H4664" t="n">
        <v>9.999000099990002e-05</v>
      </c>
      <c r="L4664" t="inlineStr">
        <is>
          <t>not tested: dollar rate</t>
        </is>
      </c>
      <c r="P4664" t="n">
        <v>9.999000099990002e-05</v>
      </c>
    </row>
    <row r="4665">
      <c r="A4665" t="inlineStr">
        <is>
          <t>S|ORIG_BAL x CHANNEL · SYS_FLAG Y vs N|outcome_booked|meta</t>
        </is>
      </c>
      <c r="B4665" t="inlineStr">
        <is>
          <t>x</t>
        </is>
      </c>
      <c r="C4665" t="n">
        <v>4.635429725931227</v>
      </c>
    </row>
    <row r="4666">
      <c r="A4666" t="inlineStr">
        <is>
          <t>S|ORIG_BAL x CHANNEL · SYS_FLAG Y vs N|outcome_booked|v|1</t>
        </is>
      </c>
      <c r="B4666" t="n">
        <v>1.379495430223221</v>
      </c>
      <c r="C4666" t="n">
        <v>1.531808596205317</v>
      </c>
      <c r="D4666" t="n">
        <v>2.394144968068858</v>
      </c>
    </row>
    <row r="4667">
      <c r="A4667" t="inlineStr">
        <is>
          <t>S|ORIG_BAL x CHANNEL · SYS_FLAG Y vs N|outcome_booked|p|1</t>
        </is>
      </c>
      <c r="B4667" t="n">
        <v>0.4762705547627055</v>
      </c>
      <c r="C4667" t="n">
        <v>0.2791387527913876</v>
      </c>
      <c r="D4667" t="n">
        <v>0.01224877512248775</v>
      </c>
    </row>
    <row r="4668">
      <c r="A4668" t="inlineStr">
        <is>
          <t>S|ORIG_BAL x CHANNEL · SYS_FLAG Y vs N|outcome_booked|se|1</t>
        </is>
      </c>
      <c r="B4668" t="n">
        <v>0.006500970743432968</v>
      </c>
      <c r="C4668" t="n">
        <v>0.006223446081893705</v>
      </c>
      <c r="D4668" t="n">
        <v>0.001745620385829007</v>
      </c>
    </row>
    <row r="4669">
      <c r="A4669" t="inlineStr">
        <is>
          <t>S|ORIG_BAL x CHANNEL · SYS_FLAG Y vs N|outcome_booked|v|2</t>
        </is>
      </c>
      <c r="B4669" t="n">
        <v>1.033092728475198</v>
      </c>
      <c r="C4669" t="n">
        <v>1.416721710907577</v>
      </c>
      <c r="D4669" t="n">
        <v>0.9596202376437881</v>
      </c>
    </row>
    <row r="4670">
      <c r="A4670" t="inlineStr">
        <is>
          <t>S|ORIG_BAL x CHANNEL · SYS_FLAG Y vs N|outcome_booked|p|2</t>
        </is>
      </c>
      <c r="B4670" t="n">
        <v>0.9272072792720728</v>
      </c>
      <c r="C4670" t="n">
        <v>0.2787846215378462</v>
      </c>
      <c r="D4670" t="n">
        <v>0.9272072792720728</v>
      </c>
    </row>
    <row r="4671">
      <c r="A4671" t="inlineStr">
        <is>
          <t>S|ORIG_BAL x CHANNEL · SYS_FLAG Y vs N|outcome_booked|se|2</t>
        </is>
      </c>
      <c r="B4671" t="n">
        <v>0.002597959594315377</v>
      </c>
      <c r="C4671" t="n">
        <v>0.006670834281987984</v>
      </c>
      <c r="D4671" t="n">
        <v>0.002597959594315377</v>
      </c>
    </row>
    <row r="4672">
      <c r="A4672" t="inlineStr">
        <is>
          <t>S|ORIG_BAL x CHANNEL · SYS_FLAG Y vs N|outcome_booked|v|3</t>
        </is>
      </c>
      <c r="B4672" t="n">
        <v>1.529471342476957</v>
      </c>
      <c r="C4672" t="n">
        <v>1.265450157095773</v>
      </c>
      <c r="D4672" t="n">
        <v>2.510338218694478</v>
      </c>
    </row>
    <row r="4673">
      <c r="A4673" t="inlineStr">
        <is>
          <t>S|ORIG_BAL x CHANNEL · SYS_FLAG Y vs N|outcome_booked|p|3</t>
        </is>
      </c>
      <c r="B4673" t="n">
        <v>0.3226177382261773</v>
      </c>
      <c r="C4673" t="n">
        <v>0.5636936306369363</v>
      </c>
      <c r="D4673" t="n">
        <v>0.01224877512248775</v>
      </c>
    </row>
    <row r="4674">
      <c r="A4674" t="inlineStr">
        <is>
          <t>S|ORIG_BAL x CHANNEL · SYS_FLAG Y vs N|outcome_booked|se|3</t>
        </is>
      </c>
      <c r="B4674" t="n">
        <v>0.006163151809919108</v>
      </c>
      <c r="C4674" t="n">
        <v>0.006219859556899333</v>
      </c>
      <c r="D4674" t="n">
        <v>0.001745620385829007</v>
      </c>
    </row>
    <row r="4675">
      <c r="A4675" t="inlineStr">
        <is>
          <t>S|ORIG_BAL x CHANNEL · SYS_FLAG Y vs N|outcome_booked|v|4</t>
        </is>
      </c>
      <c r="B4675" t="n">
        <v>1.219864451573836</v>
      </c>
      <c r="C4675" t="n">
        <v>2.654494217379417</v>
      </c>
      <c r="D4675" t="n">
        <v>3.866431330482588</v>
      </c>
    </row>
    <row r="4676">
      <c r="A4676" t="inlineStr">
        <is>
          <t>S|ORIG_BAL x CHANNEL · SYS_FLAG Y vs N|outcome_booked|p|4</t>
        </is>
      </c>
      <c r="B4676" t="n">
        <v>0.5912870251436394</v>
      </c>
      <c r="C4676" t="n">
        <v>0.002999700029997001</v>
      </c>
      <c r="D4676" t="n">
        <v>0.0014998500149985</v>
      </c>
    </row>
    <row r="4677">
      <c r="A4677" t="inlineStr">
        <is>
          <t>S|ORIG_BAL x CHANNEL · SYS_FLAG Y vs N|outcome_booked|se|4</t>
        </is>
      </c>
      <c r="B4677" t="n">
        <v>0.005767442359295041</v>
      </c>
      <c r="C4677" t="n">
        <v>0.001499625020620406</v>
      </c>
      <c r="D4677" t="n">
        <v>0.0014998500149985</v>
      </c>
    </row>
    <row r="4678">
      <c r="A4678" t="inlineStr">
        <is>
          <t>S|ORIG_BAL x CHANNEL · SYS_FLAG Y vs N|outcome_booked|v|5</t>
        </is>
      </c>
      <c r="B4678" t="n">
        <v>4.635429725931227</v>
      </c>
      <c r="C4678" t="n">
        <v>1.515332304759038</v>
      </c>
      <c r="D4678" t="n">
        <v>3.083413551925116</v>
      </c>
    </row>
    <row r="4679">
      <c r="A4679" t="inlineStr">
        <is>
          <t>S|ORIG_BAL x CHANNEL · SYS_FLAG Y vs N|outcome_booked|p|5</t>
        </is>
      </c>
      <c r="B4679" t="n">
        <v>0.003999600039996001</v>
      </c>
      <c r="C4679" t="n">
        <v>0.2787846215378462</v>
      </c>
      <c r="D4679" t="n">
        <v>0.007874212578742126</v>
      </c>
    </row>
    <row r="4680">
      <c r="A4680" t="inlineStr">
        <is>
          <t>S|ORIG_BAL x CHANNEL · SYS_FLAG Y vs N|outcome_booked|se|5</t>
        </is>
      </c>
      <c r="B4680" t="n">
        <v>0.001413577143261027</v>
      </c>
      <c r="C4680" t="n">
        <v>0.006670834281987984</v>
      </c>
      <c r="D4680" t="n">
        <v>0.001716574902139366</v>
      </c>
    </row>
    <row r="4681">
      <c r="A4681" t="inlineStr">
        <is>
          <t>S|ORIG_BAL x CHANNEL · SYS_FLAG Y vs N|outcome_booked|v|6</t>
        </is>
      </c>
    </row>
    <row r="4682">
      <c r="A4682" t="inlineStr">
        <is>
          <t>S|ORIG_BAL x CHANNEL · SYS_FLAG Y vs N|outcome_booked|p|6</t>
        </is>
      </c>
    </row>
    <row r="4683">
      <c r="A4683" t="inlineStr">
        <is>
          <t>S|ORIG_BAL x CHANNEL · SYS_FLAG Y vs N|outcome_booked|se|6</t>
        </is>
      </c>
    </row>
    <row r="4684">
      <c r="A4684" t="inlineStr">
        <is>
          <t>S|ORIG_BAL x CHANNEL · SYS_FLAG Y vs N|sum|3</t>
        </is>
      </c>
      <c r="B4684" t="inlineStr">
        <is>
          <t>Charge-offs</t>
        </is>
      </c>
      <c r="C4684" t="n">
        <v>15</v>
      </c>
      <c r="D4684" t="inlineStr">
        <is>
          <t>14 of 15</t>
        </is>
      </c>
      <c r="E4684" t="n">
        <v>1.803593561180166</v>
      </c>
      <c r="F4684" t="n">
        <v>0.1271415660277348</v>
      </c>
      <c r="G4684" t="inlineStr">
        <is>
          <t>x</t>
        </is>
      </c>
      <c r="H4684" t="n">
        <v>9.999000099990002e-05</v>
      </c>
      <c r="L4684" t="inlineStr">
        <is>
          <t>not tested: dollar rate</t>
        </is>
      </c>
      <c r="P4684" t="n">
        <v>9.999000099990002e-05</v>
      </c>
    </row>
    <row r="4685">
      <c r="A4685" t="inlineStr">
        <is>
          <t>S|ORIG_BAL x CHANNEL · SYS_FLAG Y vs N|gco_rate|meta</t>
        </is>
      </c>
      <c r="B4685" t="inlineStr">
        <is>
          <t>x</t>
        </is>
      </c>
      <c r="C4685" t="n">
        <v>4.53675575526663</v>
      </c>
    </row>
    <row r="4686">
      <c r="A4686" t="inlineStr">
        <is>
          <t>S|ORIG_BAL x CHANNEL · SYS_FLAG Y vs N|gco_rate|v|1</t>
        </is>
      </c>
      <c r="B4686" t="n">
        <v>1.573944066521883</v>
      </c>
      <c r="C4686" t="n">
        <v>1.508769746222904</v>
      </c>
      <c r="D4686" t="n">
        <v>2.465483204867927</v>
      </c>
    </row>
    <row r="4687">
      <c r="A4687" t="inlineStr">
        <is>
          <t>S|ORIG_BAL x CHANNEL · SYS_FLAG Y vs N|gco_rate|p|1</t>
        </is>
      </c>
      <c r="B4687" t="n">
        <v>0.3366330033663301</v>
      </c>
      <c r="C4687" t="n">
        <v>0.3366330033663301</v>
      </c>
      <c r="D4687" t="n">
        <v>0.0158984101589841</v>
      </c>
    </row>
    <row r="4688">
      <c r="A4688" t="inlineStr">
        <is>
          <t>S|ORIG_BAL x CHANNEL · SYS_FLAG Y vs N|gco_rate|se|1</t>
        </is>
      </c>
      <c r="B4688" t="n">
        <v>0.006691287070923757</v>
      </c>
      <c r="C4688" t="n">
        <v>0.006691287070923757</v>
      </c>
      <c r="D4688" t="n">
        <v>0.002178129266856516</v>
      </c>
    </row>
    <row r="4689">
      <c r="A4689" t="inlineStr">
        <is>
          <t>S|ORIG_BAL x CHANNEL · SYS_FLAG Y vs N|gco_rate|v|2</t>
        </is>
      </c>
      <c r="B4689" t="n">
        <v>0.9892645673308126</v>
      </c>
      <c r="C4689" t="n">
        <v>1.317507813133259</v>
      </c>
      <c r="D4689" t="n">
        <v>1.013807848220289</v>
      </c>
    </row>
    <row r="4690">
      <c r="A4690" t="inlineStr">
        <is>
          <t>S|ORIG_BAL x CHANNEL · SYS_FLAG Y vs N|gco_rate|p|2</t>
        </is>
      </c>
      <c r="B4690" t="n">
        <v>0.9773022697730227</v>
      </c>
      <c r="C4690" t="n">
        <v>0.3868249538682495</v>
      </c>
      <c r="D4690" t="n">
        <v>0.9773022697730227</v>
      </c>
    </row>
    <row r="4691">
      <c r="A4691" t="inlineStr">
        <is>
          <t>S|ORIG_BAL x CHANNEL · SYS_FLAG Y vs N|gco_rate|se|2</t>
        </is>
      </c>
      <c r="B4691" t="n">
        <v>0.001489380517850313</v>
      </c>
      <c r="C4691" t="n">
        <v>0.006146991365875916</v>
      </c>
      <c r="D4691" t="n">
        <v>0.001489380517850313</v>
      </c>
    </row>
    <row r="4692">
      <c r="A4692" t="inlineStr">
        <is>
          <t>S|ORIG_BAL x CHANNEL · SYS_FLAG Y vs N|gco_rate|v|3</t>
        </is>
      </c>
      <c r="B4692" t="n">
        <v>1.580521048247596</v>
      </c>
      <c r="C4692" t="n">
        <v>1.028958698372564</v>
      </c>
      <c r="D4692" t="n">
        <v>2.408922612153548</v>
      </c>
    </row>
    <row r="4693">
      <c r="A4693" t="inlineStr">
        <is>
          <t>S|ORIG_BAL x CHANNEL · SYS_FLAG Y vs N|gco_rate|p|3</t>
        </is>
      </c>
      <c r="B4693" t="n">
        <v>0.3366330033663301</v>
      </c>
      <c r="C4693" t="n">
        <v>0.9773022697730227</v>
      </c>
      <c r="D4693" t="n">
        <v>0.02274772522747725</v>
      </c>
    </row>
    <row r="4694">
      <c r="A4694" t="inlineStr">
        <is>
          <t>S|ORIG_BAL x CHANNEL · SYS_FLAG Y vs N|gco_rate|se|3</t>
        </is>
      </c>
      <c r="B4694" t="n">
        <v>0.006691287070923757</v>
      </c>
      <c r="C4694" t="n">
        <v>0.001489380517850313</v>
      </c>
      <c r="D4694" t="n">
        <v>0.002373854546211042</v>
      </c>
    </row>
    <row r="4695">
      <c r="A4695" t="inlineStr">
        <is>
          <t>S|ORIG_BAL x CHANNEL · SYS_FLAG Y vs N|gco_rate|v|4</t>
        </is>
      </c>
      <c r="B4695" t="n">
        <v>1.144088562172946</v>
      </c>
      <c r="C4695" t="n">
        <v>2.393498384350055</v>
      </c>
      <c r="D4695" t="n">
        <v>3.627221656290555</v>
      </c>
    </row>
    <row r="4696">
      <c r="A4696" t="inlineStr">
        <is>
          <t>S|ORIG_BAL x CHANNEL · SYS_FLAG Y vs N|gco_rate|p|4</t>
        </is>
      </c>
      <c r="B4696" t="n">
        <v>0.8240425957404259</v>
      </c>
      <c r="C4696" t="n">
        <v>0.009374062593740627</v>
      </c>
      <c r="D4696" t="n">
        <v>0.0014998500149985</v>
      </c>
    </row>
    <row r="4697">
      <c r="A4697" t="inlineStr">
        <is>
          <t>S|ORIG_BAL x CHANNEL · SYS_FLAG Y vs N|gco_rate|se|4</t>
        </is>
      </c>
      <c r="B4697" t="n">
        <v>0.005924584754064315</v>
      </c>
      <c r="C4697" t="n">
        <v>0.001872561392238343</v>
      </c>
      <c r="D4697" t="n">
        <v>0.0014998500149985</v>
      </c>
    </row>
    <row r="4698">
      <c r="A4698" t="inlineStr">
        <is>
          <t>S|ORIG_BAL x CHANNEL · SYS_FLAG Y vs N|gco_rate|v|5</t>
        </is>
      </c>
      <c r="B4698" t="n">
        <v>4.53675575526663</v>
      </c>
      <c r="C4698" t="n">
        <v>1.378440003587344</v>
      </c>
      <c r="D4698" t="n">
        <v>3.154432404990299</v>
      </c>
    </row>
    <row r="4699">
      <c r="A4699" t="inlineStr">
        <is>
          <t>S|ORIG_BAL x CHANNEL · SYS_FLAG Y vs N|gco_rate|p|5</t>
        </is>
      </c>
      <c r="B4699" t="n">
        <v>0.007499250074992501</v>
      </c>
      <c r="C4699" t="n">
        <v>0.3868249538682495</v>
      </c>
      <c r="D4699" t="n">
        <v>0.008999100089991</v>
      </c>
    </row>
    <row r="4700">
      <c r="A4700" t="inlineStr">
        <is>
          <t>S|ORIG_BAL x CHANNEL · SYS_FLAG Y vs N|gco_rate|se|5</t>
        </is>
      </c>
      <c r="B4700" t="n">
        <v>0.002370403695802816</v>
      </c>
      <c r="C4700" t="n">
        <v>0.006146991365875916</v>
      </c>
      <c r="D4700" t="n">
        <v>0.001961799888159276</v>
      </c>
    </row>
    <row r="4701">
      <c r="A4701" t="inlineStr">
        <is>
          <t>S|ORIG_BAL x CHANNEL · SYS_FLAG Y vs N|gco_rate|v|6</t>
        </is>
      </c>
    </row>
    <row r="4702">
      <c r="A4702" t="inlineStr">
        <is>
          <t>S|ORIG_BAL x CHANNEL · SYS_FLAG Y vs N|gco_rate|p|6</t>
        </is>
      </c>
    </row>
    <row r="4703">
      <c r="A4703" t="inlineStr">
        <is>
          <t>S|ORIG_BAL x CHANNEL · SYS_FLAG Y vs N|gco_rate|se|6</t>
        </is>
      </c>
    </row>
    <row r="4704">
      <c r="A4704" t="inlineStr">
        <is>
          <t>S|ORIG_BAL x CHANNEL · SYS_FLAG Y vs N|sum|4</t>
        </is>
      </c>
      <c r="B4704" t="inlineStr">
        <is>
          <t>Kept after losses</t>
        </is>
      </c>
      <c r="C4704" t="n">
        <v>15</v>
      </c>
      <c r="D4704" t="inlineStr">
        <is>
          <t>14 of 15</t>
        </is>
      </c>
      <c r="E4704" t="n">
        <v>-2.600469310149142</v>
      </c>
      <c r="F4704" t="n">
        <v>0.4652189447583977</v>
      </c>
      <c r="G4704" t="inlineStr">
        <is>
          <t>pts</t>
        </is>
      </c>
      <c r="H4704" t="n">
        <v>9.999000099990002e-05</v>
      </c>
      <c r="L4704" t="inlineStr">
        <is>
          <t>not tested: dollar rate</t>
        </is>
      </c>
      <c r="P4704" t="n">
        <v>9.999000099990002e-05</v>
      </c>
    </row>
    <row r="4705">
      <c r="A4705" t="inlineStr">
        <is>
          <t>S|ORIG_BAL x CHANNEL · SYS_FLAG Y vs N|ranr_rate|meta</t>
        </is>
      </c>
      <c r="B4705" t="inlineStr">
        <is>
          <t>pts</t>
        </is>
      </c>
      <c r="C4705" t="n">
        <v>6.959254876</v>
      </c>
    </row>
    <row r="4706">
      <c r="A4706" t="inlineStr">
        <is>
          <t>S|ORIG_BAL x CHANNEL · SYS_FLAG Y vs N|ranr_rate|v|1</t>
        </is>
      </c>
      <c r="B4706" t="n">
        <v>-2.156163201</v>
      </c>
      <c r="C4706" t="n">
        <v>-3.346102348</v>
      </c>
      <c r="D4706" t="n">
        <v>-3.179995958</v>
      </c>
    </row>
    <row r="4707">
      <c r="A4707" t="inlineStr">
        <is>
          <t>S|ORIG_BAL x CHANNEL · SYS_FLAG Y vs N|ranr_rate|p|1</t>
        </is>
      </c>
      <c r="B4707" t="n">
        <v>0.3468938820403674</v>
      </c>
      <c r="C4707" t="n">
        <v>0.1717328267173283</v>
      </c>
      <c r="D4707" t="n">
        <v>0.1717328267173283</v>
      </c>
    </row>
    <row r="4708">
      <c r="A4708" t="inlineStr">
        <is>
          <t>S|ORIG_BAL x CHANNEL · SYS_FLAG Y vs N|ranr_rate|se|1</t>
        </is>
      </c>
      <c r="B4708" t="n">
        <v>0.00789308981037596</v>
      </c>
      <c r="C4708" t="n">
        <v>0.006323289515916513</v>
      </c>
      <c r="D4708" t="n">
        <v>0.006323289515916513</v>
      </c>
    </row>
    <row r="4709">
      <c r="A4709" t="inlineStr">
        <is>
          <t>S|ORIG_BAL x CHANNEL · SYS_FLAG Y vs N|ranr_rate|v|2</t>
        </is>
      </c>
      <c r="B4709" t="n">
        <v>-0.147321087</v>
      </c>
      <c r="C4709" t="n">
        <v>-1.153792586</v>
      </c>
      <c r="D4709" t="n">
        <v>-0.103889388</v>
      </c>
    </row>
    <row r="4710">
      <c r="A4710" t="inlineStr">
        <is>
          <t>S|ORIG_BAL x CHANNEL · SYS_FLAG Y vs N|ranr_rate|p|2</t>
        </is>
      </c>
      <c r="B4710" t="n">
        <v>0.9584041595840416</v>
      </c>
      <c r="C4710" t="n">
        <v>0.698930106989301</v>
      </c>
      <c r="D4710" t="n">
        <v>0.9584041595840416</v>
      </c>
    </row>
    <row r="4711">
      <c r="A4711" t="inlineStr">
        <is>
          <t>S|ORIG_BAL x CHANNEL · SYS_FLAG Y vs N|ranr_rate|se|2</t>
        </is>
      </c>
      <c r="B4711" t="n">
        <v>0.001996637835864295</v>
      </c>
      <c r="C4711" t="n">
        <v>0.006816034148056987</v>
      </c>
      <c r="D4711" t="n">
        <v>0.001996637835864295</v>
      </c>
    </row>
    <row r="4712">
      <c r="A4712" t="inlineStr">
        <is>
          <t>S|ORIG_BAL x CHANNEL · SYS_FLAG Y vs N|ranr_rate|v|3</t>
        </is>
      </c>
      <c r="B4712" t="n">
        <v>-2.035646029</v>
      </c>
      <c r="C4712" t="n">
        <v>0.571762929</v>
      </c>
      <c r="D4712" t="n">
        <v>-2.048618712</v>
      </c>
    </row>
    <row r="4713">
      <c r="A4713" t="inlineStr">
        <is>
          <t>S|ORIG_BAL x CHANNEL · SYS_FLAG Y vs N|ranr_rate|p|3</t>
        </is>
      </c>
      <c r="B4713" t="n">
        <v>0.348298503482985</v>
      </c>
      <c r="C4713" t="n">
        <v>0.8807869213078692</v>
      </c>
      <c r="D4713" t="n">
        <v>0.348298503482985</v>
      </c>
    </row>
    <row r="4714">
      <c r="A4714" t="inlineStr">
        <is>
          <t>S|ORIG_BAL x CHANNEL · SYS_FLAG Y vs N|ranr_rate|se|3</t>
        </is>
      </c>
      <c r="B4714" t="n">
        <v>0.006776323916966248</v>
      </c>
      <c r="C4714" t="n">
        <v>0.005702613882140733</v>
      </c>
      <c r="D4714" t="n">
        <v>0.006776323916966248</v>
      </c>
    </row>
    <row r="4715">
      <c r="A4715" t="inlineStr">
        <is>
          <t>S|ORIG_BAL x CHANNEL · SYS_FLAG Y vs N|ranr_rate|v|4</t>
        </is>
      </c>
      <c r="B4715" t="n">
        <v>-0.510364452</v>
      </c>
      <c r="C4715" t="n">
        <v>-4.339692565</v>
      </c>
      <c r="D4715" t="n">
        <v>-6.959254876</v>
      </c>
    </row>
    <row r="4716">
      <c r="A4716" t="inlineStr">
        <is>
          <t>S|ORIG_BAL x CHANNEL · SYS_FLAG Y vs N|ranr_rate|p|4</t>
        </is>
      </c>
      <c r="B4716" t="n">
        <v>0.8819118088191181</v>
      </c>
      <c r="C4716" t="n">
        <v>0.04199580041995801</v>
      </c>
      <c r="D4716" t="n">
        <v>0.002999700029997001</v>
      </c>
    </row>
    <row r="4717">
      <c r="A4717" t="inlineStr">
        <is>
          <t>S|ORIG_BAL x CHANNEL · SYS_FLAG Y vs N|ranr_rate|se|4</t>
        </is>
      </c>
      <c r="B4717" t="n">
        <v>0.004897163567850631</v>
      </c>
      <c r="C4717" t="n">
        <v>0.004563062073288913</v>
      </c>
      <c r="D4717" t="n">
        <v>0.002121002174673215</v>
      </c>
    </row>
    <row r="4718">
      <c r="A4718" t="inlineStr">
        <is>
          <t>S|ORIG_BAL x CHANNEL · SYS_FLAG Y vs N|ranr_rate|v|5</t>
        </is>
      </c>
      <c r="B4718" t="n">
        <v>-2.546782001</v>
      </c>
      <c r="C4718" t="n">
        <v>-1.755538911</v>
      </c>
      <c r="D4718" t="n">
        <v>-4.803202788</v>
      </c>
    </row>
    <row r="4719">
      <c r="A4719" t="inlineStr">
        <is>
          <t>S|ORIG_BAL x CHANNEL · SYS_FLAG Y vs N|ranr_rate|p|5</t>
        </is>
      </c>
      <c r="B4719" t="n">
        <v>0.1717328267173283</v>
      </c>
      <c r="C4719" t="n">
        <v>0.3818618138186181</v>
      </c>
      <c r="D4719" t="n">
        <v>0.0134986501349865</v>
      </c>
    </row>
    <row r="4720">
      <c r="A4720" t="inlineStr">
        <is>
          <t>S|ORIG_BAL x CHANNEL · SYS_FLAG Y vs N|ranr_rate|se|5</t>
        </is>
      </c>
      <c r="B4720" t="n">
        <v>0.006323289515916513</v>
      </c>
      <c r="C4720" t="n">
        <v>0.006534326865677001</v>
      </c>
      <c r="D4720" t="n">
        <v>0.003178956785754283</v>
      </c>
    </row>
    <row r="4721">
      <c r="A4721" t="inlineStr">
        <is>
          <t>S|ORIG_BAL x CHANNEL · SYS_FLAG Y vs N|ranr_rate|v|6</t>
        </is>
      </c>
    </row>
    <row r="4722">
      <c r="A4722" t="inlineStr">
        <is>
          <t>S|ORIG_BAL x CHANNEL · SYS_FLAG Y vs N|ranr_rate|p|6</t>
        </is>
      </c>
    </row>
    <row r="4723">
      <c r="A4723" t="inlineStr">
        <is>
          <t>S|ORIG_BAL x CHANNEL · SYS_FLAG Y vs N|ranr_rate|se|6</t>
        </is>
      </c>
    </row>
    <row r="4724">
      <c r="A4724" t="inlineStr">
        <is>
          <t>S|ORIG_BAL x CHANNEL · SYS_FLAG Y vs N|sum|5</t>
        </is>
      </c>
      <c r="B4724" t="inlineStr">
        <is>
          <t>Earned before losses</t>
        </is>
      </c>
      <c r="C4724" t="n">
        <v>15</v>
      </c>
      <c r="D4724" t="inlineStr">
        <is>
          <t>9 of 15</t>
        </is>
      </c>
      <c r="E4724" t="n">
        <v>-0.157294296080912</v>
      </c>
      <c r="F4724" t="n">
        <v>0.3001537578104882</v>
      </c>
      <c r="G4724" t="inlineStr">
        <is>
          <t>pts</t>
        </is>
      </c>
      <c r="H4724" t="n">
        <v>0.6693330666933307</v>
      </c>
      <c r="L4724" t="inlineStr">
        <is>
          <t>not tested: dollar rate</t>
        </is>
      </c>
      <c r="P4724" t="n">
        <v>0.004704533053600878</v>
      </c>
    </row>
    <row r="4725">
      <c r="A4725" t="inlineStr">
        <is>
          <t>S|ORIG_BAL x CHANNEL · SYS_FLAG Y vs N|contribution_rate|meta</t>
        </is>
      </c>
      <c r="B4725" t="inlineStr">
        <is>
          <t>pts</t>
        </is>
      </c>
      <c r="C4725" t="n">
        <v>1.596791434</v>
      </c>
    </row>
    <row r="4726">
      <c r="A4726" t="inlineStr">
        <is>
          <t>S|ORIG_BAL x CHANNEL · SYS_FLAG Y vs N|contribution_rate|v|1</t>
        </is>
      </c>
      <c r="B4726" t="n">
        <v>-0.527939852</v>
      </c>
      <c r="C4726" t="n">
        <v>-1.46002467</v>
      </c>
      <c r="D4726" t="n">
        <v>0.62089436</v>
      </c>
    </row>
    <row r="4727">
      <c r="A4727" t="inlineStr">
        <is>
          <t>S|ORIG_BAL x CHANNEL · SYS_FLAG Y vs N|contribution_rate|p|1</t>
        </is>
      </c>
      <c r="B4727" t="n">
        <v>0.9862013798620138</v>
      </c>
      <c r="C4727" t="n">
        <v>0.9862013798620138</v>
      </c>
      <c r="D4727" t="n">
        <v>0.9862013798620138</v>
      </c>
    </row>
    <row r="4728">
      <c r="A4728" t="inlineStr">
        <is>
          <t>S|ORIG_BAL x CHANNEL · SYS_FLAG Y vs N|contribution_rate|se|1</t>
        </is>
      </c>
      <c r="B4728" t="n">
        <v>0.00116654267904238</v>
      </c>
      <c r="C4728" t="n">
        <v>0.00116654267904238</v>
      </c>
      <c r="D4728" t="n">
        <v>0.00116654267904238</v>
      </c>
    </row>
    <row r="4729">
      <c r="A4729" t="inlineStr">
        <is>
          <t>S|ORIG_BAL x CHANNEL · SYS_FLAG Y vs N|contribution_rate|v|2</t>
        </is>
      </c>
      <c r="B4729" t="n">
        <v>-0.191011652</v>
      </c>
      <c r="C4729" t="n">
        <v>0.731432721</v>
      </c>
      <c r="D4729" t="n">
        <v>-0.034285953</v>
      </c>
    </row>
    <row r="4730">
      <c r="A4730" t="inlineStr">
        <is>
          <t>S|ORIG_BAL x CHANNEL · SYS_FLAG Y vs N|contribution_rate|p|2</t>
        </is>
      </c>
      <c r="B4730" t="n">
        <v>0.9862013798620138</v>
      </c>
      <c r="C4730" t="n">
        <v>0.9862013798620138</v>
      </c>
      <c r="D4730" t="n">
        <v>0.9862013798620138</v>
      </c>
    </row>
    <row r="4731">
      <c r="A4731" t="inlineStr">
        <is>
          <t>S|ORIG_BAL x CHANNEL · SYS_FLAG Y vs N|contribution_rate|se|2</t>
        </is>
      </c>
      <c r="B4731" t="n">
        <v>0.00116654267904238</v>
      </c>
      <c r="C4731" t="n">
        <v>0.00116654267904238</v>
      </c>
      <c r="D4731" t="n">
        <v>0.00116654267904238</v>
      </c>
    </row>
    <row r="4732">
      <c r="A4732" t="inlineStr">
        <is>
          <t>S|ORIG_BAL x CHANNEL · SYS_FLAG Y vs N|contribution_rate|v|3</t>
        </is>
      </c>
      <c r="B4732" t="n">
        <v>-0.421706621</v>
      </c>
      <c r="C4732" t="n">
        <v>0.6877752029999999</v>
      </c>
      <c r="D4732" t="n">
        <v>1.115486134</v>
      </c>
    </row>
    <row r="4733">
      <c r="A4733" t="inlineStr">
        <is>
          <t>S|ORIG_BAL x CHANNEL · SYS_FLAG Y vs N|contribution_rate|p|3</t>
        </is>
      </c>
      <c r="B4733" t="n">
        <v>0.9862013798620138</v>
      </c>
      <c r="C4733" t="n">
        <v>0.9862013798620138</v>
      </c>
      <c r="D4733" t="n">
        <v>0.9862013798620138</v>
      </c>
    </row>
    <row r="4734">
      <c r="A4734" t="inlineStr">
        <is>
          <t>S|ORIG_BAL x CHANNEL · SYS_FLAG Y vs N|contribution_rate|se|3</t>
        </is>
      </c>
      <c r="B4734" t="n">
        <v>0.00116654267904238</v>
      </c>
      <c r="C4734" t="n">
        <v>0.00116654267904238</v>
      </c>
      <c r="D4734" t="n">
        <v>0.00116654267904238</v>
      </c>
    </row>
    <row r="4735">
      <c r="A4735" t="inlineStr">
        <is>
          <t>S|ORIG_BAL x CHANNEL · SYS_FLAG Y vs N|contribution_rate|v|4</t>
        </is>
      </c>
      <c r="B4735" t="n">
        <v>0.086502126</v>
      </c>
      <c r="C4735" t="n">
        <v>-0.017010624</v>
      </c>
      <c r="D4735" t="n">
        <v>-1.596791434</v>
      </c>
    </row>
    <row r="4736">
      <c r="A4736" t="inlineStr">
        <is>
          <t>S|ORIG_BAL x CHANNEL · SYS_FLAG Y vs N|contribution_rate|p|4</t>
        </is>
      </c>
      <c r="B4736" t="n">
        <v>0.9862013798620138</v>
      </c>
      <c r="C4736" t="n">
        <v>0.9862013798620138</v>
      </c>
      <c r="D4736" t="n">
        <v>0.9862013798620138</v>
      </c>
    </row>
    <row r="4737">
      <c r="A4737" t="inlineStr">
        <is>
          <t>S|ORIG_BAL x CHANNEL · SYS_FLAG Y vs N|contribution_rate|se|4</t>
        </is>
      </c>
      <c r="B4737" t="n">
        <v>0.00116654267904238</v>
      </c>
      <c r="C4737" t="n">
        <v>0.00116654267904238</v>
      </c>
      <c r="D4737" t="n">
        <v>0.00116654267904238</v>
      </c>
    </row>
    <row r="4738">
      <c r="A4738" t="inlineStr">
        <is>
          <t>S|ORIG_BAL x CHANNEL · SYS_FLAG Y vs N|contribution_rate|v|5</t>
        </is>
      </c>
      <c r="B4738" t="n">
        <v>0.618960452</v>
      </c>
      <c r="C4738" t="n">
        <v>-0.173720877</v>
      </c>
      <c r="D4738" t="n">
        <v>-1.154134755</v>
      </c>
    </row>
    <row r="4739">
      <c r="A4739" t="inlineStr">
        <is>
          <t>S|ORIG_BAL x CHANNEL · SYS_FLAG Y vs N|contribution_rate|p|5</t>
        </is>
      </c>
      <c r="B4739" t="n">
        <v>0.9862013798620138</v>
      </c>
      <c r="C4739" t="n">
        <v>0.9862013798620138</v>
      </c>
      <c r="D4739" t="n">
        <v>0.9862013798620138</v>
      </c>
    </row>
    <row r="4740">
      <c r="A4740" t="inlineStr">
        <is>
          <t>S|ORIG_BAL x CHANNEL · SYS_FLAG Y vs N|contribution_rate|se|5</t>
        </is>
      </c>
      <c r="B4740" t="n">
        <v>0.00116654267904238</v>
      </c>
      <c r="C4740" t="n">
        <v>0.00116654267904238</v>
      </c>
      <c r="D4740" t="n">
        <v>0.00116654267904238</v>
      </c>
    </row>
    <row r="4741">
      <c r="A4741" t="inlineStr">
        <is>
          <t>S|ORIG_BAL x CHANNEL · SYS_FLAG Y vs N|contribution_rate|v|6</t>
        </is>
      </c>
    </row>
    <row r="4742">
      <c r="A4742" t="inlineStr">
        <is>
          <t>S|ORIG_BAL x CHANNEL · SYS_FLAG Y vs N|contribution_rate|p|6</t>
        </is>
      </c>
    </row>
    <row r="4743">
      <c r="A4743" t="inlineStr">
        <is>
          <t>S|ORIG_BAL x CHANNEL · SYS_FLAG Y vs N|contribution_rate|se|6</t>
        </is>
      </c>
    </row>
    <row r="4744">
      <c r="A4744" t="inlineStr">
        <is>
          <t>S|ORIG_BAL x ASSET_CLASS · SYS_FLAG N vs Y|chip</t>
        </is>
      </c>
    </row>
    <row r="4745">
      <c r="A4745" t="inlineStr">
        <is>
          <t>S|ORIG_BAL x ASSET_CLASS · SYS_FLAG N vs Y|rows</t>
        </is>
      </c>
      <c r="B4745" t="inlineStr">
        <is>
          <t>5,005 - 15,448</t>
        </is>
      </c>
      <c r="C4745" t="inlineStr">
        <is>
          <t>15,449 - 26,323</t>
        </is>
      </c>
      <c r="D4745" t="inlineStr">
        <is>
          <t>26,324 - 37,950</t>
        </is>
      </c>
      <c r="E4745" t="inlineStr">
        <is>
          <t>37,951 - 49,151</t>
        </is>
      </c>
      <c r="F4745" t="inlineStr">
        <is>
          <t>49,152 - 59,984</t>
        </is>
      </c>
      <c r="G4745" t="inlineStr">
        <is>
          <t>(blank)</t>
        </is>
      </c>
    </row>
    <row r="4746">
      <c r="A4746" t="inlineStr">
        <is>
          <t>S|ORIG_BAL x ASSET_CLASS · SYS_FLAG N vs Y|cols</t>
        </is>
      </c>
      <c r="B4746" t="inlineStr">
        <is>
          <t>1</t>
        </is>
      </c>
      <c r="C4746" t="inlineStr">
        <is>
          <t>2</t>
        </is>
      </c>
      <c r="D4746" t="inlineStr">
        <is>
          <t>3</t>
        </is>
      </c>
      <c r="E4746" t="inlineStr">
        <is>
          <t>4</t>
        </is>
      </c>
    </row>
    <row r="4747">
      <c r="A4747" t="inlineStr">
        <is>
          <t>S|ORIG_BAL x ASSET_CLASS · SYS_FLAG N vs Y|sum|1</t>
        </is>
      </c>
      <c r="B4747" t="inlineStr">
        <is>
          <t>Bad loans</t>
        </is>
      </c>
      <c r="C4747" t="n">
        <v>20</v>
      </c>
      <c r="D4747" t="inlineStr">
        <is>
          <t>2 of 20</t>
        </is>
      </c>
      <c r="E4747" t="n">
        <v>0.5711244112609529</v>
      </c>
      <c r="F4747" t="n">
        <v>0.06118471486701377</v>
      </c>
      <c r="G4747" t="inlineStr">
        <is>
          <t>x</t>
        </is>
      </c>
      <c r="H4747" t="n">
        <v>4.474675050674765e-12</v>
      </c>
      <c r="I4747" t="n">
        <v>0.5465644539820194</v>
      </c>
      <c r="J4747" t="n">
        <v>7.943089394783887e-13</v>
      </c>
      <c r="K4747" t="n">
        <v>0.1957680909809109</v>
      </c>
      <c r="M4747" t="n">
        <v>7.943089394783819e-13</v>
      </c>
      <c r="N4747" t="n">
        <v>1</v>
      </c>
      <c r="O4747" t="n">
        <v>20</v>
      </c>
    </row>
    <row r="4748">
      <c r="A4748" t="inlineStr">
        <is>
          <t>S|ORIG_BAL x ASSET_CLASS · SYS_FLAG N vs Y|outcome_loans|meta</t>
        </is>
      </c>
      <c r="B4748" t="inlineStr">
        <is>
          <t>x</t>
        </is>
      </c>
      <c r="C4748" t="n">
        <v>1.096774193548387</v>
      </c>
    </row>
    <row r="4749">
      <c r="A4749" t="inlineStr">
        <is>
          <t>S|ORIG_BAL x ASSET_CLASS · SYS_FLAG N vs Y|outcome_loans|v|1</t>
        </is>
      </c>
      <c r="B4749" t="n">
        <v>0.3375527426160337</v>
      </c>
      <c r="C4749" t="n">
        <v>0.3857280617164899</v>
      </c>
      <c r="D4749" t="n">
        <v>0.661437908496732</v>
      </c>
      <c r="E4749" t="n">
        <v>0.991036543323374</v>
      </c>
    </row>
    <row r="4750">
      <c r="A4750" t="inlineStr">
        <is>
          <t>S|ORIG_BAL x ASSET_CLASS · SYS_FLAG N vs Y|outcome_loans|p|1</t>
        </is>
      </c>
      <c r="B4750" t="n">
        <v>0.03724301349464756</v>
      </c>
      <c r="C4750" t="n">
        <v>0.05098009131120271</v>
      </c>
      <c r="D4750" t="n">
        <v>0.3942694730931902</v>
      </c>
      <c r="E4750" t="n">
        <v>0.9758715398303034</v>
      </c>
    </row>
    <row r="4751">
      <c r="A4751" t="inlineStr">
        <is>
          <t>S|ORIG_BAL x ASSET_CLASS · SYS_FLAG N vs Y|outcome_loans|se|1</t>
        </is>
      </c>
    </row>
    <row r="4752">
      <c r="A4752" t="inlineStr">
        <is>
          <t>S|ORIG_BAL x ASSET_CLASS · SYS_FLAG N vs Y|outcome_loans|v|2</t>
        </is>
      </c>
      <c r="B4752" t="n">
        <v>0.7232142857142858</v>
      </c>
      <c r="C4752" t="n">
        <v>1.096774193548387</v>
      </c>
      <c r="D4752" t="n">
        <v>0.7498057498057498</v>
      </c>
      <c r="E4752" t="n">
        <v>1.054879350843476</v>
      </c>
    </row>
    <row r="4753">
      <c r="A4753" t="inlineStr">
        <is>
          <t>S|ORIG_BAL x ASSET_CLASS · SYS_FLAG N vs Y|outcome_loans|p|2</t>
        </is>
      </c>
      <c r="B4753" t="n">
        <v>0.4068338709080764</v>
      </c>
      <c r="C4753" t="n">
        <v>0.8911571956621716</v>
      </c>
      <c r="D4753" t="n">
        <v>0.4068338709080764</v>
      </c>
      <c r="E4753" t="n">
        <v>0.8911571956621716</v>
      </c>
    </row>
    <row r="4754">
      <c r="A4754" t="inlineStr">
        <is>
          <t>S|ORIG_BAL x ASSET_CLASS · SYS_FLAG N vs Y|outcome_loans|se|2</t>
        </is>
      </c>
    </row>
    <row r="4755">
      <c r="A4755" t="inlineStr">
        <is>
          <t>S|ORIG_BAL x ASSET_CLASS · SYS_FLAG N vs Y|outcome_loans|v|3</t>
        </is>
      </c>
      <c r="B4755" t="n">
        <v>0.6897009966777409</v>
      </c>
      <c r="C4755" t="n">
        <v>0.3788359788359789</v>
      </c>
      <c r="D4755" t="n">
        <v>0.6983471074380165</v>
      </c>
      <c r="E4755" t="n">
        <v>0.6303516819571866</v>
      </c>
    </row>
    <row r="4756">
      <c r="A4756" t="inlineStr">
        <is>
          <t>S|ORIG_BAL x ASSET_CLASS · SYS_FLAG N vs Y|outcome_loans|p|3</t>
        </is>
      </c>
      <c r="B4756" t="n">
        <v>0.4068338709080764</v>
      </c>
      <c r="C4756" t="n">
        <v>0.06967623583141758</v>
      </c>
      <c r="D4756" t="n">
        <v>0.4809933703335152</v>
      </c>
      <c r="E4756" t="n">
        <v>0.2212467280951125</v>
      </c>
    </row>
    <row r="4757">
      <c r="A4757" t="inlineStr">
        <is>
          <t>S|ORIG_BAL x ASSET_CLASS · SYS_FLAG N vs Y|outcome_loans|se|3</t>
        </is>
      </c>
    </row>
    <row r="4758">
      <c r="A4758" t="inlineStr">
        <is>
          <t>S|ORIG_BAL x ASSET_CLASS · SYS_FLAG N vs Y|outcome_loans|v|4</t>
        </is>
      </c>
      <c r="B4758" t="n">
        <v>0.3664596273291925</v>
      </c>
      <c r="C4758" t="n">
        <v>0.4767101410700027</v>
      </c>
      <c r="D4758" t="n">
        <v>0.5005347593582888</v>
      </c>
      <c r="E4758" t="n">
        <v>0.384</v>
      </c>
    </row>
    <row r="4759">
      <c r="A4759" t="inlineStr">
        <is>
          <t>S|ORIG_BAL x ASSET_CLASS · SYS_FLAG N vs Y|outcome_loans|p|4</t>
        </is>
      </c>
      <c r="B4759" t="n">
        <v>0.07885613821724301</v>
      </c>
      <c r="C4759" t="n">
        <v>0.12814381469977</v>
      </c>
      <c r="D4759" t="n">
        <v>0.08601295916408219</v>
      </c>
      <c r="E4759" t="n">
        <v>0.004351436524476711</v>
      </c>
    </row>
    <row r="4760">
      <c r="A4760" t="inlineStr">
        <is>
          <t>S|ORIG_BAL x ASSET_CLASS · SYS_FLAG N vs Y|outcome_loans|se|4</t>
        </is>
      </c>
    </row>
    <row r="4761">
      <c r="A4761" t="inlineStr">
        <is>
          <t>S|ORIG_BAL x ASSET_CLASS · SYS_FLAG N vs Y|outcome_loans|v|5</t>
        </is>
      </c>
      <c r="B4761" t="n">
        <v>0.2129750982961992</v>
      </c>
      <c r="C4761" t="n">
        <v>0.4900497512437811</v>
      </c>
      <c r="D4761" t="n">
        <v>0.528023598820059</v>
      </c>
      <c r="E4761" t="n">
        <v>0.4587525150905433</v>
      </c>
    </row>
    <row r="4762">
      <c r="A4762" t="inlineStr">
        <is>
          <t>S|ORIG_BAL x ASSET_CLASS · SYS_FLAG N vs Y|outcome_loans|p|5</t>
        </is>
      </c>
      <c r="B4762" t="n">
        <v>0.004351436524476711</v>
      </c>
      <c r="C4762" t="n">
        <v>0.1653212500419103</v>
      </c>
      <c r="D4762" t="n">
        <v>0.2407013465809081</v>
      </c>
      <c r="E4762" t="n">
        <v>0.06967623583141758</v>
      </c>
    </row>
    <row r="4763">
      <c r="A4763" t="inlineStr">
        <is>
          <t>S|ORIG_BAL x ASSET_CLASS · SYS_FLAG N vs Y|outcome_loans|se|5</t>
        </is>
      </c>
    </row>
    <row r="4764">
      <c r="A4764" t="inlineStr">
        <is>
          <t>S|ORIG_BAL x ASSET_CLASS · SYS_FLAG N vs Y|outcome_loans|v|6</t>
        </is>
      </c>
    </row>
    <row r="4765">
      <c r="A4765" t="inlineStr">
        <is>
          <t>S|ORIG_BAL x ASSET_CLASS · SYS_FLAG N vs Y|outcome_loans|p|6</t>
        </is>
      </c>
    </row>
    <row r="4766">
      <c r="A4766" t="inlineStr">
        <is>
          <t>S|ORIG_BAL x ASSET_CLASS · SYS_FLAG N vs Y|outcome_loans|se|6</t>
        </is>
      </c>
    </row>
    <row r="4767">
      <c r="A4767" t="inlineStr">
        <is>
          <t>S|ORIG_BAL x ASSET_CLASS · SYS_FLAG N vs Y|sum|2</t>
        </is>
      </c>
      <c r="B4767" t="inlineStr">
        <is>
          <t>Bad dollars</t>
        </is>
      </c>
      <c r="C4767" t="n">
        <v>20</v>
      </c>
      <c r="D4767" t="inlineStr">
        <is>
          <t>2 of 20</t>
        </is>
      </c>
      <c r="E4767" t="n">
        <v>0.5235200480853823</v>
      </c>
      <c r="F4767" t="n">
        <v>0.06646846652807824</v>
      </c>
      <c r="G4767" t="inlineStr">
        <is>
          <t>x</t>
        </is>
      </c>
      <c r="H4767" t="n">
        <v>9.999000099990002e-05</v>
      </c>
      <c r="L4767" t="inlineStr">
        <is>
          <t>not tested: dollar rate</t>
        </is>
      </c>
      <c r="P4767" t="n">
        <v>9.999000099990002e-05</v>
      </c>
    </row>
    <row r="4768">
      <c r="A4768" t="inlineStr">
        <is>
          <t>S|ORIG_BAL x ASSET_CLASS · SYS_FLAG N vs Y|outcome_booked|meta</t>
        </is>
      </c>
      <c r="B4768" t="inlineStr">
        <is>
          <t>x</t>
        </is>
      </c>
      <c r="C4768" t="n">
        <v>1.05181719455932</v>
      </c>
    </row>
    <row r="4769">
      <c r="A4769" t="inlineStr">
        <is>
          <t>S|ORIG_BAL x ASSET_CLASS · SYS_FLAG N vs Y|outcome_booked|v|1</t>
        </is>
      </c>
      <c r="B4769" t="n">
        <v>0.3898051123896181</v>
      </c>
      <c r="C4769" t="n">
        <v>0.3790973719781813</v>
      </c>
      <c r="D4769" t="n">
        <v>0.6153766764446285</v>
      </c>
      <c r="E4769" t="n">
        <v>0.9297840941768011</v>
      </c>
    </row>
    <row r="4770">
      <c r="A4770" t="inlineStr">
        <is>
          <t>S|ORIG_BAL x ASSET_CLASS · SYS_FLAG N vs Y|outcome_booked|p|1</t>
        </is>
      </c>
      <c r="B4770" t="n">
        <v>0.0791920807919208</v>
      </c>
      <c r="C4770" t="n">
        <v>0.0791920807919208</v>
      </c>
      <c r="D4770" t="n">
        <v>0.3241214340104451</v>
      </c>
      <c r="E4770" t="n">
        <v>0.90990900909909</v>
      </c>
    </row>
    <row r="4771">
      <c r="A4771" t="inlineStr">
        <is>
          <t>S|ORIG_BAL x ASSET_CLASS · SYS_FLAG N vs Y|outcome_booked|se|1</t>
        </is>
      </c>
      <c r="B4771" t="n">
        <v>0.005572225206392228</v>
      </c>
      <c r="C4771" t="n">
        <v>0.005572225206392228</v>
      </c>
      <c r="D4771" t="n">
        <v>0.006273704296753889</v>
      </c>
      <c r="E4771" t="n">
        <v>0.004278733519049908</v>
      </c>
    </row>
    <row r="4772">
      <c r="A4772" t="inlineStr">
        <is>
          <t>S|ORIG_BAL x ASSET_CLASS · SYS_FLAG N vs Y|outcome_booked|v|2</t>
        </is>
      </c>
      <c r="B4772" t="n">
        <v>0.7201325762934579</v>
      </c>
      <c r="C4772" t="n">
        <v>1.05181719455932</v>
      </c>
      <c r="D4772" t="n">
        <v>0.7697684738837208</v>
      </c>
      <c r="E4772" t="n">
        <v>1.038626158289653</v>
      </c>
    </row>
    <row r="4773">
      <c r="A4773" t="inlineStr">
        <is>
          <t>S|ORIG_BAL x ASSET_CLASS · SYS_FLAG N vs Y|outcome_booked|p|2</t>
        </is>
      </c>
      <c r="B4773" t="n">
        <v>0.4256717185424314</v>
      </c>
      <c r="C4773" t="n">
        <v>0.9199080091990801</v>
      </c>
      <c r="D4773" t="n">
        <v>0.494185875530094</v>
      </c>
      <c r="E4773" t="n">
        <v>0.9199080091990801</v>
      </c>
    </row>
    <row r="4774">
      <c r="A4774" t="inlineStr">
        <is>
          <t>S|ORIG_BAL x ASSET_CLASS · SYS_FLAG N vs Y|outcome_booked|se|2</t>
        </is>
      </c>
      <c r="B4774" t="n">
        <v>0.006533804734561244</v>
      </c>
      <c r="C4774" t="n">
        <v>0.002714355610646204</v>
      </c>
      <c r="D4774" t="n">
        <v>0.005806681221739472</v>
      </c>
      <c r="E4774" t="n">
        <v>0.002714355610646204</v>
      </c>
    </row>
    <row r="4775">
      <c r="A4775" t="inlineStr">
        <is>
          <t>S|ORIG_BAL x ASSET_CLASS · SYS_FLAG N vs Y|outcome_booked|v|3</t>
        </is>
      </c>
      <c r="B4775" t="n">
        <v>0.7290140125587024</v>
      </c>
      <c r="C4775" t="n">
        <v>0.3695918368640941</v>
      </c>
      <c r="D4775" t="n">
        <v>0.6937816766505005</v>
      </c>
      <c r="E4775" t="n">
        <v>0.6745643851991714</v>
      </c>
    </row>
    <row r="4776">
      <c r="A4776" t="inlineStr">
        <is>
          <t>S|ORIG_BAL x ASSET_CLASS · SYS_FLAG N vs Y|outcome_booked|p|3</t>
        </is>
      </c>
      <c r="B4776" t="n">
        <v>0.494185875530094</v>
      </c>
      <c r="C4776" t="n">
        <v>0.0791920807919208</v>
      </c>
      <c r="D4776" t="n">
        <v>0.494185875530094</v>
      </c>
      <c r="E4776" t="n">
        <v>0.3234676532346766</v>
      </c>
    </row>
    <row r="4777">
      <c r="A4777" t="inlineStr">
        <is>
          <t>S|ORIG_BAL x ASSET_CLASS · SYS_FLAG N vs Y|outcome_booked|se|3</t>
        </is>
      </c>
      <c r="B4777" t="n">
        <v>0.005806681221739472</v>
      </c>
      <c r="C4777" t="n">
        <v>0.005572225206392228</v>
      </c>
      <c r="D4777" t="n">
        <v>0.005806681221739472</v>
      </c>
      <c r="E4777" t="n">
        <v>0.006591520558277724</v>
      </c>
    </row>
    <row r="4778">
      <c r="A4778" t="inlineStr">
        <is>
          <t>S|ORIG_BAL x ASSET_CLASS · SYS_FLAG N vs Y|outcome_booked|v|4</t>
        </is>
      </c>
      <c r="B4778" t="n">
        <v>0.390249139765092</v>
      </c>
      <c r="C4778" t="n">
        <v>0.4814535842441817</v>
      </c>
      <c r="D4778" t="n">
        <v>0.511538724894525</v>
      </c>
      <c r="E4778" t="n">
        <v>0.3905158778427789</v>
      </c>
    </row>
    <row r="4779">
      <c r="A4779" t="inlineStr">
        <is>
          <t>S|ORIG_BAL x ASSET_CLASS · SYS_FLAG N vs Y|outcome_booked|p|4</t>
        </is>
      </c>
      <c r="B4779" t="n">
        <v>0.1097033153827474</v>
      </c>
      <c r="C4779" t="n">
        <v>0.131320201313202</v>
      </c>
      <c r="D4779" t="n">
        <v>0.1102389761023898</v>
      </c>
      <c r="E4779" t="n">
        <v>0.005332800053328</v>
      </c>
    </row>
    <row r="4780">
      <c r="A4780" t="inlineStr">
        <is>
          <t>S|ORIG_BAL x ASSET_CLASS · SYS_FLAG N vs Y|outcome_booked|se|4</t>
        </is>
      </c>
      <c r="B4780" t="n">
        <v>0.0054900202781478</v>
      </c>
      <c r="C4780" t="n">
        <v>0.005240015976234743</v>
      </c>
      <c r="D4780" t="n">
        <v>0.005132687487115022</v>
      </c>
      <c r="E4780" t="n">
        <v>0.0026660000366585</v>
      </c>
    </row>
    <row r="4781">
      <c r="A4781" t="inlineStr">
        <is>
          <t>S|ORIG_BAL x ASSET_CLASS · SYS_FLAG N vs Y|outcome_booked|v|5</t>
        </is>
      </c>
      <c r="B4781" t="n">
        <v>0.2117831112735512</v>
      </c>
      <c r="C4781" t="n">
        <v>0.5093512638528909</v>
      </c>
      <c r="D4781" t="n">
        <v>0.5214673217164968</v>
      </c>
      <c r="E4781" t="n">
        <v>0.4651581528880369</v>
      </c>
    </row>
    <row r="4782">
      <c r="A4782" t="inlineStr">
        <is>
          <t>S|ORIG_BAL x ASSET_CLASS · SYS_FLAG N vs Y|outcome_booked|p|5</t>
        </is>
      </c>
      <c r="B4782" t="n">
        <v>0.005332800053328</v>
      </c>
      <c r="C4782" t="n">
        <v>0.2193780621937806</v>
      </c>
      <c r="D4782" t="n">
        <v>0.225613802256138</v>
      </c>
      <c r="E4782" t="n">
        <v>0.08232510082325101</v>
      </c>
    </row>
    <row r="4783">
      <c r="A4783" t="inlineStr">
        <is>
          <t>S|ORIG_BAL x ASSET_CLASS · SYS_FLAG N vs Y|outcome_booked|se|5</t>
        </is>
      </c>
      <c r="B4783" t="n">
        <v>0.0026660000366585</v>
      </c>
      <c r="C4783" t="n">
        <v>0.006250035121626621</v>
      </c>
      <c r="D4783" t="n">
        <v>0.005994208249840061</v>
      </c>
      <c r="E4783" t="n">
        <v>0.005173389416220391</v>
      </c>
    </row>
    <row r="4784">
      <c r="A4784" t="inlineStr">
        <is>
          <t>S|ORIG_BAL x ASSET_CLASS · SYS_FLAG N vs Y|outcome_booked|v|6</t>
        </is>
      </c>
    </row>
    <row r="4785">
      <c r="A4785" t="inlineStr">
        <is>
          <t>S|ORIG_BAL x ASSET_CLASS · SYS_FLAG N vs Y|outcome_booked|p|6</t>
        </is>
      </c>
    </row>
    <row r="4786">
      <c r="A4786" t="inlineStr">
        <is>
          <t>S|ORIG_BAL x ASSET_CLASS · SYS_FLAG N vs Y|outcome_booked|se|6</t>
        </is>
      </c>
    </row>
    <row r="4787">
      <c r="A4787" t="inlineStr">
        <is>
          <t>S|ORIG_BAL x ASSET_CLASS · SYS_FLAG N vs Y|sum|3</t>
        </is>
      </c>
      <c r="B4787" t="inlineStr">
        <is>
          <t>Charge-offs</t>
        </is>
      </c>
      <c r="C4787" t="n">
        <v>20</v>
      </c>
      <c r="D4787" t="inlineStr">
        <is>
          <t>2 of 20</t>
        </is>
      </c>
      <c r="E4787" t="n">
        <v>0.5529290517285574</v>
      </c>
      <c r="F4787" t="n">
        <v>0.06991201759080908</v>
      </c>
      <c r="G4787" t="inlineStr">
        <is>
          <t>x</t>
        </is>
      </c>
      <c r="H4787" t="n">
        <v>9.999000099990002e-05</v>
      </c>
      <c r="L4787" t="inlineStr">
        <is>
          <t>not tested: dollar rate</t>
        </is>
      </c>
      <c r="P4787" t="n">
        <v>9.999000099990002e-05</v>
      </c>
    </row>
    <row r="4788">
      <c r="A4788" t="inlineStr">
        <is>
          <t>S|ORIG_BAL x ASSET_CLASS · SYS_FLAG N vs Y|gco_rate|meta</t>
        </is>
      </c>
      <c r="B4788" t="inlineStr">
        <is>
          <t>x</t>
        </is>
      </c>
      <c r="C4788" t="n">
        <v>1.283330876404561</v>
      </c>
    </row>
    <row r="4789">
      <c r="A4789" t="inlineStr">
        <is>
          <t>S|ORIG_BAL x ASSET_CLASS · SYS_FLAG N vs Y|gco_rate|v|1</t>
        </is>
      </c>
      <c r="B4789" t="n">
        <v>0.4522731503969785</v>
      </c>
      <c r="C4789" t="n">
        <v>0.357746892271057</v>
      </c>
      <c r="D4789" t="n">
        <v>0.5826499425975656</v>
      </c>
      <c r="E4789" t="n">
        <v>0.8299673753409211</v>
      </c>
    </row>
    <row r="4790">
      <c r="A4790" t="inlineStr">
        <is>
          <t>S|ORIG_BAL x ASSET_CLASS · SYS_FLAG N vs Y|gco_rate|p|1</t>
        </is>
      </c>
      <c r="B4790" t="n">
        <v>0.1845529732741012</v>
      </c>
      <c r="C4790" t="n">
        <v>0.07332600073326001</v>
      </c>
      <c r="D4790" t="n">
        <v>0.338632803386328</v>
      </c>
      <c r="E4790" t="n">
        <v>0.67228571260521</v>
      </c>
    </row>
    <row r="4791">
      <c r="A4791" t="inlineStr">
        <is>
          <t>S|ORIG_BAL x ASSET_CLASS · SYS_FLAG N vs Y|gco_rate|se|1</t>
        </is>
      </c>
      <c r="B4791" t="n">
        <v>0.00702306492501859</v>
      </c>
      <c r="C4791" t="n">
        <v>0.006953152540429888</v>
      </c>
      <c r="D4791" t="n">
        <v>0.006706085520738582</v>
      </c>
      <c r="E4791" t="n">
        <v>0.005821995262774956</v>
      </c>
    </row>
    <row r="4792">
      <c r="A4792" t="inlineStr">
        <is>
          <t>S|ORIG_BAL x ASSET_CLASS · SYS_FLAG N vs Y|gco_rate|v|2</t>
        </is>
      </c>
      <c r="B4792" t="n">
        <v>0.6770434440606143</v>
      </c>
      <c r="C4792" t="n">
        <v>1.283330876404561</v>
      </c>
      <c r="D4792" t="n">
        <v>0.7697831756290133</v>
      </c>
      <c r="E4792" t="n">
        <v>1.063637932301936</v>
      </c>
    </row>
    <row r="4793">
      <c r="A4793" t="inlineStr">
        <is>
          <t>S|ORIG_BAL x ASSET_CLASS · SYS_FLAG N vs Y|gco_rate|p|2</t>
        </is>
      </c>
      <c r="B4793" t="n">
        <v>0.3446798177325125</v>
      </c>
      <c r="C4793" t="n">
        <v>0.67228571260521</v>
      </c>
      <c r="D4793" t="n">
        <v>0.5327467253274673</v>
      </c>
      <c r="E4793" t="n">
        <v>0.8323167683231677</v>
      </c>
    </row>
    <row r="4794">
      <c r="A4794" t="inlineStr">
        <is>
          <t>S|ORIG_BAL x ASSET_CLASS · SYS_FLAG N vs Y|gco_rate|se|2</t>
        </is>
      </c>
      <c r="B4794" t="n">
        <v>0.006112246418999785</v>
      </c>
      <c r="C4794" t="n">
        <v>0.005821995262774956</v>
      </c>
      <c r="D4794" t="n">
        <v>0.00653077249455338</v>
      </c>
      <c r="E4794" t="n">
        <v>0.003735847500785412</v>
      </c>
    </row>
    <row r="4795">
      <c r="A4795" t="inlineStr">
        <is>
          <t>S|ORIG_BAL x ASSET_CLASS · SYS_FLAG N vs Y|gco_rate|v|3</t>
        </is>
      </c>
      <c r="B4795" t="n">
        <v>0.8491134080540167</v>
      </c>
      <c r="C4795" t="n">
        <v>0.4090864500779467</v>
      </c>
      <c r="D4795" t="n">
        <v>0.8016369197714428</v>
      </c>
      <c r="E4795" t="n">
        <v>0.6719843204665213</v>
      </c>
    </row>
    <row r="4796">
      <c r="A4796" t="inlineStr">
        <is>
          <t>S|ORIG_BAL x ASSET_CLASS · SYS_FLAG N vs Y|gco_rate|p|3</t>
        </is>
      </c>
      <c r="B4796" t="n">
        <v>0.7240328598719076</v>
      </c>
      <c r="C4796" t="n">
        <v>0.1628408587712658</v>
      </c>
      <c r="D4796" t="n">
        <v>0.6930418069304181</v>
      </c>
      <c r="E4796" t="n">
        <v>0.338632803386328</v>
      </c>
    </row>
    <row r="4797">
      <c r="A4797" t="inlineStr">
        <is>
          <t>S|ORIG_BAL x ASSET_CLASS · SYS_FLAG N vs Y|gco_rate|se|3</t>
        </is>
      </c>
      <c r="B4797" t="n">
        <v>0.004877666146042095</v>
      </c>
      <c r="C4797" t="n">
        <v>0.009507902227585737</v>
      </c>
      <c r="D4797" t="n">
        <v>0.005382745637604753</v>
      </c>
      <c r="E4797" t="n">
        <v>0.006706085520738582</v>
      </c>
    </row>
    <row r="4798">
      <c r="A4798" t="inlineStr">
        <is>
          <t>S|ORIG_BAL x ASSET_CLASS · SYS_FLAG N vs Y|gco_rate|v|4</t>
        </is>
      </c>
      <c r="B4798" t="n">
        <v>0.4746720237784007</v>
      </c>
      <c r="C4798" t="n">
        <v>0.6060837514478744</v>
      </c>
      <c r="D4798" t="n">
        <v>0.5213618179440302</v>
      </c>
      <c r="E4798" t="n">
        <v>0.3781680412309776</v>
      </c>
    </row>
    <row r="4799">
      <c r="A4799" t="inlineStr">
        <is>
          <t>S|ORIG_BAL x ASSET_CLASS · SYS_FLAG N vs Y|gco_rate|p|4</t>
        </is>
      </c>
      <c r="B4799" t="n">
        <v>0.243753402437534</v>
      </c>
      <c r="C4799" t="n">
        <v>0.3411966495658127</v>
      </c>
      <c r="D4799" t="n">
        <v>0.1845529732741012</v>
      </c>
      <c r="E4799" t="n">
        <v>0.009332400093324001</v>
      </c>
    </row>
    <row r="4800">
      <c r="A4800" t="inlineStr">
        <is>
          <t>S|ORIG_BAL x ASSET_CLASS · SYS_FLAG N vs Y|gco_rate|se|4</t>
        </is>
      </c>
      <c r="B4800" t="n">
        <v>0.006944483468474023</v>
      </c>
      <c r="C4800" t="n">
        <v>0.006391422132311451</v>
      </c>
      <c r="D4800" t="n">
        <v>0.00702306492501859</v>
      </c>
      <c r="E4800" t="n">
        <v>0.003526257329702672</v>
      </c>
    </row>
    <row r="4801">
      <c r="A4801" t="inlineStr">
        <is>
          <t>S|ORIG_BAL x ASSET_CLASS · SYS_FLAG N vs Y|gco_rate|v|5</t>
        </is>
      </c>
      <c r="B4801" t="n">
        <v>0.2518053532425995</v>
      </c>
      <c r="C4801" t="n">
        <v>0.5697142252817338</v>
      </c>
      <c r="D4801" t="n">
        <v>0.4606095647071983</v>
      </c>
      <c r="E4801" t="n">
        <v>0.5142686842177074</v>
      </c>
    </row>
    <row r="4802">
      <c r="A4802" t="inlineStr">
        <is>
          <t>S|ORIG_BAL x ASSET_CLASS · SYS_FLAG N vs Y|gco_rate|p|5</t>
        </is>
      </c>
      <c r="B4802" t="n">
        <v>0.009332400093324001</v>
      </c>
      <c r="C4802" t="n">
        <v>0.338632803386328</v>
      </c>
      <c r="D4802" t="n">
        <v>0.227977202279772</v>
      </c>
      <c r="E4802" t="n">
        <v>0.1845529732741012</v>
      </c>
    </row>
    <row r="4803">
      <c r="A4803" t="inlineStr">
        <is>
          <t>S|ORIG_BAL x ASSET_CLASS · SYS_FLAG N vs Y|gco_rate|se|5</t>
        </is>
      </c>
      <c r="B4803" t="n">
        <v>0.003526257329702672</v>
      </c>
      <c r="C4803" t="n">
        <v>0.006706085520738582</v>
      </c>
      <c r="D4803" t="n">
        <v>0.007197009107539868</v>
      </c>
      <c r="E4803" t="n">
        <v>0.00702306492501859</v>
      </c>
    </row>
    <row r="4804">
      <c r="A4804" t="inlineStr">
        <is>
          <t>S|ORIG_BAL x ASSET_CLASS · SYS_FLAG N vs Y|gco_rate|v|6</t>
        </is>
      </c>
    </row>
    <row r="4805">
      <c r="A4805" t="inlineStr">
        <is>
          <t>S|ORIG_BAL x ASSET_CLASS · SYS_FLAG N vs Y|gco_rate|p|6</t>
        </is>
      </c>
    </row>
    <row r="4806">
      <c r="A4806" t="inlineStr">
        <is>
          <t>S|ORIG_BAL x ASSET_CLASS · SYS_FLAG N vs Y|gco_rate|se|6</t>
        </is>
      </c>
    </row>
    <row r="4807">
      <c r="A4807" t="inlineStr">
        <is>
          <t>S|ORIG_BAL x ASSET_CLASS · SYS_FLAG N vs Y|sum|4</t>
        </is>
      </c>
      <c r="B4807" t="inlineStr">
        <is>
          <t>Kept after losses</t>
        </is>
      </c>
      <c r="C4807" t="n">
        <v>20</v>
      </c>
      <c r="D4807" t="inlineStr">
        <is>
          <t>3 of 20</t>
        </is>
      </c>
      <c r="E4807" t="n">
        <v>2.586760465626098</v>
      </c>
      <c r="F4807" t="n">
        <v>0.4605592485239655</v>
      </c>
      <c r="G4807" t="inlineStr">
        <is>
          <t>pts</t>
        </is>
      </c>
      <c r="H4807" t="n">
        <v>9.999000099990002e-05</v>
      </c>
      <c r="L4807" t="inlineStr">
        <is>
          <t>not tested: dollar rate</t>
        </is>
      </c>
      <c r="P4807" t="n">
        <v>9.999000099990002e-05</v>
      </c>
    </row>
    <row r="4808">
      <c r="A4808" t="inlineStr">
        <is>
          <t>S|ORIG_BAL x ASSET_CLASS · SYS_FLAG N vs Y|ranr_rate|meta</t>
        </is>
      </c>
      <c r="B4808" t="inlineStr">
        <is>
          <t>pts</t>
        </is>
      </c>
      <c r="C4808" t="n">
        <v>7.421359624</v>
      </c>
    </row>
    <row r="4809">
      <c r="A4809" t="inlineStr">
        <is>
          <t>S|ORIG_BAL x ASSET_CLASS · SYS_FLAG N vs Y|ranr_rate|v|1</t>
        </is>
      </c>
      <c r="B4809" t="n">
        <v>3.111155147</v>
      </c>
      <c r="C4809" t="n">
        <v>4.904053458</v>
      </c>
      <c r="D4809" t="n">
        <v>1.872099247</v>
      </c>
      <c r="E4809" t="n">
        <v>1.555920985</v>
      </c>
    </row>
    <row r="4810">
      <c r="A4810" t="inlineStr">
        <is>
          <t>S|ORIG_BAL x ASSET_CLASS · SYS_FLAG N vs Y|ranr_rate|p|1</t>
        </is>
      </c>
      <c r="B4810" t="n">
        <v>0.185759201857592</v>
      </c>
      <c r="C4810" t="n">
        <v>0.05199480051994801</v>
      </c>
      <c r="D4810" t="n">
        <v>0.5247475252474753</v>
      </c>
      <c r="E4810" t="n">
        <v>0.5478202179782022</v>
      </c>
    </row>
    <row r="4811">
      <c r="A4811" t="inlineStr">
        <is>
          <t>S|ORIG_BAL x ASSET_CLASS · SYS_FLAG N vs Y|ranr_rate|se|1</t>
        </is>
      </c>
      <c r="B4811" t="n">
        <v>0.006150542620577755</v>
      </c>
      <c r="C4811" t="n">
        <v>0.008309997278287948</v>
      </c>
      <c r="D4811" t="n">
        <v>0.006513857549434773</v>
      </c>
      <c r="E4811" t="n">
        <v>0.006202163181076968</v>
      </c>
    </row>
    <row r="4812">
      <c r="A4812" t="inlineStr">
        <is>
          <t>S|ORIG_BAL x ASSET_CLASS · SYS_FLAG N vs Y|ranr_rate|v|2</t>
        </is>
      </c>
      <c r="B4812" t="n">
        <v>4.438493177</v>
      </c>
      <c r="C4812" t="n">
        <v>-0.531302104</v>
      </c>
      <c r="D4812" t="n">
        <v>1.885029486</v>
      </c>
      <c r="E4812" t="n">
        <v>-3.741260553</v>
      </c>
    </row>
    <row r="4813">
      <c r="A4813" t="inlineStr">
        <is>
          <t>S|ORIG_BAL x ASSET_CLASS · SYS_FLAG N vs Y|ranr_rate|p|2</t>
        </is>
      </c>
      <c r="B4813" t="n">
        <v>0.153984601539846</v>
      </c>
      <c r="C4813" t="n">
        <v>0.8080244607118235</v>
      </c>
      <c r="D4813" t="n">
        <v>0.5247475252474753</v>
      </c>
      <c r="E4813" t="n">
        <v>0.185759201857592</v>
      </c>
    </row>
    <row r="4814">
      <c r="A4814" t="inlineStr">
        <is>
          <t>S|ORIG_BAL x ASSET_CLASS · SYS_FLAG N vs Y|ranr_rate|se|2</t>
        </is>
      </c>
      <c r="B4814" t="n">
        <v>0.008638354879187616</v>
      </c>
      <c r="C4814" t="n">
        <v>0.004445768041616087</v>
      </c>
      <c r="D4814" t="n">
        <v>0.006513857549434773</v>
      </c>
      <c r="E4814" t="n">
        <v>0.006150542620577755</v>
      </c>
    </row>
    <row r="4815">
      <c r="A4815" t="inlineStr">
        <is>
          <t>S|ORIG_BAL x ASSET_CLASS · SYS_FLAG N vs Y|ranr_rate|v|3</t>
        </is>
      </c>
      <c r="B4815" t="n">
        <v>0.88426191</v>
      </c>
      <c r="C4815" t="n">
        <v>1.626025211</v>
      </c>
      <c r="D4815" t="n">
        <v>-0.268072748</v>
      </c>
      <c r="E4815" t="n">
        <v>2.18765542</v>
      </c>
    </row>
    <row r="4816">
      <c r="A4816" t="inlineStr">
        <is>
          <t>S|ORIG_BAL x ASSET_CLASS · SYS_FLAG N vs Y|ranr_rate|p|3</t>
        </is>
      </c>
      <c r="B4816" t="n">
        <v>0.7221500072215001</v>
      </c>
      <c r="C4816" t="n">
        <v>0.4714728527147286</v>
      </c>
      <c r="D4816" t="n">
        <v>0.8843115688431157</v>
      </c>
      <c r="E4816" t="n">
        <v>0.4231243542312435</v>
      </c>
    </row>
    <row r="4817">
      <c r="A4817" t="inlineStr">
        <is>
          <t>S|ORIG_BAL x ASSET_CLASS · SYS_FLAG N vs Y|ranr_rate|se|3</t>
        </is>
      </c>
      <c r="B4817" t="n">
        <v>0.005299889281699809</v>
      </c>
      <c r="C4817" t="n">
        <v>0.00729431226022441</v>
      </c>
      <c r="D4817" t="n">
        <v>0.003198509309871446</v>
      </c>
      <c r="E4817" t="n">
        <v>0.007253778587112138</v>
      </c>
    </row>
    <row r="4818">
      <c r="A4818" t="inlineStr">
        <is>
          <t>S|ORIG_BAL x ASSET_CLASS · SYS_FLAG N vs Y|ranr_rate|v|4</t>
        </is>
      </c>
      <c r="B4818" t="n">
        <v>1.110432602</v>
      </c>
      <c r="C4818" t="n">
        <v>2.363077353</v>
      </c>
      <c r="D4818" t="n">
        <v>4.98094396</v>
      </c>
      <c r="E4818" t="n">
        <v>7.421359624</v>
      </c>
    </row>
    <row r="4819">
      <c r="A4819" t="inlineStr">
        <is>
          <t>S|ORIG_BAL x ASSET_CLASS · SYS_FLAG N vs Y|ranr_rate|p|4</t>
        </is>
      </c>
      <c r="B4819" t="n">
        <v>0.652522982995818</v>
      </c>
      <c r="C4819" t="n">
        <v>0.382870803828708</v>
      </c>
      <c r="D4819" t="n">
        <v>0.097323600973236</v>
      </c>
      <c r="E4819" t="n">
        <v>0.00999900009999</v>
      </c>
    </row>
    <row r="4820">
      <c r="A4820" t="inlineStr">
        <is>
          <t>S|ORIG_BAL x ASSET_CLASS · SYS_FLAG N vs Y|ranr_rate|se|4</t>
        </is>
      </c>
      <c r="B4820" t="n">
        <v>0.005847117702803478</v>
      </c>
      <c r="C4820" t="n">
        <v>0.007413087628037143</v>
      </c>
      <c r="D4820" t="n">
        <v>0.007995949744600965</v>
      </c>
      <c r="E4820" t="n">
        <v>0.004470794358912076</v>
      </c>
    </row>
    <row r="4821">
      <c r="A4821" t="inlineStr">
        <is>
          <t>S|ORIG_BAL x ASSET_CLASS · SYS_FLAG N vs Y|ranr_rate|v|5</t>
        </is>
      </c>
      <c r="B4821" t="n">
        <v>3.316534663</v>
      </c>
      <c r="C4821" t="n">
        <v>3.591415331</v>
      </c>
      <c r="D4821" t="n">
        <v>2.097966507</v>
      </c>
      <c r="E4821" t="n">
        <v>3.307182716</v>
      </c>
    </row>
    <row r="4822">
      <c r="A4822" t="inlineStr">
        <is>
          <t>S|ORIG_BAL x ASSET_CLASS · SYS_FLAG N vs Y|ranr_rate|p|5</t>
        </is>
      </c>
      <c r="B4822" t="n">
        <v>0.185759201857592</v>
      </c>
      <c r="C4822" t="n">
        <v>0.1583841615838416</v>
      </c>
      <c r="D4822" t="n">
        <v>0.3487651234876512</v>
      </c>
      <c r="E4822" t="n">
        <v>0.185759201857592</v>
      </c>
    </row>
    <row r="4823">
      <c r="A4823" t="inlineStr">
        <is>
          <t>S|ORIG_BAL x ASSET_CLASS · SYS_FLAG N vs Y|ranr_rate|se|5</t>
        </is>
      </c>
      <c r="B4823" t="n">
        <v>0.006150542620577755</v>
      </c>
      <c r="C4823" t="n">
        <v>0.00780032758090806</v>
      </c>
      <c r="D4823" t="n">
        <v>0.007588762320786873</v>
      </c>
      <c r="E4823" t="n">
        <v>0.006150542620577755</v>
      </c>
    </row>
    <row r="4824">
      <c r="A4824" t="inlineStr">
        <is>
          <t>S|ORIG_BAL x ASSET_CLASS · SYS_FLAG N vs Y|ranr_rate|v|6</t>
        </is>
      </c>
    </row>
    <row r="4825">
      <c r="A4825" t="inlineStr">
        <is>
          <t>S|ORIG_BAL x ASSET_CLASS · SYS_FLAG N vs Y|ranr_rate|p|6</t>
        </is>
      </c>
    </row>
    <row r="4826">
      <c r="A4826" t="inlineStr">
        <is>
          <t>S|ORIG_BAL x ASSET_CLASS · SYS_FLAG N vs Y|ranr_rate|se|6</t>
        </is>
      </c>
    </row>
    <row r="4827">
      <c r="A4827" t="inlineStr">
        <is>
          <t>S|ORIG_BAL x ASSET_CLASS · SYS_FLAG N vs Y|sum|5</t>
        </is>
      </c>
      <c r="B4827" t="inlineStr">
        <is>
          <t>Earned before losses</t>
        </is>
      </c>
      <c r="C4827" t="n">
        <v>20</v>
      </c>
      <c r="D4827" t="inlineStr">
        <is>
          <t>6 of 20</t>
        </is>
      </c>
      <c r="E4827" t="n">
        <v>0.1414727947958779</v>
      </c>
      <c r="F4827" t="n">
        <v>0.2993976809210105</v>
      </c>
      <c r="G4827" t="inlineStr">
        <is>
          <t>pts</t>
        </is>
      </c>
      <c r="H4827" t="n">
        <v>0.6424357564243576</v>
      </c>
      <c r="L4827" t="inlineStr">
        <is>
          <t>not tested: dollar rate</t>
        </is>
      </c>
      <c r="P4827" t="n">
        <v>0.004792828552032934</v>
      </c>
    </row>
    <row r="4828">
      <c r="A4828" t="inlineStr">
        <is>
          <t>S|ORIG_BAL x ASSET_CLASS · SYS_FLAG N vs Y|contribution_rate|meta</t>
        </is>
      </c>
      <c r="B4828" t="inlineStr">
        <is>
          <t>pts</t>
        </is>
      </c>
      <c r="C4828" t="n">
        <v>3.355339911</v>
      </c>
    </row>
    <row r="4829">
      <c r="A4829" t="inlineStr">
        <is>
          <t>S|ORIG_BAL x ASSET_CLASS · SYS_FLAG N vs Y|contribution_rate|v|1</t>
        </is>
      </c>
      <c r="B4829" t="n">
        <v>0.497434561</v>
      </c>
      <c r="C4829" t="n">
        <v>1.223695846</v>
      </c>
      <c r="D4829" t="n">
        <v>-0.52977177</v>
      </c>
      <c r="E4829" t="n">
        <v>0.579853039</v>
      </c>
    </row>
    <row r="4830">
      <c r="A4830" t="inlineStr">
        <is>
          <t>S|ORIG_BAL x ASSET_CLASS · SYS_FLAG N vs Y|contribution_rate|p|1</t>
        </is>
      </c>
      <c r="B4830" t="n">
        <v>0.964727056706094</v>
      </c>
      <c r="C4830" t="n">
        <v>0.9425724094257242</v>
      </c>
      <c r="D4830" t="n">
        <v>0.964727056706094</v>
      </c>
      <c r="E4830" t="n">
        <v>0.964727056706094</v>
      </c>
    </row>
    <row r="4831">
      <c r="A4831" t="inlineStr">
        <is>
          <t>S|ORIG_BAL x ASSET_CLASS · SYS_FLAG N vs Y|contribution_rate|se|1</t>
        </is>
      </c>
      <c r="B4831" t="n">
        <v>0.004519676027645336</v>
      </c>
      <c r="C4831" t="n">
        <v>0.0109825434543587</v>
      </c>
      <c r="D4831" t="n">
        <v>0.004519676027645336</v>
      </c>
      <c r="E4831" t="n">
        <v>0.004519676027645336</v>
      </c>
    </row>
    <row r="4832">
      <c r="A4832" t="inlineStr">
        <is>
          <t>S|ORIG_BAL x ASSET_CLASS · SYS_FLAG N vs Y|contribution_rate|v|2</t>
        </is>
      </c>
      <c r="B4832" t="n">
        <v>2.285746751</v>
      </c>
      <c r="C4832" t="n">
        <v>0.316025118</v>
      </c>
      <c r="D4832" t="n">
        <v>0.351314592</v>
      </c>
      <c r="E4832" t="n">
        <v>-3.355339911</v>
      </c>
    </row>
    <row r="4833">
      <c r="A4833" t="inlineStr">
        <is>
          <t>S|ORIG_BAL x ASSET_CLASS · SYS_FLAG N vs Y|contribution_rate|p|2</t>
        </is>
      </c>
      <c r="B4833" t="n">
        <v>0.8529147085291471</v>
      </c>
      <c r="C4833" t="n">
        <v>0.964727056706094</v>
      </c>
      <c r="D4833" t="n">
        <v>0.964727056706094</v>
      </c>
      <c r="E4833" t="n">
        <v>0.155984401559844</v>
      </c>
    </row>
    <row r="4834">
      <c r="A4834" t="inlineStr">
        <is>
          <t>S|ORIG_BAL x ASSET_CLASS · SYS_FLAG N vs Y|contribution_rate|se|2</t>
        </is>
      </c>
      <c r="B4834" t="n">
        <v>0.02793149402603826</v>
      </c>
      <c r="C4834" t="n">
        <v>0.004519676027645336</v>
      </c>
      <c r="D4834" t="n">
        <v>0.004519676027645336</v>
      </c>
      <c r="E4834" t="n">
        <v>0.01759362639613249</v>
      </c>
    </row>
    <row r="4835">
      <c r="A4835" t="inlineStr">
        <is>
          <t>S|ORIG_BAL x ASSET_CLASS · SYS_FLAG N vs Y|contribution_rate|v|3</t>
        </is>
      </c>
      <c r="B4835" t="n">
        <v>0.290080227</v>
      </c>
      <c r="C4835" t="n">
        <v>-0.906371484</v>
      </c>
      <c r="D4835" t="n">
        <v>-0.966868615</v>
      </c>
      <c r="E4835" t="n">
        <v>0.052290622</v>
      </c>
    </row>
    <row r="4836">
      <c r="A4836" t="inlineStr">
        <is>
          <t>S|ORIG_BAL x ASSET_CLASS · SYS_FLAG N vs Y|contribution_rate|p|3</t>
        </is>
      </c>
      <c r="B4836" t="n">
        <v>0.964727056706094</v>
      </c>
      <c r="C4836" t="n">
        <v>0.9425724094257242</v>
      </c>
      <c r="D4836" t="n">
        <v>0.9437056294370564</v>
      </c>
      <c r="E4836" t="n">
        <v>0.9672032796720329</v>
      </c>
    </row>
    <row r="4837">
      <c r="A4837" t="inlineStr">
        <is>
          <t>S|ORIG_BAL x ASSET_CLASS · SYS_FLAG N vs Y|contribution_rate|se|3</t>
        </is>
      </c>
      <c r="B4837" t="n">
        <v>0.004519676027645336</v>
      </c>
      <c r="C4837" t="n">
        <v>0.0109825434543587</v>
      </c>
      <c r="D4837" t="n">
        <v>0.009984142145637361</v>
      </c>
      <c r="E4837" t="n">
        <v>0.001781041702591388</v>
      </c>
    </row>
    <row r="4838">
      <c r="A4838" t="inlineStr">
        <is>
          <t>S|ORIG_BAL x ASSET_CLASS · SYS_FLAG N vs Y|contribution_rate|v|4</t>
        </is>
      </c>
      <c r="B4838" t="n">
        <v>-1.074218202</v>
      </c>
      <c r="C4838" t="n">
        <v>0.633787875</v>
      </c>
      <c r="D4838" t="n">
        <v>1.640935028</v>
      </c>
      <c r="E4838" t="n">
        <v>0.998631503</v>
      </c>
    </row>
    <row r="4839">
      <c r="A4839" t="inlineStr">
        <is>
          <t>S|ORIG_BAL x ASSET_CLASS · SYS_FLAG N vs Y|contribution_rate|p|4</t>
        </is>
      </c>
      <c r="B4839" t="n">
        <v>0.9425724094257242</v>
      </c>
      <c r="C4839" t="n">
        <v>0.964727056706094</v>
      </c>
      <c r="D4839" t="n">
        <v>0.873912608739126</v>
      </c>
      <c r="E4839" t="n">
        <v>0.9425724094257242</v>
      </c>
    </row>
    <row r="4840">
      <c r="A4840" t="inlineStr">
        <is>
          <t>S|ORIG_BAL x ASSET_CLASS · SYS_FLAG N vs Y|contribution_rate|se|4</t>
        </is>
      </c>
      <c r="B4840" t="n">
        <v>0.0109825434543587</v>
      </c>
      <c r="C4840" t="n">
        <v>0.004519676027645336</v>
      </c>
      <c r="D4840" t="n">
        <v>0.01898904893874995</v>
      </c>
      <c r="E4840" t="n">
        <v>0.0109825434543587</v>
      </c>
    </row>
    <row r="4841">
      <c r="A4841" t="inlineStr">
        <is>
          <t>S|ORIG_BAL x ASSET_CLASS · SYS_FLAG N vs Y|contribution_rate|v|5</t>
        </is>
      </c>
      <c r="B4841" t="n">
        <v>-1.111458</v>
      </c>
      <c r="C4841" t="n">
        <v>1.791073634</v>
      </c>
      <c r="D4841" t="n">
        <v>0.099539247</v>
      </c>
      <c r="E4841" t="n">
        <v>0.08722374099999999</v>
      </c>
    </row>
    <row r="4842">
      <c r="A4842" t="inlineStr">
        <is>
          <t>S|ORIG_BAL x ASSET_CLASS · SYS_FLAG N vs Y|contribution_rate|p|5</t>
        </is>
      </c>
      <c r="B4842" t="n">
        <v>0.9425724094257242</v>
      </c>
      <c r="C4842" t="n">
        <v>0.873912608739126</v>
      </c>
      <c r="D4842" t="n">
        <v>0.9672032796720329</v>
      </c>
      <c r="E4842" t="n">
        <v>0.9672032796720329</v>
      </c>
    </row>
    <row r="4843">
      <c r="A4843" t="inlineStr">
        <is>
          <t>S|ORIG_BAL x ASSET_CLASS · SYS_FLAG N vs Y|contribution_rate|se|5</t>
        </is>
      </c>
      <c r="B4843" t="n">
        <v>0.0109825434543587</v>
      </c>
      <c r="C4843" t="n">
        <v>0.01898904893874995</v>
      </c>
      <c r="D4843" t="n">
        <v>0.001781041702591388</v>
      </c>
      <c r="E4843" t="n">
        <v>0.001781041702591388</v>
      </c>
    </row>
    <row r="4844">
      <c r="A4844" t="inlineStr">
        <is>
          <t>S|ORIG_BAL x ASSET_CLASS · SYS_FLAG N vs Y|contribution_rate|v|6</t>
        </is>
      </c>
    </row>
    <row r="4845">
      <c r="A4845" t="inlineStr">
        <is>
          <t>S|ORIG_BAL x ASSET_CLASS · SYS_FLAG N vs Y|contribution_rate|p|6</t>
        </is>
      </c>
    </row>
    <row r="4846">
      <c r="A4846" t="inlineStr">
        <is>
          <t>S|ORIG_BAL x ASSET_CLASS · SYS_FLAG N vs Y|contribution_rate|se|6</t>
        </is>
      </c>
    </row>
    <row r="4847">
      <c r="A4847" t="inlineStr">
        <is>
          <t>S|ORIG_BAL x ASSET_CLASS · SYS_FLAG Y vs N|chip</t>
        </is>
      </c>
    </row>
    <row r="4848">
      <c r="A4848" t="inlineStr">
        <is>
          <t>S|ORIG_BAL x ASSET_CLASS · SYS_FLAG Y vs N|rows</t>
        </is>
      </c>
      <c r="B4848" t="inlineStr">
        <is>
          <t>5,005 - 15,448</t>
        </is>
      </c>
      <c r="C4848" t="inlineStr">
        <is>
          <t>15,449 - 26,323</t>
        </is>
      </c>
      <c r="D4848" t="inlineStr">
        <is>
          <t>26,324 - 37,950</t>
        </is>
      </c>
      <c r="E4848" t="inlineStr">
        <is>
          <t>37,951 - 49,151</t>
        </is>
      </c>
      <c r="F4848" t="inlineStr">
        <is>
          <t>49,152 - 59,984</t>
        </is>
      </c>
      <c r="G4848" t="inlineStr">
        <is>
          <t>(blank)</t>
        </is>
      </c>
    </row>
    <row r="4849">
      <c r="A4849" t="inlineStr">
        <is>
          <t>S|ORIG_BAL x ASSET_CLASS · SYS_FLAG Y vs N|cols</t>
        </is>
      </c>
      <c r="B4849" t="inlineStr">
        <is>
          <t>1</t>
        </is>
      </c>
      <c r="C4849" t="inlineStr">
        <is>
          <t>2</t>
        </is>
      </c>
      <c r="D4849" t="inlineStr">
        <is>
          <t>3</t>
        </is>
      </c>
      <c r="E4849" t="inlineStr">
        <is>
          <t>4</t>
        </is>
      </c>
    </row>
    <row r="4850">
      <c r="A4850" t="inlineStr">
        <is>
          <t>S|ORIG_BAL x ASSET_CLASS · SYS_FLAG Y vs N|sum|1</t>
        </is>
      </c>
      <c r="B4850" t="inlineStr">
        <is>
          <t>Bad loans</t>
        </is>
      </c>
      <c r="C4850" t="n">
        <v>20</v>
      </c>
      <c r="D4850" t="inlineStr">
        <is>
          <t>18 of 20</t>
        </is>
      </c>
      <c r="E4850" t="n">
        <v>1.736526901080611</v>
      </c>
      <c r="F4850" t="n">
        <v>0.106414288220282</v>
      </c>
      <c r="G4850" t="inlineStr">
        <is>
          <t>x</t>
        </is>
      </c>
      <c r="H4850" t="n">
        <v>4.474675050674765e-12</v>
      </c>
      <c r="I4850" t="n">
        <v>1.829610383028856</v>
      </c>
      <c r="J4850" t="n">
        <v>7.943089394783887e-13</v>
      </c>
      <c r="K4850" t="n">
        <v>0.1957680909809109</v>
      </c>
      <c r="M4850" t="n">
        <v>7.943089394783819e-13</v>
      </c>
      <c r="N4850" t="n">
        <v>1</v>
      </c>
      <c r="O4850" t="n">
        <v>20</v>
      </c>
    </row>
    <row r="4851">
      <c r="A4851" t="inlineStr">
        <is>
          <t>S|ORIG_BAL x ASSET_CLASS · SYS_FLAG Y vs N|outcome_loans|meta</t>
        </is>
      </c>
      <c r="B4851" t="inlineStr">
        <is>
          <t>x</t>
        </is>
      </c>
      <c r="C4851" t="n">
        <v>4.695384615384615</v>
      </c>
    </row>
    <row r="4852">
      <c r="A4852" t="inlineStr">
        <is>
          <t>S|ORIG_BAL x ASSET_CLASS · SYS_FLAG Y vs N|outcome_loans|v|1</t>
        </is>
      </c>
      <c r="B4852" t="n">
        <v>2.9625</v>
      </c>
      <c r="C4852" t="n">
        <v>2.5925</v>
      </c>
      <c r="D4852" t="n">
        <v>1.511857707509881</v>
      </c>
      <c r="E4852" t="n">
        <v>1.00904452690167</v>
      </c>
    </row>
    <row r="4853">
      <c r="A4853" t="inlineStr">
        <is>
          <t>S|ORIG_BAL x ASSET_CLASS · SYS_FLAG Y vs N|outcome_loans|p|1</t>
        </is>
      </c>
      <c r="B4853" t="n">
        <v>0.03724301349464756</v>
      </c>
      <c r="C4853" t="n">
        <v>0.05098009131120271</v>
      </c>
      <c r="D4853" t="n">
        <v>0.3942694730931902</v>
      </c>
      <c r="E4853" t="n">
        <v>0.9758715398303034</v>
      </c>
    </row>
    <row r="4854">
      <c r="A4854" t="inlineStr">
        <is>
          <t>S|ORIG_BAL x ASSET_CLASS · SYS_FLAG Y vs N|outcome_loans|se|1</t>
        </is>
      </c>
    </row>
    <row r="4855">
      <c r="A4855" t="inlineStr">
        <is>
          <t>S|ORIG_BAL x ASSET_CLASS · SYS_FLAG Y vs N|outcome_loans|v|2</t>
        </is>
      </c>
      <c r="B4855" t="n">
        <v>1.382716049382716</v>
      </c>
      <c r="C4855" t="n">
        <v>0.9117647058823529</v>
      </c>
      <c r="D4855" t="n">
        <v>1.333678756476684</v>
      </c>
      <c r="E4855" t="n">
        <v>0.9479757085020243</v>
      </c>
    </row>
    <row r="4856">
      <c r="A4856" t="inlineStr">
        <is>
          <t>S|ORIG_BAL x ASSET_CLASS · SYS_FLAG Y vs N|outcome_loans|p|2</t>
        </is>
      </c>
      <c r="B4856" t="n">
        <v>0.4068338709080764</v>
      </c>
      <c r="C4856" t="n">
        <v>0.8911571956621716</v>
      </c>
      <c r="D4856" t="n">
        <v>0.4068338709080764</v>
      </c>
      <c r="E4856" t="n">
        <v>0.8911571956621716</v>
      </c>
    </row>
    <row r="4857">
      <c r="A4857" t="inlineStr">
        <is>
          <t>S|ORIG_BAL x ASSET_CLASS · SYS_FLAG Y vs N|outcome_loans|se|2</t>
        </is>
      </c>
    </row>
    <row r="4858">
      <c r="A4858" t="inlineStr">
        <is>
          <t>S|ORIG_BAL x ASSET_CLASS · SYS_FLAG Y vs N|outcome_loans|v|3</t>
        </is>
      </c>
      <c r="B4858" t="n">
        <v>1.44990366088632</v>
      </c>
      <c r="C4858" t="n">
        <v>2.639664804469274</v>
      </c>
      <c r="D4858" t="n">
        <v>1.431952662721893</v>
      </c>
      <c r="E4858" t="n">
        <v>1.58641600970285</v>
      </c>
    </row>
    <row r="4859">
      <c r="A4859" t="inlineStr">
        <is>
          <t>S|ORIG_BAL x ASSET_CLASS · SYS_FLAG Y vs N|outcome_loans|p|3</t>
        </is>
      </c>
      <c r="B4859" t="n">
        <v>0.4068338709080764</v>
      </c>
      <c r="C4859" t="n">
        <v>0.06967623583141758</v>
      </c>
      <c r="D4859" t="n">
        <v>0.4809933703335152</v>
      </c>
      <c r="E4859" t="n">
        <v>0.2212467280951125</v>
      </c>
    </row>
    <row r="4860">
      <c r="A4860" t="inlineStr">
        <is>
          <t>S|ORIG_BAL x ASSET_CLASS · SYS_FLAG Y vs N|outcome_loans|se|3</t>
        </is>
      </c>
    </row>
    <row r="4861">
      <c r="A4861" t="inlineStr">
        <is>
          <t>S|ORIG_BAL x ASSET_CLASS · SYS_FLAG Y vs N|outcome_loans|v|4</t>
        </is>
      </c>
      <c r="B4861" t="n">
        <v>2.728813559322034</v>
      </c>
      <c r="C4861" t="n">
        <v>2.097710776102736</v>
      </c>
      <c r="D4861" t="n">
        <v>1.997863247863247</v>
      </c>
      <c r="E4861" t="n">
        <v>2.604166666666667</v>
      </c>
    </row>
    <row r="4862">
      <c r="A4862" t="inlineStr">
        <is>
          <t>S|ORIG_BAL x ASSET_CLASS · SYS_FLAG Y vs N|outcome_loans|p|4</t>
        </is>
      </c>
      <c r="B4862" t="n">
        <v>0.07885613821724301</v>
      </c>
      <c r="C4862" t="n">
        <v>0.12814381469977</v>
      </c>
      <c r="D4862" t="n">
        <v>0.08601295916408219</v>
      </c>
      <c r="E4862" t="n">
        <v>0.004351436524476711</v>
      </c>
    </row>
    <row r="4863">
      <c r="A4863" t="inlineStr">
        <is>
          <t>S|ORIG_BAL x ASSET_CLASS · SYS_FLAG Y vs N|outcome_loans|se|4</t>
        </is>
      </c>
    </row>
    <row r="4864">
      <c r="A4864" t="inlineStr">
        <is>
          <t>S|ORIG_BAL x ASSET_CLASS · SYS_FLAG Y vs N|outcome_loans|v|5</t>
        </is>
      </c>
      <c r="B4864" t="n">
        <v>4.695384615384615</v>
      </c>
      <c r="C4864" t="n">
        <v>2.040609137055837</v>
      </c>
      <c r="D4864" t="n">
        <v>1.893854748603352</v>
      </c>
      <c r="E4864" t="n">
        <v>2.179824561403509</v>
      </c>
    </row>
    <row r="4865">
      <c r="A4865" t="inlineStr">
        <is>
          <t>S|ORIG_BAL x ASSET_CLASS · SYS_FLAG Y vs N|outcome_loans|p|5</t>
        </is>
      </c>
      <c r="B4865" t="n">
        <v>0.004351436524476711</v>
      </c>
      <c r="C4865" t="n">
        <v>0.1653212500419103</v>
      </c>
      <c r="D4865" t="n">
        <v>0.2407013465809081</v>
      </c>
      <c r="E4865" t="n">
        <v>0.06967623583141758</v>
      </c>
    </row>
    <row r="4866">
      <c r="A4866" t="inlineStr">
        <is>
          <t>S|ORIG_BAL x ASSET_CLASS · SYS_FLAG Y vs N|outcome_loans|se|5</t>
        </is>
      </c>
    </row>
    <row r="4867">
      <c r="A4867" t="inlineStr">
        <is>
          <t>S|ORIG_BAL x ASSET_CLASS · SYS_FLAG Y vs N|outcome_loans|v|6</t>
        </is>
      </c>
    </row>
    <row r="4868">
      <c r="A4868" t="inlineStr">
        <is>
          <t>S|ORIG_BAL x ASSET_CLASS · SYS_FLAG Y vs N|outcome_loans|p|6</t>
        </is>
      </c>
    </row>
    <row r="4869">
      <c r="A4869" t="inlineStr">
        <is>
          <t>S|ORIG_BAL x ASSET_CLASS · SYS_FLAG Y vs N|outcome_loans|se|6</t>
        </is>
      </c>
    </row>
    <row r="4870">
      <c r="A4870" t="inlineStr">
        <is>
          <t>S|ORIG_BAL x ASSET_CLASS · SYS_FLAG Y vs N|sum|2</t>
        </is>
      </c>
      <c r="B4870" t="inlineStr">
        <is>
          <t>Bad dollars</t>
        </is>
      </c>
      <c r="C4870" t="n">
        <v>20</v>
      </c>
      <c r="D4870" t="inlineStr">
        <is>
          <t>18 of 20</t>
        </is>
      </c>
      <c r="E4870" t="n">
        <v>1.906151386698467</v>
      </c>
      <c r="F4870" t="n">
        <v>0.1275312064536567</v>
      </c>
      <c r="G4870" t="inlineStr">
        <is>
          <t>x</t>
        </is>
      </c>
      <c r="H4870" t="n">
        <v>9.999000099990002e-05</v>
      </c>
      <c r="L4870" t="inlineStr">
        <is>
          <t>not tested: dollar rate</t>
        </is>
      </c>
      <c r="P4870" t="n">
        <v>9.999000099990002e-05</v>
      </c>
    </row>
    <row r="4871">
      <c r="A4871" t="inlineStr">
        <is>
          <t>S|ORIG_BAL x ASSET_CLASS · SYS_FLAG Y vs N|outcome_booked|meta</t>
        </is>
      </c>
      <c r="B4871" t="inlineStr">
        <is>
          <t>x</t>
        </is>
      </c>
      <c r="C4871" t="n">
        <v>4.721811829028911</v>
      </c>
    </row>
    <row r="4872">
      <c r="A4872" t="inlineStr">
        <is>
          <t>S|ORIG_BAL x ASSET_CLASS · SYS_FLAG Y vs N|outcome_booked|v|1</t>
        </is>
      </c>
      <c r="B4872" t="n">
        <v>2.565384517072418</v>
      </c>
      <c r="C4872" t="n">
        <v>2.637844717260541</v>
      </c>
      <c r="D4872" t="n">
        <v>1.625020964033855</v>
      </c>
      <c r="E4872" t="n">
        <v>1.075518506138101</v>
      </c>
    </row>
    <row r="4873">
      <c r="A4873" t="inlineStr">
        <is>
          <t>S|ORIG_BAL x ASSET_CLASS · SYS_FLAG Y vs N|outcome_booked|p|1</t>
        </is>
      </c>
      <c r="B4873" t="n">
        <v>0.0791920807919208</v>
      </c>
      <c r="C4873" t="n">
        <v>0.0791920807919208</v>
      </c>
      <c r="D4873" t="n">
        <v>0.3241214340104451</v>
      </c>
      <c r="E4873" t="n">
        <v>0.90990900909909</v>
      </c>
    </row>
    <row r="4874">
      <c r="A4874" t="inlineStr">
        <is>
          <t>S|ORIG_BAL x ASSET_CLASS · SYS_FLAG Y vs N|outcome_booked|se|1</t>
        </is>
      </c>
      <c r="B4874" t="n">
        <v>0.005572225206392228</v>
      </c>
      <c r="C4874" t="n">
        <v>0.005572225206392228</v>
      </c>
      <c r="D4874" t="n">
        <v>0.006273704296753889</v>
      </c>
      <c r="E4874" t="n">
        <v>0.004278733519049908</v>
      </c>
    </row>
    <row r="4875">
      <c r="A4875" t="inlineStr">
        <is>
          <t>S|ORIG_BAL x ASSET_CLASS · SYS_FLAG Y vs N|outcome_booked|v|2</t>
        </is>
      </c>
      <c r="B4875" t="n">
        <v>1.388633194663998</v>
      </c>
      <c r="C4875" t="n">
        <v>0.950735550980387</v>
      </c>
      <c r="D4875" t="n">
        <v>1.299091913903267</v>
      </c>
      <c r="E4875" t="n">
        <v>0.9628103355751604</v>
      </c>
    </row>
    <row r="4876">
      <c r="A4876" t="inlineStr">
        <is>
          <t>S|ORIG_BAL x ASSET_CLASS · SYS_FLAG Y vs N|outcome_booked|p|2</t>
        </is>
      </c>
      <c r="B4876" t="n">
        <v>0.4256717185424314</v>
      </c>
      <c r="C4876" t="n">
        <v>0.9199080091990801</v>
      </c>
      <c r="D4876" t="n">
        <v>0.494185875530094</v>
      </c>
      <c r="E4876" t="n">
        <v>0.9199080091990801</v>
      </c>
    </row>
    <row r="4877">
      <c r="A4877" t="inlineStr">
        <is>
          <t>S|ORIG_BAL x ASSET_CLASS · SYS_FLAG Y vs N|outcome_booked|se|2</t>
        </is>
      </c>
      <c r="B4877" t="n">
        <v>0.006533804734561244</v>
      </c>
      <c r="C4877" t="n">
        <v>0.002714355610646204</v>
      </c>
      <c r="D4877" t="n">
        <v>0.005806681221739472</v>
      </c>
      <c r="E4877" t="n">
        <v>0.002714355610646204</v>
      </c>
    </row>
    <row r="4878">
      <c r="A4878" t="inlineStr">
        <is>
          <t>S|ORIG_BAL x ASSET_CLASS · SYS_FLAG Y vs N|outcome_booked|v|3</t>
        </is>
      </c>
      <c r="B4878" t="n">
        <v>1.371715745888323</v>
      </c>
      <c r="C4878" t="n">
        <v>2.705687464541374</v>
      </c>
      <c r="D4878" t="n">
        <v>1.441375628177278</v>
      </c>
      <c r="E4878" t="n">
        <v>1.482438180759781</v>
      </c>
    </row>
    <row r="4879">
      <c r="A4879" t="inlineStr">
        <is>
          <t>S|ORIG_BAL x ASSET_CLASS · SYS_FLAG Y vs N|outcome_booked|p|3</t>
        </is>
      </c>
      <c r="B4879" t="n">
        <v>0.494185875530094</v>
      </c>
      <c r="C4879" t="n">
        <v>0.0791920807919208</v>
      </c>
      <c r="D4879" t="n">
        <v>0.494185875530094</v>
      </c>
      <c r="E4879" t="n">
        <v>0.3234676532346766</v>
      </c>
    </row>
    <row r="4880">
      <c r="A4880" t="inlineStr">
        <is>
          <t>S|ORIG_BAL x ASSET_CLASS · SYS_FLAG Y vs N|outcome_booked|se|3</t>
        </is>
      </c>
      <c r="B4880" t="n">
        <v>0.005806681221739472</v>
      </c>
      <c r="C4880" t="n">
        <v>0.005572225206392228</v>
      </c>
      <c r="D4880" t="n">
        <v>0.005806681221739472</v>
      </c>
      <c r="E4880" t="n">
        <v>0.006591520558277724</v>
      </c>
    </row>
    <row r="4881">
      <c r="A4881" t="inlineStr">
        <is>
          <t>S|ORIG_BAL x ASSET_CLASS · SYS_FLAG Y vs N|outcome_booked|v|4</t>
        </is>
      </c>
      <c r="B4881" t="n">
        <v>2.562465610050912</v>
      </c>
      <c r="C4881" t="n">
        <v>2.077043421682835</v>
      </c>
      <c r="D4881" t="n">
        <v>1.954886211608303</v>
      </c>
      <c r="E4881" t="n">
        <v>2.560715342802524</v>
      </c>
    </row>
    <row r="4882">
      <c r="A4882" t="inlineStr">
        <is>
          <t>S|ORIG_BAL x ASSET_CLASS · SYS_FLAG Y vs N|outcome_booked|p|4</t>
        </is>
      </c>
      <c r="B4882" t="n">
        <v>0.1097033153827474</v>
      </c>
      <c r="C4882" t="n">
        <v>0.131320201313202</v>
      </c>
      <c r="D4882" t="n">
        <v>0.1102389761023898</v>
      </c>
      <c r="E4882" t="n">
        <v>0.006999300069993001</v>
      </c>
    </row>
    <row r="4883">
      <c r="A4883" t="inlineStr">
        <is>
          <t>S|ORIG_BAL x ASSET_CLASS · SYS_FLAG Y vs N|outcome_booked|se|4</t>
        </is>
      </c>
      <c r="B4883" t="n">
        <v>0.0054900202781478</v>
      </c>
      <c r="C4883" t="n">
        <v>0.005240015976234743</v>
      </c>
      <c r="D4883" t="n">
        <v>0.005132687487115022</v>
      </c>
      <c r="E4883" t="n">
        <v>0.002644692997277004</v>
      </c>
    </row>
    <row r="4884">
      <c r="A4884" t="inlineStr">
        <is>
          <t>S|ORIG_BAL x ASSET_CLASS · SYS_FLAG Y vs N|outcome_booked|v|5</t>
        </is>
      </c>
      <c r="B4884" t="n">
        <v>4.721811829028911</v>
      </c>
      <c r="C4884" t="n">
        <v>1.963281670169403</v>
      </c>
      <c r="D4884" t="n">
        <v>1.917665706660837</v>
      </c>
      <c r="E4884" t="n">
        <v>2.149806455699593</v>
      </c>
    </row>
    <row r="4885">
      <c r="A4885" t="inlineStr">
        <is>
          <t>S|ORIG_BAL x ASSET_CLASS · SYS_FLAG Y vs N|outcome_booked|p|5</t>
        </is>
      </c>
      <c r="B4885" t="n">
        <v>0.005332800053328</v>
      </c>
      <c r="C4885" t="n">
        <v>0.2193780621937806</v>
      </c>
      <c r="D4885" t="n">
        <v>0.225613802256138</v>
      </c>
      <c r="E4885" t="n">
        <v>0.08232510082325101</v>
      </c>
    </row>
    <row r="4886">
      <c r="A4886" t="inlineStr">
        <is>
          <t>S|ORIG_BAL x ASSET_CLASS · SYS_FLAG Y vs N|outcome_booked|se|5</t>
        </is>
      </c>
      <c r="B4886" t="n">
        <v>0.0026660000366585</v>
      </c>
      <c r="C4886" t="n">
        <v>0.006250035121626621</v>
      </c>
      <c r="D4886" t="n">
        <v>0.005994208249840061</v>
      </c>
      <c r="E4886" t="n">
        <v>0.005173389416220391</v>
      </c>
    </row>
    <row r="4887">
      <c r="A4887" t="inlineStr">
        <is>
          <t>S|ORIG_BAL x ASSET_CLASS · SYS_FLAG Y vs N|outcome_booked|v|6</t>
        </is>
      </c>
    </row>
    <row r="4888">
      <c r="A4888" t="inlineStr">
        <is>
          <t>S|ORIG_BAL x ASSET_CLASS · SYS_FLAG Y vs N|outcome_booked|p|6</t>
        </is>
      </c>
    </row>
    <row r="4889">
      <c r="A4889" t="inlineStr">
        <is>
          <t>S|ORIG_BAL x ASSET_CLASS · SYS_FLAG Y vs N|outcome_booked|se|6</t>
        </is>
      </c>
    </row>
    <row r="4890">
      <c r="A4890" t="inlineStr">
        <is>
          <t>S|ORIG_BAL x ASSET_CLASS · SYS_FLAG Y vs N|sum|3</t>
        </is>
      </c>
      <c r="B4890" t="inlineStr">
        <is>
          <t>Charge-offs</t>
        </is>
      </c>
      <c r="C4890" t="n">
        <v>20</v>
      </c>
      <c r="D4890" t="inlineStr">
        <is>
          <t>18 of 20</t>
        </is>
      </c>
      <c r="E4890" t="n">
        <v>1.802857960901274</v>
      </c>
      <c r="F4890" t="n">
        <v>0.1269078730251589</v>
      </c>
      <c r="G4890" t="inlineStr">
        <is>
          <t>x</t>
        </is>
      </c>
      <c r="H4890" t="n">
        <v>9.999000099990002e-05</v>
      </c>
      <c r="L4890" t="inlineStr">
        <is>
          <t>not tested: dollar rate</t>
        </is>
      </c>
      <c r="P4890" t="n">
        <v>9.999000099990002e-05</v>
      </c>
    </row>
    <row r="4891">
      <c r="A4891" t="inlineStr">
        <is>
          <t>S|ORIG_BAL x ASSET_CLASS · SYS_FLAG Y vs N|gco_rate|meta</t>
        </is>
      </c>
      <c r="B4891" t="inlineStr">
        <is>
          <t>x</t>
        </is>
      </c>
      <c r="C4891" t="n">
        <v>3.97132144778733</v>
      </c>
    </row>
    <row r="4892">
      <c r="A4892" t="inlineStr">
        <is>
          <t>S|ORIG_BAL x ASSET_CLASS · SYS_FLAG Y vs N|gco_rate|v|1</t>
        </is>
      </c>
      <c r="B4892" t="n">
        <v>2.211053207828631</v>
      </c>
      <c r="C4892" t="n">
        <v>2.795272360443936</v>
      </c>
      <c r="D4892" t="n">
        <v>1.716296401818573</v>
      </c>
      <c r="E4892" t="n">
        <v>1.204866636582234</v>
      </c>
    </row>
    <row r="4893">
      <c r="A4893" t="inlineStr">
        <is>
          <t>S|ORIG_BAL x ASSET_CLASS · SYS_FLAG Y vs N|gco_rate|p|1</t>
        </is>
      </c>
      <c r="B4893" t="n">
        <v>0.1845529732741012</v>
      </c>
      <c r="C4893" t="n">
        <v>0.07332600073326001</v>
      </c>
      <c r="D4893" t="n">
        <v>0.338632803386328</v>
      </c>
      <c r="E4893" t="n">
        <v>0.67228571260521</v>
      </c>
    </row>
    <row r="4894">
      <c r="A4894" t="inlineStr">
        <is>
          <t>S|ORIG_BAL x ASSET_CLASS · SYS_FLAG Y vs N|gco_rate|se|1</t>
        </is>
      </c>
      <c r="B4894" t="n">
        <v>0.00702306492501859</v>
      </c>
      <c r="C4894" t="n">
        <v>0.006953152540429888</v>
      </c>
      <c r="D4894" t="n">
        <v>0.006706085520738582</v>
      </c>
      <c r="E4894" t="n">
        <v>0.005821995262774956</v>
      </c>
    </row>
    <row r="4895">
      <c r="A4895" t="inlineStr">
        <is>
          <t>S|ORIG_BAL x ASSET_CLASS · SYS_FLAG Y vs N|gco_rate|v|2</t>
        </is>
      </c>
      <c r="B4895" t="n">
        <v>1.477010092590856</v>
      </c>
      <c r="C4895" t="n">
        <v>0.7792222710339882</v>
      </c>
      <c r="D4895" t="n">
        <v>1.29906710312663</v>
      </c>
      <c r="E4895" t="n">
        <v>0.9401695535959211</v>
      </c>
    </row>
    <row r="4896">
      <c r="A4896" t="inlineStr">
        <is>
          <t>S|ORIG_BAL x ASSET_CLASS · SYS_FLAG Y vs N|gco_rate|p|2</t>
        </is>
      </c>
      <c r="B4896" t="n">
        <v>0.3446798177325125</v>
      </c>
      <c r="C4896" t="n">
        <v>0.67228571260521</v>
      </c>
      <c r="D4896" t="n">
        <v>0.5327467253274673</v>
      </c>
      <c r="E4896" t="n">
        <v>0.8323167683231677</v>
      </c>
    </row>
    <row r="4897">
      <c r="A4897" t="inlineStr">
        <is>
          <t>S|ORIG_BAL x ASSET_CLASS · SYS_FLAG Y vs N|gco_rate|se|2</t>
        </is>
      </c>
      <c r="B4897" t="n">
        <v>0.006112246418999785</v>
      </c>
      <c r="C4897" t="n">
        <v>0.005821995262774956</v>
      </c>
      <c r="D4897" t="n">
        <v>0.00653077249455338</v>
      </c>
      <c r="E4897" t="n">
        <v>0.003735847500785412</v>
      </c>
    </row>
    <row r="4898">
      <c r="A4898" t="inlineStr">
        <is>
          <t>S|ORIG_BAL x ASSET_CLASS · SYS_FLAG Y vs N|gco_rate|v|3</t>
        </is>
      </c>
      <c r="B4898" t="n">
        <v>1.177698986395448</v>
      </c>
      <c r="C4898" t="n">
        <v>2.444471088713551</v>
      </c>
      <c r="D4898" t="n">
        <v>1.247447535581461</v>
      </c>
      <c r="E4898" t="n">
        <v>1.488129960094538</v>
      </c>
    </row>
    <row r="4899">
      <c r="A4899" t="inlineStr">
        <is>
          <t>S|ORIG_BAL x ASSET_CLASS · SYS_FLAG Y vs N|gco_rate|p|3</t>
        </is>
      </c>
      <c r="B4899" t="n">
        <v>0.7240328598719076</v>
      </c>
      <c r="C4899" t="n">
        <v>0.1774822517748225</v>
      </c>
      <c r="D4899" t="n">
        <v>0.6930418069304181</v>
      </c>
      <c r="E4899" t="n">
        <v>0.338632803386328</v>
      </c>
    </row>
    <row r="4900">
      <c r="A4900" t="inlineStr">
        <is>
          <t>S|ORIG_BAL x ASSET_CLASS · SYS_FLAG Y vs N|gco_rate|se|3</t>
        </is>
      </c>
      <c r="B4900" t="n">
        <v>0.004877666146042095</v>
      </c>
      <c r="C4900" t="n">
        <v>0.009251547487739827</v>
      </c>
      <c r="D4900" t="n">
        <v>0.005382745637604753</v>
      </c>
      <c r="E4900" t="n">
        <v>0.006706085520738582</v>
      </c>
    </row>
    <row r="4901">
      <c r="A4901" t="inlineStr">
        <is>
          <t>S|ORIG_BAL x ASSET_CLASS · SYS_FLAG Y vs N|gco_rate|v|4</t>
        </is>
      </c>
      <c r="B4901" t="n">
        <v>2.106717796511318</v>
      </c>
      <c r="C4901" t="n">
        <v>1.649936989089542</v>
      </c>
      <c r="D4901" t="n">
        <v>1.918053769152986</v>
      </c>
      <c r="E4901" t="n">
        <v>2.64432710057913</v>
      </c>
    </row>
    <row r="4902">
      <c r="A4902" t="inlineStr">
        <is>
          <t>S|ORIG_BAL x ASSET_CLASS · SYS_FLAG Y vs N|gco_rate|p|4</t>
        </is>
      </c>
      <c r="B4902" t="n">
        <v>0.243753402437534</v>
      </c>
      <c r="C4902" t="n">
        <v>0.3411966495658127</v>
      </c>
      <c r="D4902" t="n">
        <v>0.1845529732741012</v>
      </c>
      <c r="E4902" t="n">
        <v>0.009332400093324001</v>
      </c>
    </row>
    <row r="4903">
      <c r="A4903" t="inlineStr">
        <is>
          <t>S|ORIG_BAL x ASSET_CLASS · SYS_FLAG Y vs N|gco_rate|se|4</t>
        </is>
      </c>
      <c r="B4903" t="n">
        <v>0.006944483468474023</v>
      </c>
      <c r="C4903" t="n">
        <v>0.006391422132311451</v>
      </c>
      <c r="D4903" t="n">
        <v>0.00702306492501859</v>
      </c>
      <c r="E4903" t="n">
        <v>0.003526257329702672</v>
      </c>
    </row>
    <row r="4904">
      <c r="A4904" t="inlineStr">
        <is>
          <t>S|ORIG_BAL x ASSET_CLASS · SYS_FLAG Y vs N|gco_rate|v|5</t>
        </is>
      </c>
      <c r="B4904" t="n">
        <v>3.97132144778733</v>
      </c>
      <c r="C4904" t="n">
        <v>1.755265983582352</v>
      </c>
      <c r="D4904" t="n">
        <v>2.171036115230657</v>
      </c>
      <c r="E4904" t="n">
        <v>1.944508834951082</v>
      </c>
    </row>
    <row r="4905">
      <c r="A4905" t="inlineStr">
        <is>
          <t>S|ORIG_BAL x ASSET_CLASS · SYS_FLAG Y vs N|gco_rate|p|5</t>
        </is>
      </c>
      <c r="B4905" t="n">
        <v>0.011998800119988</v>
      </c>
      <c r="C4905" t="n">
        <v>0.338632803386328</v>
      </c>
      <c r="D4905" t="n">
        <v>0.227977202279772</v>
      </c>
      <c r="E4905" t="n">
        <v>0.1845529732741012</v>
      </c>
    </row>
    <row r="4906">
      <c r="A4906" t="inlineStr">
        <is>
          <t>S|ORIG_BAL x ASSET_CLASS · SYS_FLAG Y vs N|gco_rate|se|5</t>
        </is>
      </c>
      <c r="B4906" t="n">
        <v>0.003461849650050686</v>
      </c>
      <c r="C4906" t="n">
        <v>0.006706085520738582</v>
      </c>
      <c r="D4906" t="n">
        <v>0.007197009107539868</v>
      </c>
      <c r="E4906" t="n">
        <v>0.00702306492501859</v>
      </c>
    </row>
    <row r="4907">
      <c r="A4907" t="inlineStr">
        <is>
          <t>S|ORIG_BAL x ASSET_CLASS · SYS_FLAG Y vs N|gco_rate|v|6</t>
        </is>
      </c>
    </row>
    <row r="4908">
      <c r="A4908" t="inlineStr">
        <is>
          <t>S|ORIG_BAL x ASSET_CLASS · SYS_FLAG Y vs N|gco_rate|p|6</t>
        </is>
      </c>
    </row>
    <row r="4909">
      <c r="A4909" t="inlineStr">
        <is>
          <t>S|ORIG_BAL x ASSET_CLASS · SYS_FLAG Y vs N|gco_rate|se|6</t>
        </is>
      </c>
    </row>
    <row r="4910">
      <c r="A4910" t="inlineStr">
        <is>
          <t>S|ORIG_BAL x ASSET_CLASS · SYS_FLAG Y vs N|sum|4</t>
        </is>
      </c>
      <c r="B4910" t="inlineStr">
        <is>
          <t>Kept after losses</t>
        </is>
      </c>
      <c r="C4910" t="n">
        <v>20</v>
      </c>
      <c r="D4910" t="inlineStr">
        <is>
          <t>17 of 20</t>
        </is>
      </c>
      <c r="E4910" t="n">
        <v>-2.615907231507666</v>
      </c>
      <c r="F4910" t="n">
        <v>0.4661900665856478</v>
      </c>
      <c r="G4910" t="inlineStr">
        <is>
          <t>pts</t>
        </is>
      </c>
      <c r="H4910" t="n">
        <v>9.999000099990002e-05</v>
      </c>
      <c r="L4910" t="inlineStr">
        <is>
          <t>not tested: dollar rate</t>
        </is>
      </c>
      <c r="P4910" t="n">
        <v>9.999000099990002e-05</v>
      </c>
    </row>
    <row r="4911">
      <c r="A4911" t="inlineStr">
        <is>
          <t>S|ORIG_BAL x ASSET_CLASS · SYS_FLAG Y vs N|ranr_rate|meta</t>
        </is>
      </c>
      <c r="B4911" t="inlineStr">
        <is>
          <t>pts</t>
        </is>
      </c>
      <c r="C4911" t="n">
        <v>7.421359624</v>
      </c>
    </row>
    <row r="4912">
      <c r="A4912" t="inlineStr">
        <is>
          <t>S|ORIG_BAL x ASSET_CLASS · SYS_FLAG Y vs N|ranr_rate|v|1</t>
        </is>
      </c>
      <c r="B4912" t="n">
        <v>-3.111155147</v>
      </c>
      <c r="C4912" t="n">
        <v>-4.904053458</v>
      </c>
      <c r="D4912" t="n">
        <v>-1.872099247</v>
      </c>
      <c r="E4912" t="n">
        <v>-1.555920985</v>
      </c>
    </row>
    <row r="4913">
      <c r="A4913" t="inlineStr">
        <is>
          <t>S|ORIG_BAL x ASSET_CLASS · SYS_FLAG Y vs N|ranr_rate|p|1</t>
        </is>
      </c>
      <c r="B4913" t="n">
        <v>0.185759201857592</v>
      </c>
      <c r="C4913" t="n">
        <v>0.05899410058994101</v>
      </c>
      <c r="D4913" t="n">
        <v>0.5247475252474753</v>
      </c>
      <c r="E4913" t="n">
        <v>0.5478202179782022</v>
      </c>
    </row>
    <row r="4914">
      <c r="A4914" t="inlineStr">
        <is>
          <t>S|ORIG_BAL x ASSET_CLASS · SYS_FLAG Y vs N|ranr_rate|se|1</t>
        </is>
      </c>
      <c r="B4914" t="n">
        <v>0.006150542620577755</v>
      </c>
      <c r="C4914" t="n">
        <v>0.007658072224750781</v>
      </c>
      <c r="D4914" t="n">
        <v>0.006513857549434773</v>
      </c>
      <c r="E4914" t="n">
        <v>0.006202163181076968</v>
      </c>
    </row>
    <row r="4915">
      <c r="A4915" t="inlineStr">
        <is>
          <t>S|ORIG_BAL x ASSET_CLASS · SYS_FLAG Y vs N|ranr_rate|v|2</t>
        </is>
      </c>
      <c r="B4915" t="n">
        <v>-4.438493177</v>
      </c>
      <c r="C4915" t="n">
        <v>0.531302104</v>
      </c>
      <c r="D4915" t="n">
        <v>-1.885029486</v>
      </c>
      <c r="E4915" t="n">
        <v>3.741260553</v>
      </c>
    </row>
    <row r="4916">
      <c r="A4916" t="inlineStr">
        <is>
          <t>S|ORIG_BAL x ASSET_CLASS · SYS_FLAG Y vs N|ranr_rate|p|2</t>
        </is>
      </c>
      <c r="B4916" t="n">
        <v>0.153984601539846</v>
      </c>
      <c r="C4916" t="n">
        <v>0.8080244607118235</v>
      </c>
      <c r="D4916" t="n">
        <v>0.5247475252474753</v>
      </c>
      <c r="E4916" t="n">
        <v>0.185759201857592</v>
      </c>
    </row>
    <row r="4917">
      <c r="A4917" t="inlineStr">
        <is>
          <t>S|ORIG_BAL x ASSET_CLASS · SYS_FLAG Y vs N|ranr_rate|se|2</t>
        </is>
      </c>
      <c r="B4917" t="n">
        <v>0.008638354879187616</v>
      </c>
      <c r="C4917" t="n">
        <v>0.004445768041616087</v>
      </c>
      <c r="D4917" t="n">
        <v>0.006513857549434773</v>
      </c>
      <c r="E4917" t="n">
        <v>0.006150542620577755</v>
      </c>
    </row>
    <row r="4918">
      <c r="A4918" t="inlineStr">
        <is>
          <t>S|ORIG_BAL x ASSET_CLASS · SYS_FLAG Y vs N|ranr_rate|v|3</t>
        </is>
      </c>
      <c r="B4918" t="n">
        <v>-0.88426191</v>
      </c>
      <c r="C4918" t="n">
        <v>-1.626025211</v>
      </c>
      <c r="D4918" t="n">
        <v>0.268072748</v>
      </c>
      <c r="E4918" t="n">
        <v>-2.18765542</v>
      </c>
    </row>
    <row r="4919">
      <c r="A4919" t="inlineStr">
        <is>
          <t>S|ORIG_BAL x ASSET_CLASS · SYS_FLAG Y vs N|ranr_rate|p|3</t>
        </is>
      </c>
      <c r="B4919" t="n">
        <v>0.7221500072215001</v>
      </c>
      <c r="C4919" t="n">
        <v>0.4714913124072208</v>
      </c>
      <c r="D4919" t="n">
        <v>0.8843115688431157</v>
      </c>
      <c r="E4919" t="n">
        <v>0.4231243542312435</v>
      </c>
    </row>
    <row r="4920">
      <c r="A4920" t="inlineStr">
        <is>
          <t>S|ORIG_BAL x ASSET_CLASS · SYS_FLAG Y vs N|ranr_rate|se|3</t>
        </is>
      </c>
      <c r="B4920" t="n">
        <v>0.005299889281699809</v>
      </c>
      <c r="C4920" t="n">
        <v>0.007092722976274903</v>
      </c>
      <c r="D4920" t="n">
        <v>0.003198509309871446</v>
      </c>
      <c r="E4920" t="n">
        <v>0.007253778587112138</v>
      </c>
    </row>
    <row r="4921">
      <c r="A4921" t="inlineStr">
        <is>
          <t>S|ORIG_BAL x ASSET_CLASS · SYS_FLAG Y vs N|ranr_rate|v|4</t>
        </is>
      </c>
      <c r="B4921" t="n">
        <v>-1.110432602</v>
      </c>
      <c r="C4921" t="n">
        <v>-2.363077353</v>
      </c>
      <c r="D4921" t="n">
        <v>-4.98094396</v>
      </c>
      <c r="E4921" t="n">
        <v>-7.421359624</v>
      </c>
    </row>
    <row r="4922">
      <c r="A4922" t="inlineStr">
        <is>
          <t>S|ORIG_BAL x ASSET_CLASS · SYS_FLAG Y vs N|ranr_rate|p|4</t>
        </is>
      </c>
      <c r="B4922" t="n">
        <v>0.652522982995818</v>
      </c>
      <c r="C4922" t="n">
        <v>0.382870803828708</v>
      </c>
      <c r="D4922" t="n">
        <v>0.097323600973236</v>
      </c>
      <c r="E4922" t="n">
        <v>0.00999900009999</v>
      </c>
    </row>
    <row r="4923">
      <c r="A4923" t="inlineStr">
        <is>
          <t>S|ORIG_BAL x ASSET_CLASS · SYS_FLAG Y vs N|ranr_rate|se|4</t>
        </is>
      </c>
      <c r="B4923" t="n">
        <v>0.005847117702803478</v>
      </c>
      <c r="C4923" t="n">
        <v>0.007413087628037143</v>
      </c>
      <c r="D4923" t="n">
        <v>0.007995949744600965</v>
      </c>
      <c r="E4923" t="n">
        <v>0.004470794358912076</v>
      </c>
    </row>
    <row r="4924">
      <c r="A4924" t="inlineStr">
        <is>
          <t>S|ORIG_BAL x ASSET_CLASS · SYS_FLAG Y vs N|ranr_rate|v|5</t>
        </is>
      </c>
      <c r="B4924" t="n">
        <v>-3.316534663</v>
      </c>
      <c r="C4924" t="n">
        <v>-3.591415331</v>
      </c>
      <c r="D4924" t="n">
        <v>-2.097966507</v>
      </c>
      <c r="E4924" t="n">
        <v>-3.307182716</v>
      </c>
    </row>
    <row r="4925">
      <c r="A4925" t="inlineStr">
        <is>
          <t>S|ORIG_BAL x ASSET_CLASS · SYS_FLAG Y vs N|ranr_rate|p|5</t>
        </is>
      </c>
      <c r="B4925" t="n">
        <v>0.185759201857592</v>
      </c>
      <c r="C4925" t="n">
        <v>0.1583841615838416</v>
      </c>
      <c r="D4925" t="n">
        <v>0.3487651234876512</v>
      </c>
      <c r="E4925" t="n">
        <v>0.185759201857592</v>
      </c>
    </row>
    <row r="4926">
      <c r="A4926" t="inlineStr">
        <is>
          <t>S|ORIG_BAL x ASSET_CLASS · SYS_FLAG Y vs N|ranr_rate|se|5</t>
        </is>
      </c>
      <c r="B4926" t="n">
        <v>0.006150542620577755</v>
      </c>
      <c r="C4926" t="n">
        <v>0.00780032758090806</v>
      </c>
      <c r="D4926" t="n">
        <v>0.007588762320786873</v>
      </c>
      <c r="E4926" t="n">
        <v>0.006150542620577755</v>
      </c>
    </row>
    <row r="4927">
      <c r="A4927" t="inlineStr">
        <is>
          <t>S|ORIG_BAL x ASSET_CLASS · SYS_FLAG Y vs N|ranr_rate|v|6</t>
        </is>
      </c>
    </row>
    <row r="4928">
      <c r="A4928" t="inlineStr">
        <is>
          <t>S|ORIG_BAL x ASSET_CLASS · SYS_FLAG Y vs N|ranr_rate|p|6</t>
        </is>
      </c>
    </row>
    <row r="4929">
      <c r="A4929" t="inlineStr">
        <is>
          <t>S|ORIG_BAL x ASSET_CLASS · SYS_FLAG Y vs N|ranr_rate|se|6</t>
        </is>
      </c>
    </row>
    <row r="4930">
      <c r="A4930" t="inlineStr">
        <is>
          <t>S|ORIG_BAL x ASSET_CLASS · SYS_FLAG Y vs N|sum|5</t>
        </is>
      </c>
      <c r="B4930" t="inlineStr">
        <is>
          <t>Earned before losses</t>
        </is>
      </c>
      <c r="C4930" t="n">
        <v>20</v>
      </c>
      <c r="D4930" t="inlineStr">
        <is>
          <t>14 of 20</t>
        </is>
      </c>
      <c r="E4930" t="n">
        <v>-0.1748684427117886</v>
      </c>
      <c r="F4930" t="n">
        <v>0.3021826111438509</v>
      </c>
      <c r="G4930" t="inlineStr">
        <is>
          <t>pts</t>
        </is>
      </c>
      <c r="H4930" t="n">
        <v>0.6424357564243576</v>
      </c>
      <c r="L4930" t="inlineStr">
        <is>
          <t>not tested: dollar rate</t>
        </is>
      </c>
      <c r="P4930" t="n">
        <v>0.004792828552032934</v>
      </c>
    </row>
    <row r="4931">
      <c r="A4931" t="inlineStr">
        <is>
          <t>S|ORIG_BAL x ASSET_CLASS · SYS_FLAG Y vs N|contribution_rate|meta</t>
        </is>
      </c>
      <c r="B4931" t="inlineStr">
        <is>
          <t>pts</t>
        </is>
      </c>
      <c r="C4931" t="n">
        <v>3.355339911</v>
      </c>
    </row>
    <row r="4932">
      <c r="A4932" t="inlineStr">
        <is>
          <t>S|ORIG_BAL x ASSET_CLASS · SYS_FLAG Y vs N|contribution_rate|v|1</t>
        </is>
      </c>
      <c r="B4932" t="n">
        <v>-0.497434561</v>
      </c>
      <c r="C4932" t="n">
        <v>-1.223695846</v>
      </c>
      <c r="D4932" t="n">
        <v>0.52977177</v>
      </c>
      <c r="E4932" t="n">
        <v>-0.579853039</v>
      </c>
    </row>
    <row r="4933">
      <c r="A4933" t="inlineStr">
        <is>
          <t>S|ORIG_BAL x ASSET_CLASS · SYS_FLAG Y vs N|contribution_rate|p|1</t>
        </is>
      </c>
      <c r="B4933" t="n">
        <v>0.964727056706094</v>
      </c>
      <c r="C4933" t="n">
        <v>0.9425724094257242</v>
      </c>
      <c r="D4933" t="n">
        <v>0.964727056706094</v>
      </c>
      <c r="E4933" t="n">
        <v>0.964727056706094</v>
      </c>
    </row>
    <row r="4934">
      <c r="A4934" t="inlineStr">
        <is>
          <t>S|ORIG_BAL x ASSET_CLASS · SYS_FLAG Y vs N|contribution_rate|se|1</t>
        </is>
      </c>
      <c r="B4934" t="n">
        <v>0.004519676027645336</v>
      </c>
      <c r="C4934" t="n">
        <v>0.0109825434543587</v>
      </c>
      <c r="D4934" t="n">
        <v>0.004519676027645336</v>
      </c>
      <c r="E4934" t="n">
        <v>0.004519676027645336</v>
      </c>
    </row>
    <row r="4935">
      <c r="A4935" t="inlineStr">
        <is>
          <t>S|ORIG_BAL x ASSET_CLASS · SYS_FLAG Y vs N|contribution_rate|v|2</t>
        </is>
      </c>
      <c r="B4935" t="n">
        <v>-2.285746751</v>
      </c>
      <c r="C4935" t="n">
        <v>-0.316025118</v>
      </c>
      <c r="D4935" t="n">
        <v>-0.351314592</v>
      </c>
      <c r="E4935" t="n">
        <v>3.355339911</v>
      </c>
    </row>
    <row r="4936">
      <c r="A4936" t="inlineStr">
        <is>
          <t>S|ORIG_BAL x ASSET_CLASS · SYS_FLAG Y vs N|contribution_rate|p|2</t>
        </is>
      </c>
      <c r="B4936" t="n">
        <v>0.8529147085291471</v>
      </c>
      <c r="C4936" t="n">
        <v>0.964727056706094</v>
      </c>
      <c r="D4936" t="n">
        <v>0.964727056706094</v>
      </c>
      <c r="E4936" t="n">
        <v>0.155984401559844</v>
      </c>
    </row>
    <row r="4937">
      <c r="A4937" t="inlineStr">
        <is>
          <t>S|ORIG_BAL x ASSET_CLASS · SYS_FLAG Y vs N|contribution_rate|se|2</t>
        </is>
      </c>
      <c r="B4937" t="n">
        <v>0.02793149402603826</v>
      </c>
      <c r="C4937" t="n">
        <v>0.004519676027645336</v>
      </c>
      <c r="D4937" t="n">
        <v>0.004519676027645336</v>
      </c>
      <c r="E4937" t="n">
        <v>0.01759362639613249</v>
      </c>
    </row>
    <row r="4938">
      <c r="A4938" t="inlineStr">
        <is>
          <t>S|ORIG_BAL x ASSET_CLASS · SYS_FLAG Y vs N|contribution_rate|v|3</t>
        </is>
      </c>
      <c r="B4938" t="n">
        <v>-0.290080227</v>
      </c>
      <c r="C4938" t="n">
        <v>0.906371484</v>
      </c>
      <c r="D4938" t="n">
        <v>0.966868615</v>
      </c>
      <c r="E4938" t="n">
        <v>-0.052290622</v>
      </c>
    </row>
    <row r="4939">
      <c r="A4939" t="inlineStr">
        <is>
          <t>S|ORIG_BAL x ASSET_CLASS · SYS_FLAG Y vs N|contribution_rate|p|3</t>
        </is>
      </c>
      <c r="B4939" t="n">
        <v>0.964727056706094</v>
      </c>
      <c r="C4939" t="n">
        <v>0.9425724094257242</v>
      </c>
      <c r="D4939" t="n">
        <v>0.9437056294370564</v>
      </c>
      <c r="E4939" t="n">
        <v>0.9672032796720329</v>
      </c>
    </row>
    <row r="4940">
      <c r="A4940" t="inlineStr">
        <is>
          <t>S|ORIG_BAL x ASSET_CLASS · SYS_FLAG Y vs N|contribution_rate|se|3</t>
        </is>
      </c>
      <c r="B4940" t="n">
        <v>0.004519676027645336</v>
      </c>
      <c r="C4940" t="n">
        <v>0.0109825434543587</v>
      </c>
      <c r="D4940" t="n">
        <v>0.009984142145637361</v>
      </c>
      <c r="E4940" t="n">
        <v>0.001781041702591388</v>
      </c>
    </row>
    <row r="4941">
      <c r="A4941" t="inlineStr">
        <is>
          <t>S|ORIG_BAL x ASSET_CLASS · SYS_FLAG Y vs N|contribution_rate|v|4</t>
        </is>
      </c>
      <c r="B4941" t="n">
        <v>1.074218202</v>
      </c>
      <c r="C4941" t="n">
        <v>-0.633787875</v>
      </c>
      <c r="D4941" t="n">
        <v>-1.640935028</v>
      </c>
      <c r="E4941" t="n">
        <v>-0.998631503</v>
      </c>
    </row>
    <row r="4942">
      <c r="A4942" t="inlineStr">
        <is>
          <t>S|ORIG_BAL x ASSET_CLASS · SYS_FLAG Y vs N|contribution_rate|p|4</t>
        </is>
      </c>
      <c r="B4942" t="n">
        <v>0.9425724094257242</v>
      </c>
      <c r="C4942" t="n">
        <v>0.964727056706094</v>
      </c>
      <c r="D4942" t="n">
        <v>0.873912608739126</v>
      </c>
      <c r="E4942" t="n">
        <v>0.9425724094257242</v>
      </c>
    </row>
    <row r="4943">
      <c r="A4943" t="inlineStr">
        <is>
          <t>S|ORIG_BAL x ASSET_CLASS · SYS_FLAG Y vs N|contribution_rate|se|4</t>
        </is>
      </c>
      <c r="B4943" t="n">
        <v>0.0109825434543587</v>
      </c>
      <c r="C4943" t="n">
        <v>0.004519676027645336</v>
      </c>
      <c r="D4943" t="n">
        <v>0.01898904893874995</v>
      </c>
      <c r="E4943" t="n">
        <v>0.0109825434543587</v>
      </c>
    </row>
    <row r="4944">
      <c r="A4944" t="inlineStr">
        <is>
          <t>S|ORIG_BAL x ASSET_CLASS · SYS_FLAG Y vs N|contribution_rate|v|5</t>
        </is>
      </c>
      <c r="B4944" t="n">
        <v>1.111458</v>
      </c>
      <c r="C4944" t="n">
        <v>-1.791073634</v>
      </c>
      <c r="D4944" t="n">
        <v>-0.099539247</v>
      </c>
      <c r="E4944" t="n">
        <v>-0.08722374099999999</v>
      </c>
    </row>
    <row r="4945">
      <c r="A4945" t="inlineStr">
        <is>
          <t>S|ORIG_BAL x ASSET_CLASS · SYS_FLAG Y vs N|contribution_rate|p|5</t>
        </is>
      </c>
      <c r="B4945" t="n">
        <v>0.9425724094257242</v>
      </c>
      <c r="C4945" t="n">
        <v>0.873912608739126</v>
      </c>
      <c r="D4945" t="n">
        <v>0.9672032796720329</v>
      </c>
      <c r="E4945" t="n">
        <v>0.9672032796720329</v>
      </c>
    </row>
    <row r="4946">
      <c r="A4946" t="inlineStr">
        <is>
          <t>S|ORIG_BAL x ASSET_CLASS · SYS_FLAG Y vs N|contribution_rate|se|5</t>
        </is>
      </c>
      <c r="B4946" t="n">
        <v>0.0109825434543587</v>
      </c>
      <c r="C4946" t="n">
        <v>0.01898904893874995</v>
      </c>
      <c r="D4946" t="n">
        <v>0.001781041702591388</v>
      </c>
      <c r="E4946" t="n">
        <v>0.001781041702591388</v>
      </c>
    </row>
    <row r="4947">
      <c r="A4947" t="inlineStr">
        <is>
          <t>S|ORIG_BAL x ASSET_CLASS · SYS_FLAG Y vs N|contribution_rate|v|6</t>
        </is>
      </c>
    </row>
    <row r="4948">
      <c r="A4948" t="inlineStr">
        <is>
          <t>S|ORIG_BAL x ASSET_CLASS · SYS_FLAG Y vs N|contribution_rate|p|6</t>
        </is>
      </c>
    </row>
    <row r="4949">
      <c r="A4949" t="inlineStr">
        <is>
          <t>S|ORIG_BAL x ASSET_CLASS · SYS_FLAG Y vs N|contribution_rate|se|6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1198"/>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0.002347361844180703</v>
      </c>
      <c r="AL7" t="n">
        <v>0.004990829635423977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0.002118099140170979</v>
      </c>
      <c r="AL8" t="n">
        <v>0.004430901012989771</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c r="AK12" t="n">
        <v>0.002546289696189478</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c r="AK13" t="n">
        <v>0.003558765363320495</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c r="AK15" t="n">
        <v>0.001930577513808068</v>
      </c>
      <c r="AL15" t="n">
        <v>0.007644908955504027</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c r="AK16" t="n">
        <v>0.002185170464347953</v>
      </c>
      <c r="AL16" t="n">
        <v>0.007046127621032738</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c r="AK17" t="n">
        <v>0.0002110900021109</v>
      </c>
      <c r="AL17" t="n">
        <v>0.005022320281260593</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c r="AK18" t="n">
        <v>0.000158317501583175</v>
      </c>
      <c r="AL18" t="n">
        <v>0.0002571171454283143</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0.002476953906776126</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0.004303257627609323</v>
      </c>
      <c r="AL21" t="n">
        <v>0.001224316215269366</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0.0002110900021109</v>
      </c>
      <c r="AL22" t="n">
        <v>0.003804416793391145</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0.000158317501583175</v>
      </c>
      <c r="AL23" t="n">
        <v>0.005077269036418224</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c r="AK25" t="n">
        <v>0.001930577513808068</v>
      </c>
      <c r="AL25" t="n">
        <v>0.006742394929526583</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c r="AK26" t="n">
        <v>0.002185170464347953</v>
      </c>
      <c r="AL26" t="n">
        <v>0.006775214966453888</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c r="AK27" t="n">
        <v>0.0002110900021109</v>
      </c>
      <c r="AL27" t="n">
        <v>0.005497533460943227</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c r="AK28" t="n">
        <v>0.000158317501583175</v>
      </c>
      <c r="AL28" t="n">
        <v>0.006326974597690007</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0.005877188438090071</v>
      </c>
      <c r="AL32" t="n">
        <v>0.001272601304803929</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0.000158317501583175</v>
      </c>
      <c r="AL33" t="n">
        <v>0.006341897307929788</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0.002476953906776126</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0.003511393218899534</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0.002546289696189478</v>
      </c>
      <c r="AL37" t="n">
        <v>0.003788390580461399</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0.0009535355743526588</v>
      </c>
      <c r="AL38" t="n">
        <v>0.0002571171454283143</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c r="AK40" t="n">
        <v>0.006238553524318705</v>
      </c>
      <c r="AL40" t="n">
        <v>0.001413577143261027</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c r="AK41" t="n">
        <v>0.006130912514175017</v>
      </c>
      <c r="AL41" t="n">
        <v>0.001589478392877141</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c r="AK42" t="n">
        <v>0.002398397808853115</v>
      </c>
      <c r="AL42" t="n">
        <v>0.003844157429522879</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c r="AK43" t="n">
        <v>0.0009535355743526588</v>
      </c>
      <c r="AL43" t="n">
        <v>0.0002571171454283143</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c r="AK45" t="n">
        <v>0.001499625020620406</v>
      </c>
      <c r="AL45" t="n">
        <v>0.005898421992421875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c r="AK46" t="n">
        <v>0.001676547884592029</v>
      </c>
      <c r="AL46" t="n">
        <v>0.004841526677302708</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c r="AK47" t="n">
        <v>0.0002110900021109</v>
      </c>
      <c r="AL47" t="n">
        <v>0.005497533460943227</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c r="AK48" t="n">
        <v>0.000158317501583175</v>
      </c>
      <c r="AL48" t="n">
        <v>0.00599411081711114</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c r="AK50" t="n">
        <v>0.001756882399872071</v>
      </c>
      <c r="AL50" t="n">
        <v>0.002923713100641041</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c r="AK51" t="n">
        <v>0.00149924995495648</v>
      </c>
      <c r="AL51" t="n">
        <v>0.005462218943700602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c r="AK52" t="n">
        <v>0.0002110900021109</v>
      </c>
      <c r="AL52" t="n">
        <v>0.001743877790339499</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c r="AK53" t="n">
        <v>0.000158317501583175</v>
      </c>
      <c r="AL53" t="n">
        <v>0.005002769903601529</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0.006568626467449041</v>
      </c>
      <c r="AL55" t="n">
        <v>0.006742394929526583</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0.005913939528534393</v>
      </c>
      <c r="AL56" t="n">
        <v>0.006775214966453888</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0.001971246923807002</v>
      </c>
      <c r="AL57" t="n">
        <v>0.00478652689867106</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0.000158317501583175</v>
      </c>
      <c r="AL58" t="n">
        <v>0.004430901012989771</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c r="AK60" t="n">
        <v>0.001756882399872071</v>
      </c>
      <c r="AL60" t="n">
        <v>0.00505425594364949</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c r="AK61" t="n">
        <v>0.002214533753188151</v>
      </c>
      <c r="AL61" t="n">
        <v>0.006700047307617223</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c r="AK62" t="n">
        <v>0.0002110900021109</v>
      </c>
      <c r="AL62" t="n">
        <v>0.006865153340290113</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c r="AK63" t="n">
        <v>0.000158317501583175</v>
      </c>
      <c r="AL63" t="n">
        <v>0.0002571171454283143</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0.003122518195066779</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0.004222419345365249</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0.0002110900021109</v>
      </c>
      <c r="AL67" t="n">
        <v>0.001272601304803929</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0.000158317501583175</v>
      </c>
      <c r="AL68" t="n">
        <v>0.0002571171454283143</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0.003122518195066779</v>
      </c>
      <c r="AL70" t="n">
        <v>0.004377524014756145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0.004222419345365249</v>
      </c>
      <c r="AL71" t="n">
        <v>0.004049234319759941</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0.0002110900021109</v>
      </c>
      <c r="AL72" t="n">
        <v>0.003844157429522879</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0.000158317501583175</v>
      </c>
      <c r="AL73" t="n">
        <v>0.0002571171454283143</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c r="AK75" t="n">
        <v>0.003122518195066779</v>
      </c>
      <c r="AL75" t="n">
        <v>0.004377524014756145</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c r="AK76" t="n">
        <v>0.002653056762976507</v>
      </c>
      <c r="AL76" t="n">
        <v>0.005462218943700602</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c r="AK77" t="n">
        <v>0.0002686602754586072</v>
      </c>
      <c r="AL77" t="n">
        <v>0.00642628004627927</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c r="AK78" t="n">
        <v>0.000158317501583175</v>
      </c>
      <c r="AL78" t="n">
        <v>0.004898880849571054</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c r="AK80" t="n">
        <v>0.003425392126519649</v>
      </c>
      <c r="AL80" t="n">
        <v>0.0007499250074992502</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c r="AK81" t="n">
        <v>0.00411151256723158</v>
      </c>
      <c r="AL81" t="n">
        <v>0.001298778317538496</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c r="AK82" t="n">
        <v>0.0002110900021109</v>
      </c>
      <c r="AL82" t="n">
        <v>0.003804416793391145</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c r="AK83" t="n">
        <v>0.000158317501583175</v>
      </c>
      <c r="AL83" t="n">
        <v>0.005590685046180414</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c r="AK85" t="n">
        <v>0.002745826735373485</v>
      </c>
      <c r="AL85" t="n">
        <v>0.007378967699492006</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c r="AK86" t="n">
        <v>0.002472789976141524</v>
      </c>
      <c r="AL86" t="n">
        <v>0.007046127621032738</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c r="AK87" t="n">
        <v>0.002546289696189478</v>
      </c>
      <c r="AL87" t="n">
        <v>0.004712273196049861</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c r="AK88" t="n">
        <v>0.0009535355743526588</v>
      </c>
      <c r="AL88" t="n">
        <v>0.0002571171454283143</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c r="AK92" t="n">
        <v>0.006332997439939736</v>
      </c>
      <c r="AL92" t="n">
        <v>0.004986957788928639</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c r="AK93" t="n">
        <v>0.005526957020336434</v>
      </c>
      <c r="AL93" t="n">
        <v>0.004791060193569465</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c r="AK97" t="n">
        <v>0.002546289696189478</v>
      </c>
      <c r="AL97" t="n">
        <v>0.004926346362124286</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c r="AK98" t="n">
        <v>0.005038200326403092</v>
      </c>
      <c r="AL98" t="n">
        <v>0.003536920682361885</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c r="AK102" t="n">
        <v>0.004382003567396812</v>
      </c>
      <c r="AL102" t="n">
        <v>0.009492151472255024</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c r="AK103" t="n">
        <v>0.006247968044787939</v>
      </c>
      <c r="AL103" t="n">
        <v>0.002687877041673399</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c r="AK107" t="n">
        <v>0.002659435167510575</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c r="AK108" t="n">
        <v>0.003291105227269841</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c r="AK110" t="n">
        <v>0.002637033936800768</v>
      </c>
      <c r="AL110" t="n">
        <v>0.008120935876070441</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c r="AK111" t="n">
        <v>0.003314453080072812</v>
      </c>
      <c r="AL111" t="n">
        <v>0.008192170333660433</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c r="AK112" t="n">
        <v>0.001820090733441594</v>
      </c>
      <c r="AL112" t="n">
        <v>0.007999988442303305</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c r="AK113" t="n">
        <v>0.0001562343765623438</v>
      </c>
      <c r="AL113" t="n">
        <v>0.002687877041673399</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c r="AK115" t="n">
        <v>0.002773138149712506</v>
      </c>
      <c r="AL115" t="n">
        <v>0.008101416575596024</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c r="AK116" t="n">
        <v>0.003314453080072812</v>
      </c>
      <c r="AL116" t="n">
        <v>0.005574892901379976</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c r="AK117" t="n">
        <v>0.0003935691871328776</v>
      </c>
      <c r="AL117" t="n">
        <v>0.004854729653061552</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c r="AK118" t="n">
        <v>0.0001562343765623438</v>
      </c>
      <c r="AL118" t="n">
        <v>0.01762521021963886</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c r="AK120" t="n">
        <v>0.002637033936800768</v>
      </c>
      <c r="AL120" t="n">
        <v>0.006592610034270352</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c r="AK121" t="n">
        <v>0.003514507294654196</v>
      </c>
      <c r="AL121" t="n">
        <v>0.006136861364729315</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c r="AK122" t="n">
        <v>0.00024997500249975</v>
      </c>
      <c r="AL122" t="n">
        <v>0.01038222831520939</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c r="AK123" t="n">
        <v>0.0001562343765623438</v>
      </c>
      <c r="AL123" t="n">
        <v>0.01412744016665618</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c r="AK125" t="n">
        <v>0.005922060018719752</v>
      </c>
      <c r="AL125" t="n">
        <v>0.003603026992610529</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c r="AK126" t="n">
        <v>0.005205601342314643</v>
      </c>
      <c r="AL126" t="n">
        <v>0.006762912499719901</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c r="AK127" t="n">
        <v>0.00024997500249975</v>
      </c>
      <c r="AL127" t="n">
        <v>0.00901846398496681</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c r="AK128" t="n">
        <v>0.0001562343765623438</v>
      </c>
      <c r="AL128" t="n">
        <v>0.02708103403094754</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c r="AK130" t="n">
        <v>0.003400074168539854</v>
      </c>
      <c r="AL130" t="n">
        <v>0.008120935876070441</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c r="AK131" t="n">
        <v>0.003404987363781366</v>
      </c>
      <c r="AL131" t="n">
        <v>0.008359981708684888</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c r="AK132" t="n">
        <v>0.00024997500249975</v>
      </c>
      <c r="AL132" t="n">
        <v>0.0116863772613434</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c r="AK133" t="n">
        <v>0.0001562343765623438</v>
      </c>
      <c r="AL133" t="n">
        <v>0.01762521021963886</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c r="AK135" t="n">
        <v>0.001490264786304025</v>
      </c>
      <c r="AL135" t="n">
        <v>0.008120935876070441</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c r="AK136" t="n">
        <v>0.001632421620359154</v>
      </c>
      <c r="AL136" t="n">
        <v>0.008359981708684888</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c r="AK137" t="n">
        <v>0.00024997500249975</v>
      </c>
      <c r="AL137" t="n">
        <v>0.0116863772613434</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c r="AK138" t="n">
        <v>0.0001562343765623438</v>
      </c>
      <c r="AL138" t="n">
        <v>0.01318962952455215</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c r="AK140" t="n">
        <v>0.005922060018719752</v>
      </c>
      <c r="AL140" t="n">
        <v>0.004083571319604936</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c r="AK141" t="n">
        <v>0.005502179519905506</v>
      </c>
      <c r="AL141" t="n">
        <v>0.005574892901379976</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c r="AK142" t="n">
        <v>0.005217098446002598</v>
      </c>
      <c r="AL142" t="n">
        <v>0.004854729653061552</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c r="AK143" t="n">
        <v>0.006247968044787939</v>
      </c>
      <c r="AL143" t="n">
        <v>0.002687877041673399</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c r="AK145" t="n">
        <v>0.002303737218642808</v>
      </c>
      <c r="AL145" t="n">
        <v>0.004083571319604936</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c r="AK146" t="n">
        <v>0.002206103632957859</v>
      </c>
      <c r="AL146" t="n">
        <v>0.003663127647923556</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c r="AK147" t="n">
        <v>0.00024997500249975</v>
      </c>
      <c r="AL147" t="n">
        <v>0.004854729653061552</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c r="AK148" t="n">
        <v>0.0001562343765623438</v>
      </c>
      <c r="AL148" t="n">
        <v>0.002687877041673399</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c r="AK150" t="n">
        <v>0.0009999000099990001</v>
      </c>
      <c r="AL150" t="n">
        <v>0.001999800019998</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c r="AK151" t="n">
        <v>0.0009999000099990001</v>
      </c>
      <c r="AL151" t="n">
        <v>0.001999800019998</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c r="AK152" t="n">
        <v>0.001749544610122838</v>
      </c>
      <c r="AL152" t="n">
        <v>0.01072185278881284</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c r="AK153" t="n">
        <v>0.0001562343765623438</v>
      </c>
      <c r="AL153" t="n">
        <v>0.002687877041673399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c r="AK155" t="n">
        <v>0.005245738626008987</v>
      </c>
      <c r="AL155" t="n">
        <v>0.007142299196942006</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c r="AK156" t="n">
        <v>0.004749968982352547</v>
      </c>
      <c r="AL156" t="n">
        <v>0.008359981708684888</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c r="AK157" t="n">
        <v>0.004810401925273106</v>
      </c>
      <c r="AL157" t="n">
        <v>0.001982807014299066</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c r="AK158" t="n">
        <v>0.00418297075304144</v>
      </c>
      <c r="AL158" t="n">
        <v>0.01762521021963886</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c r="AK160" t="n">
        <v>0.005692530759667709</v>
      </c>
      <c r="AL160" t="n">
        <v>0.009452424527105657</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c r="AK161" t="n">
        <v>0.005972006028587352</v>
      </c>
      <c r="AL161" t="n">
        <v>0.008809580356301354</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c r="AK162" t="n">
        <v>0.00024997500249975</v>
      </c>
      <c r="AL162" t="n">
        <v>0.0116863772613434</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c r="AK163" t="n">
        <v>0.0001562343765623438</v>
      </c>
      <c r="AL163" t="n">
        <v>0.002687877041673399</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c r="AK165" t="n">
        <v>0.002303737218642808</v>
      </c>
      <c r="AL165" t="n">
        <v>0.004083571319604936</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c r="AK166" t="n">
        <v>0.002171044049855367</v>
      </c>
      <c r="AL166" t="n">
        <v>0.004433032975127504</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c r="AK167" t="n">
        <v>0.00024997500249975</v>
      </c>
      <c r="AL167" t="n">
        <v>0.001982807014299066</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c r="AK168" t="n">
        <v>0.0001562343765623438</v>
      </c>
      <c r="AL168" t="n">
        <v>0.002687877041673399</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c r="AK170" t="n">
        <v>0.005245738626008987</v>
      </c>
      <c r="AL170" t="n">
        <v>0.008120935876070441</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c r="AK171" t="n">
        <v>0.005972006028587352</v>
      </c>
      <c r="AL171" t="n">
        <v>0.008809580356301354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c r="AK172" t="n">
        <v>0.00024997500249975</v>
      </c>
      <c r="AL172" t="n">
        <v>0.0116863772613434</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c r="AK173" t="n">
        <v>0.0001562343765623438</v>
      </c>
      <c r="AL173" t="n">
        <v>0.002687877041673399</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c r="AK175" t="n">
        <v>0.0009999000099990001</v>
      </c>
      <c r="AL175" t="n">
        <v>0.004083571319604936</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c r="AK176" t="n">
        <v>0.0009999000099990001</v>
      </c>
      <c r="AL176" t="n">
        <v>0.004433032975127504</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c r="AK177" t="n">
        <v>0.00024997500249975</v>
      </c>
      <c r="AL177" t="n">
        <v>0.001982807014299066</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c r="AK178" t="n">
        <v>0.0001562343765623438</v>
      </c>
      <c r="AL178" t="n">
        <v>0.002687877041673399</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c r="AK180" t="n">
        <v>0.004963330819428507</v>
      </c>
      <c r="AL180" t="n">
        <v>0.004083571319604936</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c r="AK181" t="n">
        <v>0.005721749806359761</v>
      </c>
      <c r="AL181" t="n">
        <v>0.005574892901379976</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c r="AK182" t="n">
        <v>0.001120225538184016</v>
      </c>
      <c r="AL182" t="n">
        <v>0.004854729653061552</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c r="AK183" t="n">
        <v>0.0001562343765623438</v>
      </c>
      <c r="AL183" t="n">
        <v>0.002687877041673399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c r="AK185" t="n">
        <v>0.002303737218642808</v>
      </c>
      <c r="AL185" t="n">
        <v>0.004083571319604936</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c r="AK186" t="n">
        <v>0.002206103632957859</v>
      </c>
      <c r="AL186" t="n">
        <v>0.005574892901379976</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c r="AK187" t="n">
        <v>0.00024997500249975</v>
      </c>
      <c r="AL187" t="n">
        <v>0.008937951688442653</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c r="AK188" t="n">
        <v>0.0001562343765623438</v>
      </c>
      <c r="AL188" t="n">
        <v>0.01412744016665618</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c r="AK190" t="n">
        <v>0.00254513748124268</v>
      </c>
      <c r="AL190" t="n">
        <v>0.006533659485793709</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c r="AK191" t="n">
        <v>0.002169507944773848</v>
      </c>
      <c r="AL191" t="n">
        <v>0.006762912499719901</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c r="AK192" t="n">
        <v>0.005446852339862539</v>
      </c>
      <c r="AL192" t="n">
        <v>0.01228849368614861</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c r="AK193" t="n">
        <v>0.0001562343765623438</v>
      </c>
      <c r="AL193" t="n">
        <v>0.002687877041673399</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c r="AK195" t="n">
        <v>0.002399556910712417</v>
      </c>
      <c r="AL195" t="n">
        <v>0.009452424527105657</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c r="AK196" t="n">
        <v>0.002206103632957859</v>
      </c>
      <c r="AL196" t="n">
        <v>0.008140875172089793</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c r="AK197" t="n">
        <v>0.001749544610122838</v>
      </c>
      <c r="AL197" t="n">
        <v>0.01082514314378087</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c r="AK198" t="n">
        <v>0.004734406983092691</v>
      </c>
      <c r="AL198" t="n">
        <v>0.002687877041673399</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c r="AK202" t="n">
        <v>0.005546330661127571</v>
      </c>
      <c r="AL202" t="n">
        <v>0.001982807014299066</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c r="AK203" t="n">
        <v>0.005379844195007367</v>
      </c>
      <c r="AL203" t="n">
        <v>0.002687877041673399</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c r="AK205" t="n">
        <v>0.002637033936800768</v>
      </c>
      <c r="AL205" t="n">
        <v>0.008120935876070441</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c r="AK206" t="n">
        <v>0.003252220219912964</v>
      </c>
      <c r="AL206" t="n">
        <v>0.008359981708684888</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c r="AK207" t="n">
        <v>0.001636988179350168</v>
      </c>
      <c r="AL207" t="n">
        <v>0.007999988442303305</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c r="AK208" t="n">
        <v>0.0001562343765623438</v>
      </c>
      <c r="AL208" t="n">
        <v>0.002687877041673399</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c r="AK210" t="n">
        <v>0.005245738626008987</v>
      </c>
      <c r="AL210" t="n">
        <v>0.007142299196942006</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c r="AK211" t="n">
        <v>0.005721749806359761</v>
      </c>
      <c r="AL211" t="n">
        <v>0.005574892901379976</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c r="AK212" t="n">
        <v>0.004897548091061762</v>
      </c>
      <c r="AL212" t="n">
        <v>0.01002320039139881</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c r="AK213" t="n">
        <v>0.005379844195007367</v>
      </c>
      <c r="AL213" t="n">
        <v>0.01609422278360649</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c r="AK217" t="n">
        <v>0.005217098446002598</v>
      </c>
      <c r="AL217" t="n">
        <v>0.004854729653061552</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c r="AK218" t="n">
        <v>0.006247968044787939</v>
      </c>
      <c r="AL218" t="n">
        <v>0.002687877041673399</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c r="AK222" t="n">
        <v>0.005240071809895387</v>
      </c>
      <c r="AL222" t="n">
        <v>0.0116863772613434</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c r="AK223" t="n">
        <v>0.003291105227269841</v>
      </c>
      <c r="AL223" t="n">
        <v>0.002687877041673399</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c r="AK225" t="n">
        <v>0.005209570127836504</v>
      </c>
      <c r="AL225" t="n">
        <v>0.005459280362698628</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c r="AK226" t="n">
        <v>0.003224757058197182</v>
      </c>
      <c r="AL226" t="n">
        <v>0.003737625434888207</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c r="AK227" t="n">
        <v>0.002596387237538015</v>
      </c>
      <c r="AL227" t="n">
        <v>0.006572108569239001</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c r="AK228" t="n">
        <v>0.0014998500149985</v>
      </c>
      <c r="AL228" t="n">
        <v>0.002761938977493</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c r="AK230" t="n">
        <v>0.00236360754272159</v>
      </c>
      <c r="AL230" t="n">
        <v>0.005459280362698628</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c r="AK231" t="n">
        <v>0.003224757058197182</v>
      </c>
      <c r="AL231" t="n">
        <v>0.003737625434888207</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c r="AK232" t="n">
        <v>0.005539563934951417</v>
      </c>
      <c r="AL232" t="n">
        <v>0.004163538300983873</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c r="AK233" t="n">
        <v>0.003721435280291747</v>
      </c>
      <c r="AL233" t="n">
        <v>0.002622150795870443</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c r="AK235" t="n">
        <v>0.004453319699908507</v>
      </c>
      <c r="AL235" t="n">
        <v>0.005459280362698628</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c r="AK236" t="n">
        <v>0.003224757058197182</v>
      </c>
      <c r="AL236" t="n">
        <v>0.003737625434888207</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c r="AK237" t="n">
        <v>0.00460059280935685</v>
      </c>
      <c r="AL237" t="n">
        <v>0.004923201986417072</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c r="AK238" t="n">
        <v>0.001297218535169246</v>
      </c>
      <c r="AL238" t="n">
        <v>0.0009917598739788763</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c r="AK245" t="n">
        <v>0.01029047468034511</v>
      </c>
      <c r="AL245" t="n">
        <v>0.005459280362698628</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c r="AK246" t="n">
        <v>0.009205527637567299</v>
      </c>
      <c r="AL246" t="n">
        <v>0.003737625434888207</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c r="AK247" t="n">
        <v>0.004396001460530184</v>
      </c>
      <c r="AL247" t="n">
        <v>0.005928769177721833</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c r="AK248" t="n">
        <v>0.004099802169101889</v>
      </c>
      <c r="AL248" t="n">
        <v>0.003287536435198626</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c r="AK250" t="n">
        <v>0.003967039495915505</v>
      </c>
      <c r="AL250" t="n">
        <v>0.006228925144863506</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c r="AK251" t="n">
        <v>0.002597556635076993</v>
      </c>
      <c r="AL251" t="n">
        <v>0.00607732365915209</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c r="AK252" t="n">
        <v>0.0014998500149985</v>
      </c>
      <c r="AL252" t="n">
        <v>0.001676547884592029</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c r="AK253" t="n">
        <v>0.004792793743539045</v>
      </c>
      <c r="AL253" t="n">
        <v>0.002622150795870443</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c r="AK255" t="n">
        <v>0.01492572083163021</v>
      </c>
      <c r="AL255" t="n">
        <v>0.003315864291687926</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c r="AK256" t="n">
        <v>0.01108825206710805</v>
      </c>
      <c r="AL256" t="n">
        <v>0.003737625434888207</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c r="AK257" t="n">
        <v>0.005763604715021736</v>
      </c>
      <c r="AL257" t="n">
        <v>0.002588186660767477</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c r="AK258" t="n">
        <v>0.001676547884592029</v>
      </c>
      <c r="AL258" t="n">
        <v>0.0007499250074992502</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c r="AK260" t="n">
        <v>0.01394235839750827</v>
      </c>
      <c r="AL260" t="n">
        <v>0.005459280362698628</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c r="AK261" t="n">
        <v>0.01108825206710805</v>
      </c>
      <c r="AL261" t="n">
        <v>0.003737625434888207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c r="AK262" t="n">
        <v>0.005070615595209885</v>
      </c>
      <c r="AL262" t="n">
        <v>0.005928769177721833</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c r="AK263" t="n">
        <v>0.004924184626786075</v>
      </c>
      <c r="AL263" t="n">
        <v>0.005324699272658676</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c r="AK265" t="n">
        <v>0.005209570127836504</v>
      </c>
      <c r="AL265" t="n">
        <v>0.005459280362698628</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c r="AK266" t="n">
        <v>0.006747827530432778</v>
      </c>
      <c r="AL266" t="n">
        <v>0.003737625434888207</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c r="AK267" t="n">
        <v>0.005070615595209885</v>
      </c>
      <c r="AL267" t="n">
        <v>0.004975491799683231</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c r="AK268" t="n">
        <v>0.001340231598601605</v>
      </c>
      <c r="AL268" t="n">
        <v>0.002205985194238812</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c r="AK270" t="n">
        <v>0.005209570127836504</v>
      </c>
      <c r="AL270" t="n">
        <v>0.005459280362698628</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c r="AK271" t="n">
        <v>0.009205527637567299</v>
      </c>
      <c r="AL271" t="n">
        <v>0.003737625434888207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c r="AK272" t="n">
        <v>0.005070615595209885</v>
      </c>
      <c r="AL272" t="n">
        <v>0.005346604356203586</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c r="AK273" t="n">
        <v>0.004785426544160407</v>
      </c>
      <c r="AL273" t="n">
        <v>0.002761938977493</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c r="AK275" t="n">
        <v>0.01029047468034511</v>
      </c>
      <c r="AL275" t="n">
        <v>0.003315864291687926</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c r="AK276" t="n">
        <v>0.01108825206710805</v>
      </c>
      <c r="AL276" t="n">
        <v>0.003737625434888207</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c r="AK277" t="n">
        <v>0.00460059280935685</v>
      </c>
      <c r="AL277" t="n">
        <v>0.003305435252776693</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c r="AK278" t="n">
        <v>0.003721435280291747</v>
      </c>
      <c r="AL278" t="n">
        <v>0.00119897976427021</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c r="AK280" t="n">
        <v>0.005209570127836504</v>
      </c>
      <c r="AL280" t="n">
        <v>0.001825007900236673</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c r="AK281" t="n">
        <v>0.008301523596895864</v>
      </c>
      <c r="AL281" t="n">
        <v>0.003737625434888207</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c r="AK282" t="n">
        <v>0.004536048351518444</v>
      </c>
      <c r="AL282" t="n">
        <v>0.002734365479287213</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c r="AK283" t="n">
        <v>0.001340231598601605</v>
      </c>
      <c r="AL283" t="n">
        <v>0.0007499250074992502</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c r="AK285" t="n">
        <v>0.00799607868931679</v>
      </c>
      <c r="AL285" t="n">
        <v>0.006228925144863506</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c r="AK286" t="n">
        <v>0.005886877872627327</v>
      </c>
      <c r="AL286" t="n">
        <v>0.00607732365915209</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c r="AK287" t="n">
        <v>0.005304879974682567</v>
      </c>
      <c r="AL287" t="n">
        <v>0.005928769177721833</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c r="AK288" t="n">
        <v>0.003721435280291747</v>
      </c>
      <c r="AL288" t="n">
        <v>0.003729060637547529</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c r="AK290" t="n">
        <v>0.005209570127836504</v>
      </c>
      <c r="AL290" t="n">
        <v>0.005459280362698628</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c r="AK291" t="n">
        <v>0.006747827530432778</v>
      </c>
      <c r="AL291" t="n">
        <v>0.003737625434888207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c r="AK292" t="n">
        <v>0.005070615595209885</v>
      </c>
      <c r="AL292" t="n">
        <v>0.002748088908851001</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c r="AK293" t="n">
        <v>0.001340231598601605</v>
      </c>
      <c r="AL293" t="n">
        <v>0.0007070007248910715</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c r="AK295" t="n">
        <v>0.005209570127836504</v>
      </c>
      <c r="AL295" t="n">
        <v>0.006228925144863506</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c r="AK296" t="n">
        <v>0.003224757058197182</v>
      </c>
      <c r="AL296" t="n">
        <v>0.007648876648054369</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c r="AK297" t="n">
        <v>0.004396001460530184</v>
      </c>
      <c r="AL297" t="n">
        <v>0.005346604356203586</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c r="AK298" t="n">
        <v>0.005307892100069688</v>
      </c>
      <c r="AL298" t="n">
        <v>0.003846200310137564</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c r="AK300" t="n">
        <v>0.01029047468034511</v>
      </c>
      <c r="AL300" t="n">
        <v>0.006228925144863506</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c r="AK301" t="n">
        <v>0.01108825206710805</v>
      </c>
      <c r="AL301" t="n">
        <v>0.00607732365915209</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c r="AK302" t="n">
        <v>0.00460059280935685</v>
      </c>
      <c r="AL302" t="n">
        <v>0.001676547884592029</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c r="AK303" t="n">
        <v>0.004375578942093338</v>
      </c>
      <c r="AL303" t="n">
        <v>0.003800729812780559</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c r="AK305" t="n">
        <v>0.006092218016024857</v>
      </c>
      <c r="AL305" t="n">
        <v>0.007089187648416752</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c r="AK306" t="n">
        <v>0.006962818099906952</v>
      </c>
      <c r="AL306" t="n">
        <v>0.007232608676012589</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c r="AK307" t="n">
        <v>0.003463408846769323</v>
      </c>
      <c r="AL307" t="n">
        <v>0.0205085317811597</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c r="AK308" t="n">
        <v>0.003463408846769323</v>
      </c>
      <c r="AL308" t="n">
        <v>0.01028493578909726</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c r="AK310" t="n">
        <v>0.007724311710765501</v>
      </c>
      <c r="AL310" t="n">
        <v>0.007013381638248701</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c r="AK311" t="n">
        <v>0.01110100501329568</v>
      </c>
      <c r="AL311" t="n">
        <v>0.006958337020912473</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c r="AK312" t="n">
        <v>0.005641757366637827</v>
      </c>
      <c r="AL312" t="n">
        <v>0.003154756631278329</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c r="AK313" t="n">
        <v>0.01008833086335585</v>
      </c>
      <c r="AL313" t="n">
        <v>0.01234361719672363</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c r="AK315" t="n">
        <v>0.007724311710765501</v>
      </c>
      <c r="AL315" t="n">
        <v>0.005938654122899585</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c r="AK316" t="n">
        <v>0.00804199796528665</v>
      </c>
      <c r="AL316" t="n">
        <v>0.006790572668298936</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c r="AK317" t="n">
        <v>0.006659944588162969</v>
      </c>
      <c r="AL317" t="n">
        <v>0.007580494130496587</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c r="AK318" t="n">
        <v>0.009056999481769711</v>
      </c>
      <c r="AL318" t="n">
        <v>0.009004578865905102</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c r="AK325" t="n">
        <v>0.007724311710765501</v>
      </c>
      <c r="AL325" t="n">
        <v>0.006311579231472948</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c r="AK326" t="n">
        <v>0.00804199796528665</v>
      </c>
      <c r="AL326" t="n">
        <v>0.008277505415017854</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c r="AK327" t="n">
        <v>0.005641757366637827</v>
      </c>
      <c r="AL327" t="n">
        <v>0.007580494130496587</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c r="AK328" t="n">
        <v>0.01065839122960244</v>
      </c>
      <c r="AL328" t="n">
        <v>0.01234361719672363</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c r="AK330" t="n">
        <v>0.006092218016024857</v>
      </c>
      <c r="AL330" t="n">
        <v>0.006869039644970537</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c r="AK331" t="n">
        <v>0.005533463791199363</v>
      </c>
      <c r="AL331" t="n">
        <v>0.008610344843130429</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c r="AK332" t="n">
        <v>0.006659944588162969</v>
      </c>
      <c r="AL332" t="n">
        <v>0.01893385763358274</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c r="AK333" t="n">
        <v>0.002287485831516385</v>
      </c>
      <c r="AL333" t="n">
        <v>0.00533330588993967</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c r="AK335" t="n">
        <v>0.006854863029647123</v>
      </c>
      <c r="AL335" t="n">
        <v>0.002661026440463531</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c r="AK336" t="n">
        <v>0.00804199796528665</v>
      </c>
      <c r="AL336" t="n">
        <v>0.003937146049077704</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c r="AK337" t="n">
        <v>0.000638966619041377</v>
      </c>
      <c r="AL337" t="n">
        <v>0.007580494130496587</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c r="AK338" t="n">
        <v>0.01233453770169474</v>
      </c>
      <c r="AL338" t="n">
        <v>0.01234361719672363</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c r="AK340" t="n">
        <v>0.005245219723316472</v>
      </c>
      <c r="AL340" t="n">
        <v>0.002661026440463531</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c r="AK341" t="n">
        <v>0.005263059992354921</v>
      </c>
      <c r="AL341" t="n">
        <v>0.003937146049077704</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c r="AK342" t="n">
        <v>0.006659944588162969</v>
      </c>
      <c r="AL342" t="n">
        <v>0.004730790068349174</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c r="AK343" t="n">
        <v>0.002287485831516385</v>
      </c>
      <c r="AL343" t="n">
        <v>0.00533330588993967</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c r="AK345" t="n">
        <v>0.009017734487095343</v>
      </c>
      <c r="AL345" t="n">
        <v>0.007013381638248701</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c r="AK346" t="n">
        <v>0.01033552293427404</v>
      </c>
      <c r="AL346" t="n">
        <v>0.007232608676012589</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c r="AK347" t="n">
        <v>0.01455593943401404</v>
      </c>
      <c r="AL347" t="n">
        <v>0.007580494130496587</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c r="AK348" t="n">
        <v>0.007632470536092672</v>
      </c>
      <c r="AL348" t="n">
        <v>0.004527852432843074</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c r="AK350" t="n">
        <v>0.007724311710765501</v>
      </c>
      <c r="AL350" t="n">
        <v>0.007176406017243388</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c r="AK351" t="n">
        <v>0.007931402016247816</v>
      </c>
      <c r="AL351" t="n">
        <v>0.006958337020912473</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c r="AK352" t="n">
        <v>0.0109967677301382</v>
      </c>
      <c r="AL352" t="n">
        <v>0.007580494130496587</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c r="AK353" t="n">
        <v>0.00299849990991296</v>
      </c>
      <c r="AL353" t="n">
        <v>0.00533330588993967</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c r="AK355" t="n">
        <v>0.005523006670114752</v>
      </c>
      <c r="AL355" t="n">
        <v>0.006627760867585997</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c r="AK356" t="n">
        <v>0.005533463791199363</v>
      </c>
      <c r="AL356" t="n">
        <v>0.006891255299607525</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c r="AK357" t="n">
        <v>0.01180415494006209</v>
      </c>
      <c r="AL357" t="n">
        <v>0.007115965855651796</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c r="AK358" t="n">
        <v>0.009514933751834534</v>
      </c>
      <c r="AL358" t="n">
        <v>0.01234361719672363</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c r="AK360" t="n">
        <v>0.006092218016024857</v>
      </c>
      <c r="AL360" t="n">
        <v>0.002661026440463531</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c r="AK361" t="n">
        <v>0.005533463791199363</v>
      </c>
      <c r="AL361" t="n">
        <v>0.001703031974865808</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c r="AK362" t="n">
        <v>0.006659944588162969</v>
      </c>
      <c r="AL362" t="n">
        <v>0.007580494130496587</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c r="AK363" t="n">
        <v>0.007632470536092672</v>
      </c>
      <c r="AL363" t="n">
        <v>0.01028493578909726</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c r="AK365" t="n">
        <v>0.00399900005498775</v>
      </c>
      <c r="AL365" t="n">
        <v>0.005996999819825921</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c r="AK366" t="n">
        <v>0.004897264861077463</v>
      </c>
      <c r="AL366" t="n">
        <v>0.008477218095344753</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c r="AK367" t="n">
        <v>0.009850380349564878</v>
      </c>
      <c r="AL367" t="n">
        <v>0.02622370028489208</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c r="AK368" t="n">
        <v>0.002287485831516385</v>
      </c>
      <c r="AL368" t="n">
        <v>0.00533330588993967</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c r="AK370" t="n">
        <v>0.003279633926629842</v>
      </c>
      <c r="AL370" t="n">
        <v>0.002661026440463531</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c r="AK371" t="n">
        <v>0.004834343139618137</v>
      </c>
      <c r="AL371" t="n">
        <v>0.006226033050013239</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c r="AK372" t="n">
        <v>0.0142783469534447</v>
      </c>
      <c r="AL372" t="n">
        <v>0.004730790068349174</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c r="AK373" t="n">
        <v>0.005315975192135479</v>
      </c>
      <c r="AL373" t="n">
        <v>0.003706170729447097</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c r="AK375" t="n">
        <v>0.007724311710765501</v>
      </c>
      <c r="AL375" t="n">
        <v>0.007013381638248701</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c r="AK376" t="n">
        <v>0.01009719556653255</v>
      </c>
      <c r="AL376" t="n">
        <v>0.006958337020912473</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c r="AK377" t="n">
        <v>0.006659944588162969</v>
      </c>
      <c r="AL377" t="n">
        <v>0.004730790068349174</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c r="AK378" t="n">
        <v>0.01008833086335585</v>
      </c>
      <c r="AL378" t="n">
        <v>0.009964337058201928</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c r="AK380" t="n">
        <v>0.006854863029647123</v>
      </c>
      <c r="AL380" t="n">
        <v>0.006627760867585997</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c r="AK381" t="n">
        <v>0.00804199796528665</v>
      </c>
      <c r="AL381" t="n">
        <v>0.006891255299607525</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c r="AK382" t="n">
        <v>0.01180415494006209</v>
      </c>
      <c r="AL382" t="n">
        <v>0.007580494130496587</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c r="AK383" t="n">
        <v>0.002287485831516385</v>
      </c>
      <c r="AL383" t="n">
        <v>0.002549666208631422</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c r="AK385" t="n">
        <v>0.006092218016024857</v>
      </c>
      <c r="AL385" t="n">
        <v>0.006754066137911308</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c r="AK386" t="n">
        <v>0.005533463791199363</v>
      </c>
      <c r="AL386" t="n">
        <v>0.00780032758090806</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c r="AK387" t="n">
        <v>0.006659944588162969</v>
      </c>
      <c r="AL387" t="n">
        <v>0.007580494130496587</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c r="AK388" t="n">
        <v>0.002287485831516385</v>
      </c>
      <c r="AL388" t="n">
        <v>0.009004578865905102</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c r="AK390" t="n">
        <v>0.006092218016024857</v>
      </c>
      <c r="AL390" t="n">
        <v>0.005596272344961917</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c r="AK391" t="n">
        <v>0.007233875963976416</v>
      </c>
      <c r="AL391" t="n">
        <v>0.005646591957604528</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c r="AK392" t="n">
        <v>0.000638966619041377</v>
      </c>
      <c r="AL392" t="n">
        <v>0.004730790068349174</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c r="AK393" t="n">
        <v>0.01008833086335585</v>
      </c>
      <c r="AL393" t="n">
        <v>0.009964337058201928</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c r="AK395" t="n">
        <v>0.005523006670114752</v>
      </c>
      <c r="AL395" t="n">
        <v>0.007176406017243388</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c r="AK396" t="n">
        <v>0.005533463791199363</v>
      </c>
      <c r="AL396" t="n">
        <v>0.006790572668298936</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c r="AK397" t="n">
        <v>0.000638966619041377</v>
      </c>
      <c r="AL397" t="n">
        <v>0.007580494130496587</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c r="AK398" t="n">
        <v>0.01020727896970446</v>
      </c>
      <c r="AL398" t="n">
        <v>0.01234361719672363</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c r="AK400" t="n">
        <v>0.007724311710765501</v>
      </c>
      <c r="AL400" t="n">
        <v>0.00660736266966414</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c r="AK401" t="n">
        <v>0.01009719556653255</v>
      </c>
      <c r="AL401" t="n">
        <v>0.006662652627501325</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c r="AK402" t="n">
        <v>0.01455593943401404</v>
      </c>
      <c r="AL402" t="n">
        <v>0.007580494130496587</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c r="AK403" t="n">
        <v>0.002287485831516385</v>
      </c>
      <c r="AL403" t="n">
        <v>0.00533330588993967</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c r="AK405" t="n">
        <v>0.006854863029647123</v>
      </c>
      <c r="AL405" t="n">
        <v>0.007089187648416752</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c r="AK406" t="n">
        <v>0.007233875963976416</v>
      </c>
      <c r="AL406" t="n">
        <v>0.006891255299607525</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c r="AK407" t="n">
        <v>0.006659944588162969</v>
      </c>
      <c r="AL407" t="n">
        <v>0.004730790068349174</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c r="AK408" t="n">
        <v>0.002287485831516385</v>
      </c>
      <c r="AL408" t="n">
        <v>0.00533330588993967</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three-way</t>
        </is>
      </c>
      <c r="B409" t="inlineStr">
        <is>
          <t>FICO x CHANNEL / SYS_FLAG</t>
        </is>
      </c>
      <c r="C409" t="inlineStr">
        <is>
          <t>(marked missing)</t>
        </is>
      </c>
      <c r="D409" t="inlineStr">
        <is>
          <t>Online / SYS_FLAG N</t>
        </is>
      </c>
      <c r="E409" t="inlineStr">
        <is>
          <t>outcome_loans</t>
        </is>
      </c>
      <c r="F409" t="inlineStr">
        <is>
          <t>Outcome, share of loans</t>
        </is>
      </c>
      <c r="G409" t="n">
        <v>30</v>
      </c>
      <c r="H409" t="n">
        <v>30</v>
      </c>
      <c r="I409" t="b">
        <v>1</v>
      </c>
      <c r="J409" t="b">
        <v>0</v>
      </c>
      <c r="K409" t="n">
        <v>0</v>
      </c>
      <c r="M409" t="n">
        <v>0</v>
      </c>
      <c r="O409" t="n">
        <v>-2.330279834358138</v>
      </c>
      <c r="P409" t="n">
        <v>-2.307692307692308</v>
      </c>
      <c r="Q409">
        <f>'_live'!$C$20</f>
        <v/>
      </c>
      <c r="T409" t="n">
        <v>0.0776759944786046</v>
      </c>
      <c r="U409" t="n">
        <v>0.07692307692307693</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three-way</t>
        </is>
      </c>
      <c r="B410" t="inlineStr">
        <is>
          <t>FICO x CHANNEL / SYS_FLAG</t>
        </is>
      </c>
      <c r="C410" t="inlineStr">
        <is>
          <t>(marked missing)</t>
        </is>
      </c>
      <c r="D410" t="inlineStr">
        <is>
          <t>Online / SYS_FLAG N</t>
        </is>
      </c>
      <c r="E410" t="inlineStr">
        <is>
          <t>outcome_booked</t>
        </is>
      </c>
      <c r="F410" t="inlineStr">
        <is>
          <t>Outcome, share of booked dollars</t>
        </is>
      </c>
      <c r="G410" t="n">
        <v>30</v>
      </c>
      <c r="H410" t="n">
        <v>979704.2100000001</v>
      </c>
      <c r="I410" t="b">
        <v>1</v>
      </c>
      <c r="J410" t="b">
        <v>0</v>
      </c>
      <c r="K410" t="n">
        <v>0</v>
      </c>
      <c r="M410" t="n">
        <v>0</v>
      </c>
      <c r="O410" t="n">
        <v>-73589.56539037939</v>
      </c>
      <c r="P410" t="n">
        <v>-57899.66609327768</v>
      </c>
      <c r="Q410">
        <f>'_live'!$C$21</f>
        <v/>
      </c>
      <c r="T410" t="n">
        <v>0.07511406467302961</v>
      </c>
      <c r="U410" t="n">
        <v>0.05909912961717055</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v>
      </c>
      <c r="AI410">
        <f>IF($Y410="worse","Yes",IF($Y410="worse, not significant","Not sure",IF(OR($Y410="too few losses to test",$Y410="too few loans to test"),"Too few losses",IF($Y410="","","No"))))</f>
        <v/>
      </c>
      <c r="AJ410">
        <f>IF($AA410="yes","Yes",IF($AA410="","","No"))</f>
        <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three-way</t>
        </is>
      </c>
      <c r="B411" t="inlineStr">
        <is>
          <t>FICO x CHANNEL / SYS_FLAG</t>
        </is>
      </c>
      <c r="C411" t="inlineStr">
        <is>
          <t>(marked missing)</t>
        </is>
      </c>
      <c r="D411" t="inlineStr">
        <is>
          <t>Online / SYS_FLAG N</t>
        </is>
      </c>
      <c r="E411" t="inlineStr">
        <is>
          <t>gco_rate</t>
        </is>
      </c>
      <c r="F411" t="inlineStr">
        <is>
          <t>GCO per booked dollar</t>
        </is>
      </c>
      <c r="G411" t="n">
        <v>30</v>
      </c>
      <c r="H411" t="n">
        <v>979704.2100000001</v>
      </c>
      <c r="I411" t="b">
        <v>1</v>
      </c>
      <c r="J411" t="b">
        <v>0</v>
      </c>
      <c r="K411" t="n">
        <v>0</v>
      </c>
      <c r="M411" t="n">
        <v>0</v>
      </c>
      <c r="O411" t="n">
        <v>-40916.2075298359</v>
      </c>
      <c r="P411" t="n">
        <v>-30678.90169669115</v>
      </c>
      <c r="Q411">
        <f>'_live'!$C$22</f>
        <v/>
      </c>
      <c r="T411" t="n">
        <v>0.04176383760751206</v>
      </c>
      <c r="U411" t="n">
        <v>0.03131445326410422</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v>
      </c>
      <c r="AI411">
        <f>IF($Y411="worse","Yes",IF($Y411="worse, not significant","Not sure",IF(OR($Y411="too few losses to test",$Y411="too few loans to test"),"Too few losses",IF($Y411="","","No"))))</f>
        <v/>
      </c>
      <c r="AJ411">
        <f>IF($AA411="yes","Yes",IF($AA411="","","No"))</f>
        <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three-way</t>
        </is>
      </c>
      <c r="B412" t="inlineStr">
        <is>
          <t>FICO x CHANNEL / SYS_FLAG</t>
        </is>
      </c>
      <c r="C412" t="inlineStr">
        <is>
          <t>(marked missing)</t>
        </is>
      </c>
      <c r="D412" t="inlineStr">
        <is>
          <t>Online / SYS_FLAG N</t>
        </is>
      </c>
      <c r="E412" t="inlineStr">
        <is>
          <t>ranr_rate</t>
        </is>
      </c>
      <c r="F412" t="inlineStr">
        <is>
          <t>Profit after losses: RANR per booked dollar</t>
        </is>
      </c>
      <c r="G412" t="n">
        <v>30</v>
      </c>
      <c r="H412" t="n">
        <v>979704.2100000001</v>
      </c>
      <c r="I412" t="b">
        <v>0</v>
      </c>
      <c r="J412" t="b">
        <v>0</v>
      </c>
      <c r="K412" t="n">
        <v>0.1023837797997015</v>
      </c>
      <c r="L412" t="n">
        <v>0.01498350164983502</v>
      </c>
      <c r="M412" t="n">
        <v>0.09182319146240303</v>
      </c>
      <c r="N412" t="n">
        <v>0.03239676032396761</v>
      </c>
      <c r="O412" t="n">
        <v>-100305.8201054805</v>
      </c>
      <c r="P412" t="n">
        <v>-89959.56725135233</v>
      </c>
      <c r="Q412">
        <f>'_live'!$C$23</f>
        <v/>
      </c>
      <c r="R412" t="inlineStr">
        <is>
          <t>shuffled: 80 of 10,000</t>
        </is>
      </c>
      <c r="S412" t="inlineStr">
        <is>
          <t>shuffled: 80 of 10,000</t>
        </is>
      </c>
      <c r="T412" t="n">
        <v>0.1276013705141875</v>
      </c>
      <c r="U412" t="n">
        <v>0.138161958851486</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0.229985150313889</v>
      </c>
      <c r="AI412">
        <f>IF($Y412="worse","Yes",IF($Y412="worse, not significant","Not sure",IF(OR($Y412="too few losses to test",$Y412="too few loans to test"),"Too few losses",IF($Y412="","","No"))))</f>
        <v/>
      </c>
      <c r="AJ412">
        <f>IF($AA412="yes","Yes",IF($AA412="","","No"))</f>
        <v/>
      </c>
      <c r="AK412" t="n">
        <v>0.001658160810371062</v>
      </c>
      <c r="AL412" t="n">
        <v>0.003585212562964459</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three-way</t>
        </is>
      </c>
      <c r="B413" t="inlineStr">
        <is>
          <t>FICO x CHANNEL / SYS_FLAG</t>
        </is>
      </c>
      <c r="C413" t="inlineStr">
        <is>
          <t>(marked missing)</t>
        </is>
      </c>
      <c r="D413" t="inlineStr">
        <is>
          <t>Online / SYS_FLAG N</t>
        </is>
      </c>
      <c r="E413" t="inlineStr">
        <is>
          <t>contribution_rate</t>
        </is>
      </c>
      <c r="F413" t="inlineStr">
        <is>
          <t>Contribution before losses per booked dollar</t>
        </is>
      </c>
      <c r="G413" t="n">
        <v>30</v>
      </c>
      <c r="H413" t="n">
        <v>979704.2100000001</v>
      </c>
      <c r="I413" t="b">
        <v>0</v>
      </c>
      <c r="J413" t="b">
        <v>0</v>
      </c>
      <c r="K413" t="n">
        <v>0.06062287234237793</v>
      </c>
      <c r="L413" t="n">
        <v>0.01707521555536754</v>
      </c>
      <c r="M413" t="n">
        <v>0.06050873819829883</v>
      </c>
      <c r="N413" t="n">
        <v>0.08306861621530154</v>
      </c>
      <c r="O413" t="n">
        <v>-59392.48325612023</v>
      </c>
      <c r="P413" t="n">
        <v>-59280.66555466119</v>
      </c>
      <c r="Q413">
        <f>'_live'!$C$24</f>
        <v/>
      </c>
      <c r="R413" t="inlineStr">
        <is>
          <t>shuffled: 119 of 10,000</t>
        </is>
      </c>
      <c r="S413" t="inlineStr">
        <is>
          <t>shuffled: 289 of 10,000</t>
        </is>
      </c>
      <c r="T413" t="n">
        <v>0.1693622779715111</v>
      </c>
      <c r="U413" t="n">
        <v>0.1694764121155902</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0.229985150313889</v>
      </c>
      <c r="AI413">
        <f>IF($Y413="worse","Yes",IF($Y413="worse, not significant","Not sure",IF(OR($Y413="too few losses to test",$Y413="too few loans to test"),"Too few losses",IF($Y413="","","No"))))</f>
        <v/>
      </c>
      <c r="AJ413">
        <f>IF($AA413="yes","Yes",IF($AA413="","","No"))</f>
        <v/>
      </c>
      <c r="AK413" t="n">
        <v>0.001549444488426268</v>
      </c>
      <c r="AL413" t="n">
        <v>0.004723724938868795</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three-way</t>
        </is>
      </c>
      <c r="B414" t="inlineStr">
        <is>
          <t>FICO x CHANNEL / SYS_FLAG</t>
        </is>
      </c>
      <c r="C414" t="inlineStr">
        <is>
          <t>(blank)</t>
        </is>
      </c>
      <c r="D414" t="inlineStr">
        <is>
          <t>Broker / SYS_FLAG Y</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three-way</t>
        </is>
      </c>
      <c r="B415" t="inlineStr">
        <is>
          <t>FICO x CHANNEL / SYS_FLAG</t>
        </is>
      </c>
      <c r="C415" t="inlineStr">
        <is>
          <t>(blank)</t>
        </is>
      </c>
      <c r="D415" t="inlineStr">
        <is>
          <t>Broker / SYS_FLAG Y</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three-way</t>
        </is>
      </c>
      <c r="B416" t="inlineStr">
        <is>
          <t>FICO x CHANNEL / SYS_FLAG</t>
        </is>
      </c>
      <c r="C416" t="inlineStr">
        <is>
          <t>(blank)</t>
        </is>
      </c>
      <c r="D416" t="inlineStr">
        <is>
          <t>Broker / SYS_FLAG Y</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three-way</t>
        </is>
      </c>
      <c r="B417" t="inlineStr">
        <is>
          <t>FICO x CHANNEL / SYS_FLAG</t>
        </is>
      </c>
      <c r="C417" t="inlineStr">
        <is>
          <t>(blank)</t>
        </is>
      </c>
      <c r="D417" t="inlineStr">
        <is>
          <t>Broker / SYS_FLAG Y</t>
        </is>
      </c>
      <c r="E417" t="inlineStr">
        <is>
          <t>ranr_rate</t>
        </is>
      </c>
      <c r="F417" t="inlineStr">
        <is>
          <t>Profit after losses: RANR per booked dollar</t>
        </is>
      </c>
      <c r="G417" t="n">
        <v>1</v>
      </c>
      <c r="H417" t="n">
        <v>27999.47</v>
      </c>
      <c r="I417" t="b">
        <v>0</v>
      </c>
      <c r="J417" t="b">
        <v>1</v>
      </c>
      <c r="K417" t="n">
        <v>0.01230822708383753</v>
      </c>
      <c r="L417" t="n">
        <v>0.9539907120399072</v>
      </c>
      <c r="O417" t="n">
        <v>-344.6238349870969</v>
      </c>
      <c r="Q417">
        <f>'_live'!$C$23</f>
        <v/>
      </c>
      <c r="R417" t="inlineStr">
        <is>
          <t>shuffled: 9,282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c r="AK417" t="n">
        <v>0.002653152377505045</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three-way</t>
        </is>
      </c>
      <c r="B418" t="inlineStr">
        <is>
          <t>FICO x CHANNEL / SYS_FLAG</t>
        </is>
      </c>
      <c r="C418" t="inlineStr">
        <is>
          <t>(blank)</t>
        </is>
      </c>
      <c r="D418" t="inlineStr">
        <is>
          <t>Broker / SYS_FLAG Y</t>
        </is>
      </c>
      <c r="E418" t="inlineStr">
        <is>
          <t>contribution_rate</t>
        </is>
      </c>
      <c r="F418" t="inlineStr">
        <is>
          <t>Contribution before losses per booked dollar</t>
        </is>
      </c>
      <c r="G418" t="n">
        <v>1</v>
      </c>
      <c r="H418" t="n">
        <v>27999.47</v>
      </c>
      <c r="I418" t="b">
        <v>0</v>
      </c>
      <c r="J418" t="b">
        <v>1</v>
      </c>
      <c r="K418" t="n">
        <v>-0.02929869368860016</v>
      </c>
      <c r="L418" t="n">
        <v>0.8694130586941307</v>
      </c>
      <c r="O418" t="n">
        <v>820.3478949731489</v>
      </c>
      <c r="Q418">
        <f>'_live'!$C$24</f>
        <v/>
      </c>
      <c r="R418" t="inlineStr">
        <is>
          <t>shuffled: 8,459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c r="AK418" t="n">
        <v>0.003710584250596534</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three-way</t>
        </is>
      </c>
      <c r="B419" t="inlineStr">
        <is>
          <t>FICO x CHANNEL / SYS_FLAG</t>
        </is>
      </c>
      <c r="C419" t="inlineStr">
        <is>
          <t>712 - 745</t>
        </is>
      </c>
      <c r="D419" t="inlineStr">
        <is>
          <t>Branch / SYS_FLAG N</t>
        </is>
      </c>
      <c r="E419" t="inlineStr">
        <is>
          <t>outcome_loans</t>
        </is>
      </c>
      <c r="F419" t="inlineStr">
        <is>
          <t>Outcome, share of loans</t>
        </is>
      </c>
      <c r="G419" t="n">
        <v>307</v>
      </c>
      <c r="H419" t="n">
        <v>307</v>
      </c>
      <c r="I419" t="b">
        <v>0</v>
      </c>
      <c r="J419" t="b">
        <v>0</v>
      </c>
      <c r="K419" t="n">
        <v>0.4114183020169766</v>
      </c>
      <c r="L419" t="n">
        <v>0.01706722733825044</v>
      </c>
      <c r="M419" t="n">
        <v>0.551630779643809</v>
      </c>
      <c r="N419" t="n">
        <v>0.1620440761844105</v>
      </c>
      <c r="O419" t="n">
        <v>-14.30616224648986</v>
      </c>
      <c r="P419" t="n">
        <v>-8.128067484662576</v>
      </c>
      <c r="Q419">
        <f>'_live'!$C$20</f>
        <v/>
      </c>
      <c r="R419" t="inlineStr">
        <is>
          <t>z test</t>
        </is>
      </c>
      <c r="S419" t="inlineStr">
        <is>
          <t>z test</t>
        </is>
      </c>
      <c r="T419" t="n">
        <v>0.07917316692667707</v>
      </c>
      <c r="U419" t="n">
        <v>0.05904907975460123</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0.03257328990228013</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three-way</t>
        </is>
      </c>
      <c r="B420" t="inlineStr">
        <is>
          <t>FICO x CHANNEL / SYS_FLAG</t>
        </is>
      </c>
      <c r="C420" t="inlineStr">
        <is>
          <t>712 - 745</t>
        </is>
      </c>
      <c r="D420" t="inlineStr">
        <is>
          <t>Branch / SYS_FLAG N</t>
        </is>
      </c>
      <c r="E420" t="inlineStr">
        <is>
          <t>outcome_booked</t>
        </is>
      </c>
      <c r="F420" t="inlineStr">
        <is>
          <t>Outcome, share of booked dollars</t>
        </is>
      </c>
      <c r="G420" t="n">
        <v>307</v>
      </c>
      <c r="H420" t="n">
        <v>9359005.379999993</v>
      </c>
      <c r="I420" t="b">
        <v>0</v>
      </c>
      <c r="J420" t="b">
        <v>0</v>
      </c>
      <c r="K420" t="n">
        <v>0.3721625666844596</v>
      </c>
      <c r="L420" t="n">
        <v>0.02041462520414625</v>
      </c>
      <c r="M420" t="n">
        <v>0.4722041105377082</v>
      </c>
      <c r="N420" t="n">
        <v>0.1274872512748725</v>
      </c>
      <c r="O420" t="n">
        <v>-449935.4902009304</v>
      </c>
      <c r="P420" t="n">
        <v>-298106.8624015055</v>
      </c>
      <c r="Q420">
        <f>'_live'!$C$21</f>
        <v/>
      </c>
      <c r="R420" t="inlineStr">
        <is>
          <t>shuffled: 48 of 10,000</t>
        </is>
      </c>
      <c r="S420" t="inlineStr">
        <is>
          <t>shuffled: 458 of 10,000</t>
        </is>
      </c>
      <c r="T420" t="n">
        <v>0.07657259196926874</v>
      </c>
      <c r="U420" t="n">
        <v>0.06034986085257555</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0.02849745236496489</v>
      </c>
      <c r="AI420">
        <f>IF($Y420="worse","Yes",IF($Y420="worse, not significant","Not sure",IF(OR($Y420="too few losses to test",$Y420="too few loans to test"),"Too few losses",IF($Y420="","","No"))))</f>
        <v/>
      </c>
      <c r="AJ420">
        <f>IF($AA420="yes","Yes",IF($AA420="","","No"))</f>
        <v/>
      </c>
      <c r="AK420" t="n">
        <v>0.002909367309715011</v>
      </c>
      <c r="AL420" t="n">
        <v>0.005812729602378646</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three-way</t>
        </is>
      </c>
      <c r="B421" t="inlineStr">
        <is>
          <t>FICO x CHANNEL / SYS_FLAG</t>
        </is>
      </c>
      <c r="C421" t="inlineStr">
        <is>
          <t>712 - 745</t>
        </is>
      </c>
      <c r="D421" t="inlineStr">
        <is>
          <t>Branch / SYS_FLAG N</t>
        </is>
      </c>
      <c r="E421" t="inlineStr">
        <is>
          <t>gco_rate</t>
        </is>
      </c>
      <c r="F421" t="inlineStr">
        <is>
          <t>GCO per booked dollar</t>
        </is>
      </c>
      <c r="G421" t="n">
        <v>306</v>
      </c>
      <c r="H421" t="n">
        <v>9319320.949999994</v>
      </c>
      <c r="I421" t="b">
        <v>0</v>
      </c>
      <c r="J421" t="b">
        <v>0</v>
      </c>
      <c r="K421" t="n">
        <v>0.3535309181645481</v>
      </c>
      <c r="L421" t="n">
        <v>0.02333100023331</v>
      </c>
      <c r="M421" t="n">
        <v>0.4474615712255813</v>
      </c>
      <c r="N421" t="n">
        <v>0.1094890510948905</v>
      </c>
      <c r="O421" t="n">
        <v>-256649.7349829731</v>
      </c>
      <c r="P421" t="n">
        <v>-173311.4306687773</v>
      </c>
      <c r="Q421">
        <f>'_live'!$C$22</f>
        <v/>
      </c>
      <c r="R421" t="inlineStr">
        <is>
          <t>shuffled: 52 of 10,000</t>
        </is>
      </c>
      <c r="S421" t="inlineStr">
        <is>
          <t>shuffled: 437 of 10,000</t>
        </is>
      </c>
      <c r="T421" t="n">
        <v>0.04259992086472496</v>
      </c>
      <c r="U421" t="n">
        <v>0.03365739117170093</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0.01506038913704331</v>
      </c>
      <c r="AI421">
        <f>IF($Y421="worse","Yes",IF($Y421="worse, not significant","Not sure",IF(OR($Y421="too few losses to test",$Y421="too few loans to test"),"Too few losses",IF($Y421="","","No"))))</f>
        <v/>
      </c>
      <c r="AJ421">
        <f>IF($AA421="yes","Yes",IF($AA421="","","No"))</f>
        <v/>
      </c>
      <c r="AK421" t="n">
        <v>0.003109150453101913</v>
      </c>
      <c r="AL421" t="n">
        <v>0.005116002105429265</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three-way</t>
        </is>
      </c>
      <c r="B422" t="inlineStr">
        <is>
          <t>FICO x CHANNEL / SYS_FLAG</t>
        </is>
      </c>
      <c r="C422" t="inlineStr">
        <is>
          <t>712 - 745</t>
        </is>
      </c>
      <c r="D422" t="inlineStr">
        <is>
          <t>Branch / SYS_FLAG N</t>
        </is>
      </c>
      <c r="E422" t="inlineStr">
        <is>
          <t>ranr_rate</t>
        </is>
      </c>
      <c r="F422" t="inlineStr">
        <is>
          <t>Profit after losses: RANR per booked dollar</t>
        </is>
      </c>
      <c r="G422" t="n">
        <v>307</v>
      </c>
      <c r="H422" t="n">
        <v>9359005.379999993</v>
      </c>
      <c r="I422" t="b">
        <v>0</v>
      </c>
      <c r="J422" t="b">
        <v>0</v>
      </c>
      <c r="K422" t="n">
        <v>-0.03495271416923826</v>
      </c>
      <c r="L422" t="n">
        <v>0.0071816347776987</v>
      </c>
      <c r="M422" t="n">
        <v>-0.00203738465916907</v>
      </c>
      <c r="N422" t="n">
        <v>0.9530046995300471</v>
      </c>
      <c r="O422" t="n">
        <v>327122.6399555028</v>
      </c>
      <c r="P422" t="n">
        <v>19067.89398629277</v>
      </c>
      <c r="Q422">
        <f>'_live'!$C$23</f>
        <v/>
      </c>
      <c r="R422" t="inlineStr">
        <is>
          <t>shuffled: 32 of 10,000</t>
        </is>
      </c>
      <c r="S422" t="inlineStr">
        <is>
          <t>shuffled: 8,471 of 10,000</t>
        </is>
      </c>
      <c r="T422" t="n">
        <v>0.1292576305747891</v>
      </c>
      <c r="U422" t="n">
        <v>0.09634230106471987</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0.0943049164055508</v>
      </c>
      <c r="AI422">
        <f>IF($Y422="worse","Yes",IF($Y422="worse, not significant","Not sure",IF(OR($Y422="too few losses to test",$Y422="too few loans to test"),"Too few losses",IF($Y422="","","No"))))</f>
        <v/>
      </c>
      <c r="AJ422">
        <f>IF($AA422="yes","Yes",IF($AA422="","","No"))</f>
        <v/>
      </c>
      <c r="AK422" t="n">
        <v>0.001248160285821845</v>
      </c>
      <c r="AL422" t="n">
        <v>0.004048608769008777</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three-way</t>
        </is>
      </c>
      <c r="B423" t="inlineStr">
        <is>
          <t>FICO x CHANNEL / SYS_FLAG</t>
        </is>
      </c>
      <c r="C423" t="inlineStr">
        <is>
          <t>712 - 745</t>
        </is>
      </c>
      <c r="D423" t="inlineStr">
        <is>
          <t>Branch / SYS_FLAG N</t>
        </is>
      </c>
      <c r="E423" t="inlineStr">
        <is>
          <t>contribution_rate</t>
        </is>
      </c>
      <c r="F423" t="inlineStr">
        <is>
          <t>Contribution before losses per booked dollar</t>
        </is>
      </c>
      <c r="G423" t="n">
        <v>306</v>
      </c>
      <c r="H423" t="n">
        <v>9319320.949999994</v>
      </c>
      <c r="I423" t="b">
        <v>0</v>
      </c>
      <c r="J423" t="b">
        <v>0</v>
      </c>
      <c r="K423" t="n">
        <v>-0.06271485258225422</v>
      </c>
      <c r="L423" t="n">
        <v>0.000184981501849815</v>
      </c>
      <c r="M423" t="n">
        <v>-0.02085699337916112</v>
      </c>
      <c r="N423" t="n">
        <v>0.0005999400059994001</v>
      </c>
      <c r="O423" t="n">
        <v>584459.839545963</v>
      </c>
      <c r="P423" t="n">
        <v>194373.0153524274</v>
      </c>
      <c r="Q423">
        <f>'_live'!$C$24</f>
        <v/>
      </c>
      <c r="R423" t="inlineStr">
        <is>
          <t>shuffled: 0 of 10,000</t>
        </is>
      </c>
      <c r="S423" t="inlineStr">
        <is>
          <t>shuffled: 0 of 10,000</t>
        </is>
      </c>
      <c r="T423" t="n">
        <v>0.1718575514395138</v>
      </c>
      <c r="U423" t="n">
        <v>0.1299996922364207</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0.1091426988572596</v>
      </c>
      <c r="AI423">
        <f>IF($Y423="worse","Yes",IF($Y423="worse, not significant","Not sure",IF(OR($Y423="too few losses to test",$Y423="too few loans to test"),"Too few losses",IF($Y423="","","No"))))</f>
        <v/>
      </c>
      <c r="AJ423">
        <f>IF($AA423="yes","Yes",IF($AA423="","","No"))</f>
        <v/>
      </c>
      <c r="AK423" t="n">
        <v>0.000184981501849815</v>
      </c>
      <c r="AL423" t="n">
        <v>0.0005999400059994001</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three-way</t>
        </is>
      </c>
      <c r="B424" t="inlineStr">
        <is>
          <t>FICO x CHANNEL / SYS_FLAG</t>
        </is>
      </c>
      <c r="C424" t="inlineStr">
        <is>
          <t>712 - 745</t>
        </is>
      </c>
      <c r="D424" t="inlineStr">
        <is>
          <t>Branch / SYS_FLAG Y</t>
        </is>
      </c>
      <c r="E424" t="inlineStr">
        <is>
          <t>outcome_loans</t>
        </is>
      </c>
      <c r="F424" t="inlineStr">
        <is>
          <t>Outcome, share of loans</t>
        </is>
      </c>
      <c r="G424" t="n">
        <v>231</v>
      </c>
      <c r="H424" t="n">
        <v>231</v>
      </c>
      <c r="I424" t="b">
        <v>0</v>
      </c>
      <c r="J424" t="b">
        <v>0</v>
      </c>
      <c r="K424" t="n">
        <v>0.6647981343203749</v>
      </c>
      <c r="L424" t="n">
        <v>0.2088893268513094</v>
      </c>
      <c r="M424" t="n">
        <v>0.9558441558441559</v>
      </c>
      <c r="N424" t="n">
        <v>0.9179955669404986</v>
      </c>
      <c r="O424" t="n">
        <v>-6.050592173017506</v>
      </c>
      <c r="P424" t="n">
        <v>-0.554347826086957</v>
      </c>
      <c r="Q424">
        <f>'_live'!$C$20</f>
        <v/>
      </c>
      <c r="R424" t="inlineStr">
        <is>
          <t>z test</t>
        </is>
      </c>
      <c r="S424" t="inlineStr">
        <is>
          <t>z test</t>
        </is>
      </c>
      <c r="T424" t="n">
        <v>0.07814109165808444</v>
      </c>
      <c r="U424" t="n">
        <v>0.05434782608695652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0.05194805194805195</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three-way</t>
        </is>
      </c>
      <c r="B425" t="inlineStr">
        <is>
          <t>FICO x CHANNEL / SYS_FLAG</t>
        </is>
      </c>
      <c r="C425" t="inlineStr">
        <is>
          <t>712 - 745</t>
        </is>
      </c>
      <c r="D425" t="inlineStr">
        <is>
          <t>Branch / SYS_FLAG Y</t>
        </is>
      </c>
      <c r="E425" t="inlineStr">
        <is>
          <t>outcome_booked</t>
        </is>
      </c>
      <c r="F425" t="inlineStr">
        <is>
          <t>Outcome, share of booked dollars</t>
        </is>
      </c>
      <c r="G425" t="n">
        <v>230</v>
      </c>
      <c r="H425" t="n">
        <v>7154058.649999997</v>
      </c>
      <c r="I425" t="b">
        <v>0</v>
      </c>
      <c r="J425" t="b">
        <v>0</v>
      </c>
      <c r="K425" t="n">
        <v>0.768123695076026</v>
      </c>
      <c r="L425" t="n">
        <v>0.4637036296370363</v>
      </c>
      <c r="M425" t="n">
        <v>1.071783999275634</v>
      </c>
      <c r="N425" t="n">
        <v>0.9156376029063761</v>
      </c>
      <c r="O425" t="n">
        <v>-124933.5533329989</v>
      </c>
      <c r="P425" t="n">
        <v>27718.78978575155</v>
      </c>
      <c r="Q425">
        <f>'_live'!$C$21</f>
        <v/>
      </c>
      <c r="R425" t="inlineStr">
        <is>
          <t>shuffled: 3,709 of 10,000</t>
        </is>
      </c>
      <c r="S425" t="inlineStr">
        <is>
          <t>shuffled: 8,345 of 10,000</t>
        </is>
      </c>
      <c r="T425" t="n">
        <v>0.07531304811612065</v>
      </c>
      <c r="U425" t="n">
        <v>0.05397518235529822</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0.05784973680639313</v>
      </c>
      <c r="AI425">
        <f>IF($Y425="worse","Yes",IF($Y425="worse, not significant","Not sure",IF(OR($Y425="too few losses to test",$Y425="too few loans to test"),"Too few losses",IF($Y425="","","No"))))</f>
        <v/>
      </c>
      <c r="AJ425">
        <f>IF($AA425="yes","Yes",IF($AA425="","","No"))</f>
        <v/>
      </c>
      <c r="AK425" t="n">
        <v>0.006038281882354729</v>
      </c>
      <c r="AL425" t="n">
        <v>0.003397012655819924</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three-way</t>
        </is>
      </c>
      <c r="B426" t="inlineStr">
        <is>
          <t>FICO x CHANNEL / SYS_FLAG</t>
        </is>
      </c>
      <c r="C426" t="inlineStr">
        <is>
          <t>712 - 745</t>
        </is>
      </c>
      <c r="D426" t="inlineStr">
        <is>
          <t>Branch / SYS_FLAG Y</t>
        </is>
      </c>
      <c r="E426" t="inlineStr">
        <is>
          <t>gco_rate</t>
        </is>
      </c>
      <c r="F426" t="inlineStr">
        <is>
          <t>GCO per booked dollar</t>
        </is>
      </c>
      <c r="G426" t="n">
        <v>230</v>
      </c>
      <c r="H426" t="n">
        <v>7154058.649999997</v>
      </c>
      <c r="I426" t="b">
        <v>0</v>
      </c>
      <c r="J426" t="b">
        <v>0</v>
      </c>
      <c r="K426" t="n">
        <v>0.7966476258699117</v>
      </c>
      <c r="L426" t="n">
        <v>0.5345893982030367</v>
      </c>
      <c r="M426" t="n">
        <v>1.119894997654172</v>
      </c>
      <c r="N426" t="n">
        <v>0.8346892583468926</v>
      </c>
      <c r="O426" t="n">
        <v>-60870.31773401314</v>
      </c>
      <c r="P426" t="n">
        <v>25529.73733621743</v>
      </c>
      <c r="Q426">
        <f>'_live'!$C$22</f>
        <v/>
      </c>
      <c r="R426" t="inlineStr">
        <is>
          <t>shuffled: 4,490 of 10,000</t>
        </is>
      </c>
      <c r="S426" t="inlineStr">
        <is>
          <t>shuffled: 7,345 of 10,000</t>
        </is>
      </c>
      <c r="T426" t="n">
        <v>0.04184117049893256</v>
      </c>
      <c r="U426" t="n">
        <v>0.02976410218048501</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0.03333266914159281</v>
      </c>
      <c r="AI426">
        <f>IF($Y426="worse","Yes",IF($Y426="worse, not significant","Not sure",IF(OR($Y426="too few losses to test",$Y426="too few loans to test"),"Too few losses",IF($Y426="","","No"))))</f>
        <v/>
      </c>
      <c r="AJ426">
        <f>IF($AA426="yes","Yes",IF($AA426="","","No"))</f>
        <v/>
      </c>
      <c r="AK426" t="n">
        <v>0.005921402921357619</v>
      </c>
      <c r="AL426" t="n">
        <v>0.005018011188200521</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three-way</t>
        </is>
      </c>
      <c r="B427" t="inlineStr">
        <is>
          <t>FICO x CHANNEL / SYS_FLAG</t>
        </is>
      </c>
      <c r="C427" t="inlineStr">
        <is>
          <t>712 - 745</t>
        </is>
      </c>
      <c r="D427" t="inlineStr">
        <is>
          <t>Branch / SYS_FLAG Y</t>
        </is>
      </c>
      <c r="E427" t="inlineStr">
        <is>
          <t>ranr_rate</t>
        </is>
      </c>
      <c r="F427" t="inlineStr">
        <is>
          <t>Profit after losses: RANR per booked dollar</t>
        </is>
      </c>
      <c r="G427" t="n">
        <v>230</v>
      </c>
      <c r="H427" t="n">
        <v>7154058.649999997</v>
      </c>
      <c r="I427" t="b">
        <v>0</v>
      </c>
      <c r="J427" t="b">
        <v>0</v>
      </c>
      <c r="K427" t="n">
        <v>-0.05501727577721049</v>
      </c>
      <c r="L427" t="n">
        <v>0.0002845869259227924</v>
      </c>
      <c r="M427" t="n">
        <v>-0.02496567470579777</v>
      </c>
      <c r="N427" t="n">
        <v>0.1155484451554845</v>
      </c>
      <c r="O427" t="n">
        <v>393596.8176733881</v>
      </c>
      <c r="P427" t="n">
        <v>178605.9010820987</v>
      </c>
      <c r="Q427">
        <f>'_live'!$C$23</f>
        <v/>
      </c>
      <c r="R427" t="inlineStr">
        <is>
          <t>shuffled: 0 of 10,000</t>
        </is>
      </c>
      <c r="S427" t="inlineStr">
        <is>
          <t>shuffled: 320 of 10,000</t>
        </is>
      </c>
      <c r="T427" t="n">
        <v>0.1295152140908697</v>
      </c>
      <c r="U427" t="n">
        <v>0.09946361301945703</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0.07449793831365925</v>
      </c>
      <c r="AI427">
        <f>IF($Y427="worse","Yes",IF($Y427="worse, not significant","Not sure",IF(OR($Y427="too few losses to test",$Y427="too few loans to test"),"Too few losses",IF($Y427="","","No"))))</f>
        <v/>
      </c>
      <c r="AJ427">
        <f>IF($AA427="yes","Yes",IF($AA427="","","No"))</f>
        <v/>
      </c>
      <c r="AK427" t="n">
        <v>0.0002845869259227924</v>
      </c>
      <c r="AL427" t="n">
        <v>0.006345257751911218</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three-way</t>
        </is>
      </c>
      <c r="B428" t="inlineStr">
        <is>
          <t>FICO x CHANNEL / SYS_FLAG</t>
        </is>
      </c>
      <c r="C428" t="inlineStr">
        <is>
          <t>712 - 745</t>
        </is>
      </c>
      <c r="D428" t="inlineStr">
        <is>
          <t>Branch / SYS_FLAG Y</t>
        </is>
      </c>
      <c r="E428" t="inlineStr">
        <is>
          <t>contribution_rate</t>
        </is>
      </c>
      <c r="F428" t="inlineStr">
        <is>
          <t>Contribution before losses per booked dollar</t>
        </is>
      </c>
      <c r="G428" t="n">
        <v>230</v>
      </c>
      <c r="H428" t="n">
        <v>7154058.649999997</v>
      </c>
      <c r="I428" t="b">
        <v>0</v>
      </c>
      <c r="J428" t="b">
        <v>0</v>
      </c>
      <c r="K428" t="n">
        <v>-0.0635230776094704</v>
      </c>
      <c r="L428" t="n">
        <v>0.000184981501849815</v>
      </c>
      <c r="M428" t="n">
        <v>-0.02135453313585967</v>
      </c>
      <c r="N428" t="n">
        <v>0.001999800019998</v>
      </c>
      <c r="O428" t="n">
        <v>454447.8228466528</v>
      </c>
      <c r="P428" t="n">
        <v>152771.5824973084</v>
      </c>
      <c r="Q428">
        <f>'_live'!$C$24</f>
        <v/>
      </c>
      <c r="R428" t="inlineStr">
        <is>
          <t>shuffled: 0 of 10,000</t>
        </is>
      </c>
      <c r="S428" t="inlineStr">
        <is>
          <t>shuffled: 4 of 10,000</t>
        </is>
      </c>
      <c r="T428" t="n">
        <v>0.1713536850647224</v>
      </c>
      <c r="U428" t="n">
        <v>0.1291851405911117</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0.107830607455252</v>
      </c>
      <c r="AI428">
        <f>IF($Y428="worse","Yes",IF($Y428="worse, not significant","Not sure",IF(OR($Y428="too few losses to test",$Y428="too few loans to test"),"Too few losses",IF($Y428="","","No"))))</f>
        <v/>
      </c>
      <c r="AJ428">
        <f>IF($AA428="yes","Yes",IF($AA428="","","No"))</f>
        <v/>
      </c>
      <c r="AK428" t="n">
        <v>0.000184981501849815</v>
      </c>
      <c r="AL428" t="n">
        <v>0.0008941588717824152</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three-way</t>
        </is>
      </c>
      <c r="B429" t="inlineStr">
        <is>
          <t>FICO x CHANNEL / SYS_FLAG</t>
        </is>
      </c>
      <c r="C429" t="inlineStr">
        <is>
          <t>496 - 653</t>
        </is>
      </c>
      <c r="D429" t="inlineStr">
        <is>
          <t>Branch / SYS_FLAG N</t>
        </is>
      </c>
      <c r="E429" t="inlineStr">
        <is>
          <t>outcome_loans</t>
        </is>
      </c>
      <c r="F429" t="inlineStr">
        <is>
          <t>Outcome, share of loans</t>
        </is>
      </c>
      <c r="G429" t="n">
        <v>270</v>
      </c>
      <c r="H429" t="n">
        <v>270</v>
      </c>
      <c r="I429" t="b">
        <v>0</v>
      </c>
      <c r="J429" t="b">
        <v>0</v>
      </c>
      <c r="K429" t="n">
        <v>1.104691772309222</v>
      </c>
      <c r="L429" t="n">
        <v>0.6516114653625142</v>
      </c>
      <c r="M429" t="n">
        <v>0.5187818149903458</v>
      </c>
      <c r="N429" t="n">
        <v>0.006018836048015569</v>
      </c>
      <c r="O429" t="n">
        <v>2.179712770086688</v>
      </c>
      <c r="P429" t="n">
        <v>-21.33463035019455</v>
      </c>
      <c r="Q429">
        <f>'_live'!$C$20</f>
        <v/>
      </c>
      <c r="R429" t="inlineStr">
        <is>
          <t>z test</t>
        </is>
      </c>
      <c r="S429" t="inlineStr">
        <is>
          <t>z test</t>
        </is>
      </c>
      <c r="T429" t="n">
        <v>0.07711217492560486</v>
      </c>
      <c r="U429" t="n">
        <v>0.1642023346303502</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0.08518518518518518</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three-way</t>
        </is>
      </c>
      <c r="B430" t="inlineStr">
        <is>
          <t>FICO x CHANNEL / SYS_FLAG</t>
        </is>
      </c>
      <c r="C430" t="inlineStr">
        <is>
          <t>496 - 653</t>
        </is>
      </c>
      <c r="D430" t="inlineStr">
        <is>
          <t>Branch / SYS_FLAG N</t>
        </is>
      </c>
      <c r="E430" t="inlineStr">
        <is>
          <t>outcome_booked</t>
        </is>
      </c>
      <c r="F430" t="inlineStr">
        <is>
          <t>Outcome, share of booked dollars</t>
        </is>
      </c>
      <c r="G430" t="n">
        <v>270</v>
      </c>
      <c r="H430" t="n">
        <v>8579982.870000007</v>
      </c>
      <c r="I430" t="b">
        <v>0</v>
      </c>
      <c r="J430" t="b">
        <v>0</v>
      </c>
      <c r="K430" t="n">
        <v>1.063514172390272</v>
      </c>
      <c r="L430" t="n">
        <v>0.7914208579142086</v>
      </c>
      <c r="M430" t="n">
        <v>0.486096506781561</v>
      </c>
      <c r="N430" t="n">
        <v>0.0104989501049895</v>
      </c>
      <c r="O430" t="n">
        <v>40692.0903612168</v>
      </c>
      <c r="P430" t="n">
        <v>-720346.9274622325</v>
      </c>
      <c r="Q430">
        <f>'_live'!$C$21</f>
        <v/>
      </c>
      <c r="R430" t="inlineStr">
        <is>
          <t>shuffled: 7,914 of 10,000</t>
        </is>
      </c>
      <c r="S430" t="inlineStr">
        <is>
          <t>shuffled: 20 of 10,000</t>
        </is>
      </c>
      <c r="T430" t="n">
        <v>0.0746711665216626</v>
      </c>
      <c r="U430" t="n">
        <v>0.1633705298367608</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0.0794138438647022</v>
      </c>
      <c r="AI430">
        <f>IF($Y430="worse","Yes",IF($Y430="worse, not significant","Not sure",IF(OR($Y430="too few losses to test",$Y430="too few loans to test"),"Too few losses",IF($Y430="","","No"))))</f>
        <v/>
      </c>
      <c r="AJ430">
        <f>IF($AA430="yes","Yes",IF($AA430="","","No"))</f>
        <v/>
      </c>
      <c r="AK430" t="n">
        <v>0.004062928544443609</v>
      </c>
      <c r="AL430" t="n">
        <v>0.002288766536185822</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three-way</t>
        </is>
      </c>
      <c r="B431" t="inlineStr">
        <is>
          <t>FICO x CHANNEL / SYS_FLAG</t>
        </is>
      </c>
      <c r="C431" t="inlineStr">
        <is>
          <t>496 - 653</t>
        </is>
      </c>
      <c r="D431" t="inlineStr">
        <is>
          <t>Branch / SYS_FLAG N</t>
        </is>
      </c>
      <c r="E431" t="inlineStr">
        <is>
          <t>gco_rate</t>
        </is>
      </c>
      <c r="F431" t="inlineStr">
        <is>
          <t>GCO per booked dollar</t>
        </is>
      </c>
      <c r="G431" t="n">
        <v>271</v>
      </c>
      <c r="H431" t="n">
        <v>8616970.880000006</v>
      </c>
      <c r="I431" t="b">
        <v>0</v>
      </c>
      <c r="J431" t="b">
        <v>0</v>
      </c>
      <c r="K431" t="n">
        <v>1.039613860008042</v>
      </c>
      <c r="L431" t="n">
        <v>0.8746125387461254</v>
      </c>
      <c r="M431" t="n">
        <v>0.4711320851040447</v>
      </c>
      <c r="N431" t="n">
        <v>0.010998900109989</v>
      </c>
      <c r="O431" t="n">
        <v>14183.25550352398</v>
      </c>
      <c r="P431" t="n">
        <v>-417835.5268508134</v>
      </c>
      <c r="Q431">
        <f>'_live'!$C$22</f>
        <v/>
      </c>
      <c r="R431" t="inlineStr">
        <is>
          <t>shuffled: 8,746 of 10,000</t>
        </is>
      </c>
      <c r="S431" t="inlineStr">
        <is>
          <t>shuffled: 21 of 10,000</t>
        </is>
      </c>
      <c r="T431" t="n">
        <v>0.04155029760254635</v>
      </c>
      <c r="U431" t="n">
        <v>0.09168610383545973</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0.04319626527506609</v>
      </c>
      <c r="AI431">
        <f>IF($Y431="worse","Yes",IF($Y431="worse, not significant","Not sure",IF(OR($Y431="too few losses to test",$Y431="too few loans to test"),"Too few losses",IF($Y431="","","No"))))</f>
        <v/>
      </c>
      <c r="AJ431">
        <f>IF($AA431="yes","Yes",IF($AA431="","","No"))</f>
        <v/>
      </c>
      <c r="AK431" t="n">
        <v>0.003311577355493642</v>
      </c>
      <c r="AL431" t="n">
        <v>0.002342509866496094</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three-way</t>
        </is>
      </c>
      <c r="B432" t="inlineStr">
        <is>
          <t>FICO x CHANNEL / SYS_FLAG</t>
        </is>
      </c>
      <c r="C432" t="inlineStr">
        <is>
          <t>496 - 653</t>
        </is>
      </c>
      <c r="D432" t="inlineStr">
        <is>
          <t>Branch / SYS_FLAG N</t>
        </is>
      </c>
      <c r="E432" t="inlineStr">
        <is>
          <t>ranr_rate</t>
        </is>
      </c>
      <c r="F432" t="inlineStr">
        <is>
          <t>Profit after losses: RANR per booked dollar</t>
        </is>
      </c>
      <c r="G432" t="n">
        <v>271</v>
      </c>
      <c r="H432" t="n">
        <v>8616970.880000006</v>
      </c>
      <c r="I432" t="b">
        <v>0</v>
      </c>
      <c r="J432" t="b">
        <v>0</v>
      </c>
      <c r="K432" t="n">
        <v>0.1096371647556034</v>
      </c>
      <c r="L432" t="n">
        <v>0.0002845869259227924</v>
      </c>
      <c r="M432" t="n">
        <v>0.05275189828699248</v>
      </c>
      <c r="N432" t="n">
        <v>0.0245975402459754</v>
      </c>
      <c r="O432" t="n">
        <v>-944740.2560647975</v>
      </c>
      <c r="P432" t="n">
        <v>-454561.5714037362</v>
      </c>
      <c r="Q432">
        <f>'_live'!$C$23</f>
        <v/>
      </c>
      <c r="R432" t="inlineStr">
        <is>
          <t>shuffled: 0 of 10,000</t>
        </is>
      </c>
      <c r="S432" t="inlineStr">
        <is>
          <t>shuffled: 40 of 10,000</t>
        </is>
      </c>
      <c r="T432" t="n">
        <v>0.1243292369040942</v>
      </c>
      <c r="U432" t="n">
        <v>0.1812145033727052</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0.2339664016596976</v>
      </c>
      <c r="AI432">
        <f>IF($Y432="worse","Yes",IF($Y432="worse, not significant","Not sure",IF(OR($Y432="too few losses to test",$Y432="too few loans to test"),"Too few losses",IF($Y432="","","No"))))</f>
        <v/>
      </c>
      <c r="AJ432">
        <f>IF($AA432="yes","Yes",IF($AA432="","","No"))</f>
        <v/>
      </c>
      <c r="AK432" t="n">
        <v>0.0002845869259227924</v>
      </c>
      <c r="AL432" t="n">
        <v>0.003833799714248255</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three-way</t>
        </is>
      </c>
      <c r="B433" t="inlineStr">
        <is>
          <t>FICO x CHANNEL / SYS_FLAG</t>
        </is>
      </c>
      <c r="C433" t="inlineStr">
        <is>
          <t>496 - 653</t>
        </is>
      </c>
      <c r="D433" t="inlineStr">
        <is>
          <t>Branch / SYS_FLAG N</t>
        </is>
      </c>
      <c r="E433" t="inlineStr">
        <is>
          <t>contribution_rate</t>
        </is>
      </c>
      <c r="F433" t="inlineStr">
        <is>
          <t>Contribution before losses per booked dollar</t>
        </is>
      </c>
      <c r="G433" t="n">
        <v>271</v>
      </c>
      <c r="H433" t="n">
        <v>8616970.880000006</v>
      </c>
      <c r="I433" t="b">
        <v>0</v>
      </c>
      <c r="J433" t="b">
        <v>0</v>
      </c>
      <c r="K433" t="n">
        <v>0.1112866729387726</v>
      </c>
      <c r="L433" t="n">
        <v>0.000184981501849815</v>
      </c>
      <c r="M433" t="n">
        <v>0.004262059726598655</v>
      </c>
      <c r="N433" t="n">
        <v>0.8317568243175681</v>
      </c>
      <c r="O433" t="n">
        <v>-958954.0200454886</v>
      </c>
      <c r="P433" t="n">
        <v>-36726.04455292132</v>
      </c>
      <c r="Q433">
        <f>'_live'!$C$24</f>
        <v/>
      </c>
      <c r="R433" t="inlineStr">
        <is>
          <t>shuffled: 0 of 10,000</t>
        </is>
      </c>
      <c r="S433" t="inlineStr">
        <is>
          <t>shuffled: 6,931 of 10,000</t>
        </is>
      </c>
      <c r="T433" t="n">
        <v>0.165875993995991</v>
      </c>
      <c r="U433" t="n">
        <v>0.272900607208165</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0.2771626669347637</v>
      </c>
      <c r="AI433">
        <f>IF($Y433="worse","Yes",IF($Y433="worse, not significant","Not sure",IF(OR($Y433="too few losses to test",$Y433="too few loans to test"),"Too few losses",IF($Y433="","","No"))))</f>
        <v/>
      </c>
      <c r="AJ433">
        <f>IF($AA433="yes","Yes",IF($AA433="","","No"))</f>
        <v/>
      </c>
      <c r="AK433" t="n">
        <v>0.000184981501849815</v>
      </c>
      <c r="AL433" t="n">
        <v>0.005534336223814341</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FICO x CHANNEL / SYS_FLAG</t>
        </is>
      </c>
      <c r="C434" t="inlineStr">
        <is>
          <t>746 - 921</t>
        </is>
      </c>
      <c r="D434" t="inlineStr">
        <is>
          <t>Branch / SYS_FLAG Y</t>
        </is>
      </c>
      <c r="E434" t="inlineStr">
        <is>
          <t>outcome_loans</t>
        </is>
      </c>
      <c r="F434" t="inlineStr">
        <is>
          <t>Outcome, share of loans</t>
        </is>
      </c>
      <c r="G434" t="n">
        <v>239</v>
      </c>
      <c r="H434" t="n">
        <v>239</v>
      </c>
      <c r="I434" t="b">
        <v>0</v>
      </c>
      <c r="J434" t="b">
        <v>0</v>
      </c>
      <c r="K434" t="n">
        <v>0.7513399495141603</v>
      </c>
      <c r="L434" t="n">
        <v>0.3542856713146381</v>
      </c>
      <c r="M434" t="n">
        <v>1.625523012552301</v>
      </c>
      <c r="N434" t="n">
        <v>0.2257629685936581</v>
      </c>
      <c r="O434" t="n">
        <v>-4.633376288659793</v>
      </c>
      <c r="P434" t="n">
        <v>5.387387387387388</v>
      </c>
      <c r="Q434">
        <f>'_live'!$C$20</f>
        <v/>
      </c>
      <c r="R434" t="inlineStr">
        <is>
          <t>z test</t>
        </is>
      </c>
      <c r="S434" t="inlineStr">
        <is>
          <t>z test</t>
        </is>
      </c>
      <c r="T434" t="n">
        <v>0.0779639175257732</v>
      </c>
      <c r="U434" t="n">
        <v>0.03603603603603604</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0.05857740585774059</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FICO x CHANNEL / SYS_FLAG</t>
        </is>
      </c>
      <c r="C435" t="inlineStr">
        <is>
          <t>746 - 921</t>
        </is>
      </c>
      <c r="D435" t="inlineStr">
        <is>
          <t>Branch / SYS_FLAG Y</t>
        </is>
      </c>
      <c r="E435" t="inlineStr">
        <is>
          <t>outcome_booked</t>
        </is>
      </c>
      <c r="F435" t="inlineStr">
        <is>
          <t>Outcome, share of booked dollars</t>
        </is>
      </c>
      <c r="G435" t="n">
        <v>239</v>
      </c>
      <c r="H435" t="n">
        <v>7446447.130000001</v>
      </c>
      <c r="I435" t="b">
        <v>0</v>
      </c>
      <c r="J435" t="b">
        <v>0</v>
      </c>
      <c r="K435" t="n">
        <v>0.6772114552125791</v>
      </c>
      <c r="L435" t="n">
        <v>0.2961468559026451</v>
      </c>
      <c r="M435" t="n">
        <v>1.488936159923377</v>
      </c>
      <c r="N435" t="n">
        <v>0.454377639159161</v>
      </c>
      <c r="O435" t="n">
        <v>-181551.9532488825</v>
      </c>
      <c r="P435" t="n">
        <v>125078.650672851</v>
      </c>
      <c r="Q435">
        <f>'_live'!$C$21</f>
        <v/>
      </c>
      <c r="R435" t="inlineStr">
        <is>
          <t>shuffled: 2,013 of 10,000</t>
        </is>
      </c>
      <c r="S435" t="inlineStr">
        <is>
          <t>shuffled: 2,362 of 10,000</t>
        </is>
      </c>
      <c r="T435" t="n">
        <v>0.07553247252409921</v>
      </c>
      <c r="U435" t="n">
        <v>0.03435436455279701</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0.05115145563384937</v>
      </c>
      <c r="AI435">
        <f>IF($Y435="worse","Yes",IF($Y435="worse, not significant","Not sure",IF(OR($Y435="too few losses to test",$Y435="too few loans to test"),"Too few losses",IF($Y435="","","No"))))</f>
        <v/>
      </c>
      <c r="AJ435">
        <f>IF($AA435="yes","Yes",IF($AA435="","","No"))</f>
        <v/>
      </c>
      <c r="AK435" t="n">
        <v>0.005897517460328117</v>
      </c>
      <c r="AL435" t="n">
        <v>0.008169113252130265</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FICO x CHANNEL / SYS_FLAG</t>
        </is>
      </c>
      <c r="C436" t="inlineStr">
        <is>
          <t>746 - 921</t>
        </is>
      </c>
      <c r="D436" t="inlineStr">
        <is>
          <t>Branch / SYS_FLAG Y</t>
        </is>
      </c>
      <c r="E436" t="inlineStr">
        <is>
          <t>gco_rate</t>
        </is>
      </c>
      <c r="F436" t="inlineStr">
        <is>
          <t>GCO per booked dollar</t>
        </is>
      </c>
      <c r="G436" t="n">
        <v>239</v>
      </c>
      <c r="H436" t="n">
        <v>7446447.130000001</v>
      </c>
      <c r="I436" t="b">
        <v>0</v>
      </c>
      <c r="J436" t="b">
        <v>0</v>
      </c>
      <c r="K436" t="n">
        <v>0.5918820147917022</v>
      </c>
      <c r="L436" t="n">
        <v>0.1964803519648035</v>
      </c>
      <c r="M436" t="n">
        <v>1.350191697759529</v>
      </c>
      <c r="N436" t="n">
        <v>0.5545278805452788</v>
      </c>
      <c r="O436" t="n">
        <v>-127946.5455624684</v>
      </c>
      <c r="P436" t="n">
        <v>48126.95524698481</v>
      </c>
      <c r="Q436">
        <f>'_live'!$C$22</f>
        <v/>
      </c>
      <c r="R436" t="inlineStr">
        <is>
          <t>shuffled: 1,178 of 10,000</t>
        </is>
      </c>
      <c r="S436" t="inlineStr">
        <is>
          <t>shuffled: 3,936 of 10,000</t>
        </is>
      </c>
      <c r="T436" t="n">
        <v>0.04210112689841502</v>
      </c>
      <c r="U436" t="n">
        <v>0.01845582361007311</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0.02491889981363501</v>
      </c>
      <c r="AI436">
        <f>IF($Y436="worse","Yes",IF($Y436="worse, not significant","Not sure",IF(OR($Y436="too few losses to test",$Y436="too few loans to test"),"Too few losses",IF($Y436="","","No"))))</f>
        <v/>
      </c>
      <c r="AJ436">
        <f>IF($AA436="yes","Yes",IF($AA436="","","No"))</f>
        <v/>
      </c>
      <c r="AK436" t="n">
        <v>0.005374595096995302</v>
      </c>
      <c r="AL436" t="n">
        <v>0.006802032354865741</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FICO x CHANNEL / SYS_FLAG</t>
        </is>
      </c>
      <c r="C437" t="inlineStr">
        <is>
          <t>746 - 921</t>
        </is>
      </c>
      <c r="D437" t="inlineStr">
        <is>
          <t>Branch / SYS_FLAG Y</t>
        </is>
      </c>
      <c r="E437" t="inlineStr">
        <is>
          <t>ranr_rate</t>
        </is>
      </c>
      <c r="F437" t="inlineStr">
        <is>
          <t>Profit after losses: RANR per booked dollar</t>
        </is>
      </c>
      <c r="G437" t="n">
        <v>239</v>
      </c>
      <c r="H437" t="n">
        <v>7446447.130000001</v>
      </c>
      <c r="I437" t="b">
        <v>0</v>
      </c>
      <c r="J437" t="b">
        <v>0</v>
      </c>
      <c r="K437" t="n">
        <v>-0.08942847383377538</v>
      </c>
      <c r="L437" t="n">
        <v>0.0002845869259227924</v>
      </c>
      <c r="M437" t="n">
        <v>-0.006569654813566521</v>
      </c>
      <c r="N437" t="n">
        <v>0.6705147667051476</v>
      </c>
      <c r="O437" t="n">
        <v>665924.4023197968</v>
      </c>
      <c r="P437" t="n">
        <v>48920.58723157307</v>
      </c>
      <c r="Q437">
        <f>'_live'!$C$23</f>
        <v/>
      </c>
      <c r="R437" t="inlineStr">
        <is>
          <t>shuffled: 0 of 10,000</t>
        </is>
      </c>
      <c r="S437" t="inlineStr">
        <is>
          <t>shuffled: 4,097 of 10,000</t>
        </is>
      </c>
      <c r="T437" t="n">
        <v>0.1305704674115905</v>
      </c>
      <c r="U437" t="n">
        <v>0.04771164839138168</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0.04114199357781516</v>
      </c>
      <c r="AI437">
        <f>IF($Y437="worse","Yes",IF($Y437="worse, not significant","Not sure",IF(OR($Y437="too few losses to test",$Y437="too few loans to test"),"Too few losses",IF($Y437="","","No"))))</f>
        <v/>
      </c>
      <c r="AJ437">
        <f>IF($AA437="yes","Yes",IF($AA437="","","No"))</f>
        <v/>
      </c>
      <c r="AK437" t="n">
        <v>0.0002845869259227924</v>
      </c>
      <c r="AL437" t="n">
        <v>0.008047458788409496</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FICO x CHANNEL / SYS_FLAG</t>
        </is>
      </c>
      <c r="C438" t="inlineStr">
        <is>
          <t>746 - 921</t>
        </is>
      </c>
      <c r="D438" t="inlineStr">
        <is>
          <t>Branch / SYS_FLAG Y</t>
        </is>
      </c>
      <c r="E438" t="inlineStr">
        <is>
          <t>contribution_rate</t>
        </is>
      </c>
      <c r="F438" t="inlineStr">
        <is>
          <t>Contribution before losses per booked dollar</t>
        </is>
      </c>
      <c r="G438" t="n">
        <v>239</v>
      </c>
      <c r="H438" t="n">
        <v>7446447.130000001</v>
      </c>
      <c r="I438" t="b">
        <v>0</v>
      </c>
      <c r="J438" t="b">
        <v>0</v>
      </c>
      <c r="K438" t="n">
        <v>-0.1066081653628146</v>
      </c>
      <c r="L438" t="n">
        <v>0.000184981501849815</v>
      </c>
      <c r="M438" t="n">
        <v>-0.0001065786100046262</v>
      </c>
      <c r="N438" t="n">
        <v>0.9626037396260373</v>
      </c>
      <c r="O438" t="n">
        <v>793852.0670004964</v>
      </c>
      <c r="P438" t="n">
        <v>793.6319845883991</v>
      </c>
      <c r="Q438">
        <f>'_live'!$C$24</f>
        <v/>
      </c>
      <c r="R438" t="inlineStr">
        <is>
          <t>shuffled: 0 of 10,000</t>
        </is>
      </c>
      <c r="S438" t="inlineStr">
        <is>
          <t>shuffled: 9,626 of 10,000</t>
        </is>
      </c>
      <c r="T438" t="n">
        <v>0.1726690587542648</v>
      </c>
      <c r="U438" t="n">
        <v>0.0661674720014548</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0.06606089339145017</v>
      </c>
      <c r="AI438">
        <f>IF($Y438="worse","Yes",IF($Y438="worse, not significant","Not sure",IF(OR($Y438="too few losses to test",$Y438="too few loans to test"),"Too few losses",IF($Y438="","","No"))))</f>
        <v/>
      </c>
      <c r="AJ438">
        <f>IF($AA438="yes","Yes",IF($AA438="","","No"))</f>
        <v/>
      </c>
      <c r="AK438" t="n">
        <v>0.000184981501849815</v>
      </c>
      <c r="AL438" t="n">
        <v>0.001897308095276184</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FICO x CHANNEL / SYS_FLAG</t>
        </is>
      </c>
      <c r="C439" t="inlineStr">
        <is>
          <t>496 - 653</t>
        </is>
      </c>
      <c r="D439" t="inlineStr">
        <is>
          <t>Broker / SYS_FLAG N</t>
        </is>
      </c>
      <c r="E439" t="inlineStr">
        <is>
          <t>outcome_loans</t>
        </is>
      </c>
      <c r="F439" t="inlineStr">
        <is>
          <t>Outcome, share of loans</t>
        </is>
      </c>
      <c r="G439" t="n">
        <v>258</v>
      </c>
      <c r="H439" t="n">
        <v>258</v>
      </c>
      <c r="I439" t="b">
        <v>0</v>
      </c>
      <c r="J439" t="b">
        <v>0</v>
      </c>
      <c r="K439" t="n">
        <v>2.636544461247122</v>
      </c>
      <c r="L439" t="n">
        <v>1.412125164530908e-11</v>
      </c>
      <c r="M439" t="n">
        <v>1.366068419278733</v>
      </c>
      <c r="N439" t="n">
        <v>0.1034763983858953</v>
      </c>
      <c r="O439" t="n">
        <v>31.0357834905051</v>
      </c>
      <c r="P439" t="n">
        <v>13.39861218195837</v>
      </c>
      <c r="Q439">
        <f>'_live'!$C$20</f>
        <v/>
      </c>
      <c r="R439" t="inlineStr">
        <is>
          <t>z test</t>
        </is>
      </c>
      <c r="S439" t="inlineStr">
        <is>
          <t>z test</t>
        </is>
      </c>
      <c r="T439" t="n">
        <v>0.07350471515308099</v>
      </c>
      <c r="U439" t="n">
        <v>0.1418658442559753</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0.1937984496124031</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FICO x CHANNEL / SYS_FLAG</t>
        </is>
      </c>
      <c r="C440" t="inlineStr">
        <is>
          <t>496 - 653</t>
        </is>
      </c>
      <c r="D440" t="inlineStr">
        <is>
          <t>Broker / SYS_FLAG N</t>
        </is>
      </c>
      <c r="E440" t="inlineStr">
        <is>
          <t>outcome_booked</t>
        </is>
      </c>
      <c r="F440" t="inlineStr">
        <is>
          <t>Outcome, share of booked dollars</t>
        </is>
      </c>
      <c r="G440" t="n">
        <v>258</v>
      </c>
      <c r="H440" t="n">
        <v>8508056.250000006</v>
      </c>
      <c r="I440" t="b">
        <v>0</v>
      </c>
      <c r="J440" t="b">
        <v>0</v>
      </c>
      <c r="K440" t="n">
        <v>2.657618388727242</v>
      </c>
      <c r="L440" t="n">
        <v>0.00124987501249875</v>
      </c>
      <c r="M440" t="n">
        <v>1.335191174805331</v>
      </c>
      <c r="N440" t="n">
        <v>0.1867313268673133</v>
      </c>
      <c r="O440" t="n">
        <v>1000628.874710559</v>
      </c>
      <c r="P440" t="n">
        <v>402745.0558523324</v>
      </c>
      <c r="Q440">
        <f>'_live'!$C$21</f>
        <v/>
      </c>
      <c r="R440" t="inlineStr">
        <is>
          <t>shuffled: 0 of 10,000</t>
        </is>
      </c>
      <c r="S440" t="inlineStr">
        <is>
          <t>shuffled: 746 of 10,000</t>
        </is>
      </c>
      <c r="T440" t="n">
        <v>0.07095093491999897</v>
      </c>
      <c r="U440" t="n">
        <v>0.1412236037047435</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0.1885605093407791</v>
      </c>
      <c r="AI440">
        <f>IF($Y440="worse","Yes",IF($Y440="worse, not significant","Not sure",IF(OR($Y440="too few losses to test",$Y440="too few loans to test"),"Too few losses",IF($Y440="","","No"))))</f>
        <v/>
      </c>
      <c r="AJ440">
        <f>IF($AA440="yes","Yes",IF($AA440="","","No"))</f>
        <v/>
      </c>
      <c r="AK440" t="n">
        <v>0.00124987501249875</v>
      </c>
      <c r="AL440" t="n">
        <v>0.006572364329026928</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FICO x CHANNEL / SYS_FLAG</t>
        </is>
      </c>
      <c r="C441" t="inlineStr">
        <is>
          <t>496 - 653</t>
        </is>
      </c>
      <c r="D441" t="inlineStr">
        <is>
          <t>Broker / SYS_FLAG N</t>
        </is>
      </c>
      <c r="E441" t="inlineStr">
        <is>
          <t>gco_rate</t>
        </is>
      </c>
      <c r="F441" t="inlineStr">
        <is>
          <t>GCO per booked dollar</t>
        </is>
      </c>
      <c r="G441" t="n">
        <v>258</v>
      </c>
      <c r="H441" t="n">
        <v>8508056.250000006</v>
      </c>
      <c r="I441" t="b">
        <v>0</v>
      </c>
      <c r="J441" t="b">
        <v>0</v>
      </c>
      <c r="K441" t="n">
        <v>2.997235228695651</v>
      </c>
      <c r="L441" t="n">
        <v>0.00124987501249875</v>
      </c>
      <c r="M441" t="n">
        <v>1.525447051381801</v>
      </c>
      <c r="N441" t="n">
        <v>0.02812218778122188</v>
      </c>
      <c r="O441" t="n">
        <v>663299.3517266358</v>
      </c>
      <c r="P441" t="n">
        <v>342872.7771024178</v>
      </c>
      <c r="Q441">
        <f>'_live'!$C$22</f>
        <v/>
      </c>
      <c r="R441" t="inlineStr">
        <is>
          <t>shuffled: 0 of 10,000</t>
        </is>
      </c>
      <c r="S441" t="inlineStr">
        <is>
          <t>shuffled: 89 of 10,000</t>
        </is>
      </c>
      <c r="T441" t="n">
        <v>0.03903462418614875</v>
      </c>
      <c r="U441" t="n">
        <v>0.07669617286528659</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0.1169959507496203</v>
      </c>
      <c r="AI441">
        <f>IF($Y441="worse","Yes",IF($Y441="worse, not significant","Not sure",IF(OR($Y441="too few losses to test",$Y441="too few loans to test"),"Too few losses",IF($Y441="","","No"))))</f>
        <v/>
      </c>
      <c r="AJ441">
        <f>IF($AA441="yes","Yes",IF($AA441="","","No"))</f>
        <v/>
      </c>
      <c r="AK441" t="n">
        <v>0.00124987501249875</v>
      </c>
      <c r="AL441" t="n">
        <v>0.002951118082536109</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FICO x CHANNEL / SYS_FLAG</t>
        </is>
      </c>
      <c r="C442" t="inlineStr">
        <is>
          <t>496 - 653</t>
        </is>
      </c>
      <c r="D442" t="inlineStr">
        <is>
          <t>Broker / SYS_FLAG N</t>
        </is>
      </c>
      <c r="E442" t="inlineStr">
        <is>
          <t>ranr_rate</t>
        </is>
      </c>
      <c r="F442" t="inlineStr">
        <is>
          <t>Profit after losses: RANR per booked dollar</t>
        </is>
      </c>
      <c r="G442" t="n">
        <v>258</v>
      </c>
      <c r="H442" t="n">
        <v>8508056.250000006</v>
      </c>
      <c r="I442" t="b">
        <v>0</v>
      </c>
      <c r="J442" t="b">
        <v>0</v>
      </c>
      <c r="K442" t="n">
        <v>0.03465190043325614</v>
      </c>
      <c r="L442" t="n">
        <v>0.01440908540724875</v>
      </c>
      <c r="M442" t="n">
        <v>-0.0344474250621068</v>
      </c>
      <c r="N442" t="n">
        <v>0.185981401859814</v>
      </c>
      <c r="O442" t="n">
        <v>-294820.3180555429</v>
      </c>
      <c r="P442" t="n">
        <v>293080.6300960644</v>
      </c>
      <c r="Q442">
        <f>'_live'!$C$23</f>
        <v/>
      </c>
      <c r="R442" t="inlineStr">
        <is>
          <t>shuffled: 73 of 10,000</t>
        </is>
      </c>
      <c r="S442" t="inlineStr">
        <is>
          <t>shuffled: 619 of 10,000</t>
        </is>
      </c>
      <c r="T442" t="n">
        <v>0.1268476383127411</v>
      </c>
      <c r="U442" t="n">
        <v>0.195946963808104</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0.1614995387459972</v>
      </c>
      <c r="AI442">
        <f>IF($Y442="worse","Yes",IF($Y442="worse, not significant","Not sure",IF(OR($Y442="too few losses to test",$Y442="too few loans to test"),"Too few losses",IF($Y442="","","No"))))</f>
        <v/>
      </c>
      <c r="AJ442">
        <f>IF($AA442="yes","Yes",IF($AA442="","","No"))</f>
        <v/>
      </c>
      <c r="AK442" t="n">
        <v>0.001668897125530904</v>
      </c>
      <c r="AL442" t="n">
        <v>0.007234328743855233</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FICO x CHANNEL / SYS_FLAG</t>
        </is>
      </c>
      <c r="C443" t="inlineStr">
        <is>
          <t>496 - 653</t>
        </is>
      </c>
      <c r="D443" t="inlineStr">
        <is>
          <t>Broker / SYS_FLAG N</t>
        </is>
      </c>
      <c r="E443" t="inlineStr">
        <is>
          <t>contribution_rate</t>
        </is>
      </c>
      <c r="F443" t="inlineStr">
        <is>
          <t>Contribution before losses per booked dollar</t>
        </is>
      </c>
      <c r="G443" t="n">
        <v>258</v>
      </c>
      <c r="H443" t="n">
        <v>8508056.250000006</v>
      </c>
      <c r="I443" t="b">
        <v>0</v>
      </c>
      <c r="J443" t="b">
        <v>0</v>
      </c>
      <c r="K443" t="n">
        <v>0.1126163654287696</v>
      </c>
      <c r="L443" t="n">
        <v>0.000184981501849815</v>
      </c>
      <c r="M443" t="n">
        <v>0.005852352822227069</v>
      </c>
      <c r="N443" t="n">
        <v>0.7620952190495236</v>
      </c>
      <c r="O443" t="n">
        <v>-958146.3717385279</v>
      </c>
      <c r="P443" t="n">
        <v>-49792.14700635429</v>
      </c>
      <c r="Q443">
        <f>'_live'!$C$24</f>
        <v/>
      </c>
      <c r="R443" t="inlineStr">
        <is>
          <t>shuffled: 0 of 10,000</t>
        </is>
      </c>
      <c r="S443" t="inlineStr">
        <is>
          <t>shuffled: 5,927 of 10,000</t>
        </is>
      </c>
      <c r="T443" t="n">
        <v>0.1658791240668481</v>
      </c>
      <c r="U443" t="n">
        <v>0.2726431366733906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0.2784954894956177</v>
      </c>
      <c r="AI443">
        <f>IF($Y443="worse","Yes",IF($Y443="worse, not significant","Not sure",IF(OR($Y443="too few losses to test",$Y443="too few loans to test"),"Too few losses",IF($Y443="","","No"))))</f>
        <v/>
      </c>
      <c r="AJ443">
        <f>IF($AA443="yes","Yes",IF($AA443="","","No"))</f>
        <v/>
      </c>
      <c r="AK443" t="n">
        <v>0.000184981501849815</v>
      </c>
      <c r="AL443" t="n">
        <v>0.006317021349563329</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FICO x CHANNEL / SYS_FLAG</t>
        </is>
      </c>
      <c r="C444" t="inlineStr">
        <is>
          <t>686 - 711</t>
        </is>
      </c>
      <c r="D444" t="inlineStr">
        <is>
          <t>Broker / SYS_FLAG Y</t>
        </is>
      </c>
      <c r="E444" t="inlineStr">
        <is>
          <t>outcome_loans</t>
        </is>
      </c>
      <c r="F444" t="inlineStr">
        <is>
          <t>Outcome, share of loans</t>
        </is>
      </c>
      <c r="G444" t="n">
        <v>230</v>
      </c>
      <c r="H444" t="n">
        <v>230</v>
      </c>
      <c r="I444" t="b">
        <v>0</v>
      </c>
      <c r="J444" t="b">
        <v>0</v>
      </c>
      <c r="K444" t="n">
        <v>0.8388640944428447</v>
      </c>
      <c r="L444" t="n">
        <v>0.5255078783401298</v>
      </c>
      <c r="M444" t="n">
        <v>1.072463768115942</v>
      </c>
      <c r="N444" t="n">
        <v>0.9059251830371913</v>
      </c>
      <c r="O444" t="n">
        <v>-2.881323207620028</v>
      </c>
      <c r="P444" t="n">
        <v>1.013513513513512</v>
      </c>
      <c r="Q444">
        <f>'_live'!$C$20</f>
        <v/>
      </c>
      <c r="R444" t="inlineStr">
        <is>
          <t>z test</t>
        </is>
      </c>
      <c r="S444" t="inlineStr">
        <is>
          <t>z test</t>
        </is>
      </c>
      <c r="T444" t="n">
        <v>0.07774488351139143</v>
      </c>
      <c r="U444" t="n">
        <v>0.06081081081081081</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0.06521739130434782</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FICO x CHANNEL / SYS_FLAG</t>
        </is>
      </c>
      <c r="C445" t="inlineStr">
        <is>
          <t>686 - 711</t>
        </is>
      </c>
      <c r="D445" t="inlineStr">
        <is>
          <t>Broker / SYS_FLAG Y</t>
        </is>
      </c>
      <c r="E445" t="inlineStr">
        <is>
          <t>outcome_booked</t>
        </is>
      </c>
      <c r="F445" t="inlineStr">
        <is>
          <t>Outcome, share of booked dollars</t>
        </is>
      </c>
      <c r="G445" t="n">
        <v>230</v>
      </c>
      <c r="H445" t="n">
        <v>7792388.48</v>
      </c>
      <c r="I445" t="b">
        <v>0</v>
      </c>
      <c r="J445" t="b">
        <v>0</v>
      </c>
      <c r="K445" t="n">
        <v>0.7851046622881452</v>
      </c>
      <c r="L445" t="n">
        <v>0.4809042905233286</v>
      </c>
      <c r="M445" t="n">
        <v>1.047459721754345</v>
      </c>
      <c r="N445" t="n">
        <v>0.9156376029063761</v>
      </c>
      <c r="O445" t="n">
        <v>-126123.0299838753</v>
      </c>
      <c r="P445" t="n">
        <v>20877.70778063434</v>
      </c>
      <c r="Q445">
        <f>'_live'!$C$21</f>
        <v/>
      </c>
      <c r="R445" t="inlineStr">
        <is>
          <t>shuffled: 4,039 of 10,000</t>
        </is>
      </c>
      <c r="S445" t="inlineStr">
        <is>
          <t>shuffled: 8,790 of 10,000</t>
        </is>
      </c>
      <c r="T445" t="n">
        <v>0.07531765792866056</v>
      </c>
      <c r="U445" t="n">
        <v>0.05645300068758451</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0.05913224439241509</v>
      </c>
      <c r="AI445">
        <f>IF($Y445="worse","Yes",IF($Y445="worse, not significant","Not sure",IF(OR($Y445="too few losses to test",$Y445="too few loans to test"),"Too few losses",IF($Y445="","","No"))))</f>
        <v/>
      </c>
      <c r="AJ445">
        <f>IF($AA445="yes","Yes",IF($AA445="","","No"))</f>
        <v/>
      </c>
      <c r="AK445" t="n">
        <v>0.005841542357307026</v>
      </c>
      <c r="AL445" t="n">
        <v>0.003397012655819924</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FICO x CHANNEL / SYS_FLAG</t>
        </is>
      </c>
      <c r="C446" t="inlineStr">
        <is>
          <t>686 - 711</t>
        </is>
      </c>
      <c r="D446" t="inlineStr">
        <is>
          <t>Broker / SYS_FLAG Y</t>
        </is>
      </c>
      <c r="E446" t="inlineStr">
        <is>
          <t>gco_rate</t>
        </is>
      </c>
      <c r="F446" t="inlineStr">
        <is>
          <t>GCO per booked dollar</t>
        </is>
      </c>
      <c r="G446" t="n">
        <v>230</v>
      </c>
      <c r="H446" t="n">
        <v>7792388.48</v>
      </c>
      <c r="I446" t="b">
        <v>0</v>
      </c>
      <c r="J446" t="b">
        <v>0</v>
      </c>
      <c r="K446" t="n">
        <v>0.7302706168500229</v>
      </c>
      <c r="L446" t="n">
        <v>0.3877112288771123</v>
      </c>
      <c r="M446" t="n">
        <v>0.9671197758717929</v>
      </c>
      <c r="N446" t="n">
        <v>0.9223077692230777</v>
      </c>
      <c r="O446" t="n">
        <v>-88165.62478303269</v>
      </c>
      <c r="P446" t="n">
        <v>-8115.389380626031</v>
      </c>
      <c r="Q446">
        <f>'_live'!$C$22</f>
        <v/>
      </c>
      <c r="R446" t="inlineStr">
        <is>
          <t>shuffled: 3,101 of 10,000</t>
        </is>
      </c>
      <c r="S446" t="inlineStr">
        <is>
          <t>shuffled: 9,223 of 10,000</t>
        </is>
      </c>
      <c r="T446" t="n">
        <v>0.04194695446998976</v>
      </c>
      <c r="U446" t="n">
        <v>0.03167407913685356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0.03063262831577925</v>
      </c>
      <c r="AI446">
        <f>IF($Y446="worse","Yes",IF($Y446="worse, not significant","Not sure",IF(OR($Y446="too few losses to test",$Y446="too few loans to test"),"Too few losses",IF($Y446="","","No"))))</f>
        <v/>
      </c>
      <c r="AJ446">
        <f>IF($AA446="yes","Yes",IF($AA446="","","No"))</f>
        <v/>
      </c>
      <c r="AK446" t="n">
        <v>0.005782032852717026</v>
      </c>
      <c r="AL446" t="n">
        <v>0.002676866602089611</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FICO x CHANNEL / SYS_FLAG</t>
        </is>
      </c>
      <c r="C447" t="inlineStr">
        <is>
          <t>686 - 711</t>
        </is>
      </c>
      <c r="D447" t="inlineStr">
        <is>
          <t>Broker / SYS_FLAG Y</t>
        </is>
      </c>
      <c r="E447" t="inlineStr">
        <is>
          <t>ranr_rate</t>
        </is>
      </c>
      <c r="F447" t="inlineStr">
        <is>
          <t>Profit after losses: RANR per booked dollar</t>
        </is>
      </c>
      <c r="G447" t="n">
        <v>230</v>
      </c>
      <c r="H447" t="n">
        <v>7792388.48</v>
      </c>
      <c r="I447" t="b">
        <v>0</v>
      </c>
      <c r="J447" t="b">
        <v>0</v>
      </c>
      <c r="K447" t="n">
        <v>-0.01591276639020026</v>
      </c>
      <c r="L447" t="n">
        <v>0.3664175249141752</v>
      </c>
      <c r="M447" t="n">
        <v>-0.03465363591233606</v>
      </c>
      <c r="N447" t="n">
        <v>0.026997300269973</v>
      </c>
      <c r="O447" t="n">
        <v>123998.4575039276</v>
      </c>
      <c r="P447" t="n">
        <v>270034.5932734018</v>
      </c>
      <c r="Q447">
        <f>'_live'!$C$23</f>
        <v/>
      </c>
      <c r="R447" t="inlineStr">
        <is>
          <t>shuffled: 2,376 of 10,000</t>
        </is>
      </c>
      <c r="S447" t="inlineStr">
        <is>
          <t>shuffled: 59 of 10,000</t>
        </is>
      </c>
      <c r="T447" t="n">
        <v>0.1284705363539483</v>
      </c>
      <c r="U447" t="n">
        <v>0.1472114058760841</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0.112557769963748</v>
      </c>
      <c r="AI447">
        <f>IF($Y447="worse","Yes",IF($Y447="worse, not significant","Not sure",IF(OR($Y447="too few losses to test",$Y447="too few loans to test"),"Too few losses",IF($Y447="","","No"))))</f>
        <v/>
      </c>
      <c r="AJ447">
        <f>IF($AA447="yes","Yes",IF($AA447="","","No"))</f>
        <v/>
      </c>
      <c r="AK447" t="n">
        <v>0.006562254808207745</v>
      </c>
      <c r="AL447" t="n">
        <v>0.003475039524854522</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FICO x CHANNEL / SYS_FLAG</t>
        </is>
      </c>
      <c r="C448" t="inlineStr">
        <is>
          <t>686 - 711</t>
        </is>
      </c>
      <c r="D448" t="inlineStr">
        <is>
          <t>Broker / SYS_FLAG Y</t>
        </is>
      </c>
      <c r="E448" t="inlineStr">
        <is>
          <t>contribution_rate</t>
        </is>
      </c>
      <c r="F448" t="inlineStr">
        <is>
          <t>Contribution before losses per booked dollar</t>
        </is>
      </c>
      <c r="G448" t="n">
        <v>230</v>
      </c>
      <c r="H448" t="n">
        <v>7792388.48</v>
      </c>
      <c r="I448" t="b">
        <v>0</v>
      </c>
      <c r="J448" t="b">
        <v>0</v>
      </c>
      <c r="K448" t="n">
        <v>-0.02722422045997286</v>
      </c>
      <c r="L448" t="n">
        <v>0.004291570842915707</v>
      </c>
      <c r="M448" t="n">
        <v>-0.0356950867334104</v>
      </c>
      <c r="N448" t="n">
        <v>0.0005999400059994001</v>
      </c>
      <c r="O448" t="n">
        <v>212141.7018892728</v>
      </c>
      <c r="P448" t="n">
        <v>278149.9826540279</v>
      </c>
      <c r="Q448">
        <f>'_live'!$C$24</f>
        <v/>
      </c>
      <c r="R448" t="inlineStr">
        <is>
          <t>shuffled: 28 of 10,000</t>
        </is>
      </c>
      <c r="S448" t="inlineStr">
        <is>
          <t>shuffled: 0 of 10,000</t>
        </is>
      </c>
      <c r="T448" t="n">
        <v>0.1704146187395001</v>
      </c>
      <c r="U448" t="n">
        <v>0.1788854850129376</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0.1431903982795272</v>
      </c>
      <c r="AI448">
        <f>IF($Y448="worse","Yes",IF($Y448="worse, not significant","Not sure",IF(OR($Y448="too few losses to test",$Y448="too few loans to test"),"Too few losses",IF($Y448="","","No"))))</f>
        <v/>
      </c>
      <c r="AJ448">
        <f>IF($AA448="yes","Yes",IF($AA448="","","No"))</f>
        <v/>
      </c>
      <c r="AK448" t="n">
        <v>0.0007958082223259247</v>
      </c>
      <c r="AL448" t="n">
        <v>0.0005999400059994001</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FICO x CHANNEL / SYS_FLAG</t>
        </is>
      </c>
      <c r="C449" t="inlineStr">
        <is>
          <t>712 - 745</t>
        </is>
      </c>
      <c r="D449" t="inlineStr">
        <is>
          <t>Online / SYS_FLAG N</t>
        </is>
      </c>
      <c r="E449" t="inlineStr">
        <is>
          <t>outcome_loans</t>
        </is>
      </c>
      <c r="F449" t="inlineStr">
        <is>
          <t>Outcome, share of loans</t>
        </is>
      </c>
      <c r="G449" t="n">
        <v>286</v>
      </c>
      <c r="H449" t="n">
        <v>286</v>
      </c>
      <c r="I449" t="b">
        <v>0</v>
      </c>
      <c r="J449" t="b">
        <v>0</v>
      </c>
      <c r="K449" t="n">
        <v>0.7155829245381483</v>
      </c>
      <c r="L449" t="n">
        <v>0.2319314278682912</v>
      </c>
      <c r="M449" t="n">
        <v>1.044026396139072</v>
      </c>
      <c r="N449" t="n">
        <v>0.9179955669404986</v>
      </c>
      <c r="O449" t="n">
        <v>-6.35939323220537</v>
      </c>
      <c r="P449" t="n">
        <v>0.6747169811320752</v>
      </c>
      <c r="Q449">
        <f>'_live'!$C$20</f>
        <v/>
      </c>
      <c r="R449" t="inlineStr">
        <is>
          <t>z test</t>
        </is>
      </c>
      <c r="S449" t="inlineStr">
        <is>
          <t>z test</t>
        </is>
      </c>
      <c r="T449" t="n">
        <v>0.07817969661610269</v>
      </c>
      <c r="U449" t="n">
        <v>0.05358490566037736</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0.05594405594405594</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FICO x CHANNEL / SYS_FLAG</t>
        </is>
      </c>
      <c r="C450" t="inlineStr">
        <is>
          <t>712 - 745</t>
        </is>
      </c>
      <c r="D450" t="inlineStr">
        <is>
          <t>Online / SYS_FLAG N</t>
        </is>
      </c>
      <c r="E450" t="inlineStr">
        <is>
          <t>outcome_booked</t>
        </is>
      </c>
      <c r="F450" t="inlineStr">
        <is>
          <t>Outcome, share of booked dollars</t>
        </is>
      </c>
      <c r="G450" t="n">
        <v>286</v>
      </c>
      <c r="H450" t="n">
        <v>9060212.500000004</v>
      </c>
      <c r="I450" t="b">
        <v>0</v>
      </c>
      <c r="J450" t="b">
        <v>0</v>
      </c>
      <c r="K450" t="n">
        <v>0.7337884524244869</v>
      </c>
      <c r="L450" t="n">
        <v>0.3506593785065938</v>
      </c>
      <c r="M450" t="n">
        <v>1.020342653067085</v>
      </c>
      <c r="N450" t="n">
        <v>0.9453054694530547</v>
      </c>
      <c r="O450" t="n">
        <v>-182185.1966823293</v>
      </c>
      <c r="P450" t="n">
        <v>10011.94878792099</v>
      </c>
      <c r="Q450">
        <f>'_live'!$C$21</f>
        <v/>
      </c>
      <c r="R450" t="inlineStr">
        <is>
          <t>shuffled: 2,524 of 10,000</t>
        </is>
      </c>
      <c r="S450" t="inlineStr">
        <is>
          <t>shuffled: 9,453 of 10,000</t>
        </is>
      </c>
      <c r="T450" t="n">
        <v>0.07553492665677863</v>
      </c>
      <c r="U450" t="n">
        <v>0.05432161124389508</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0.05542665693547472</v>
      </c>
      <c r="AI450">
        <f>IF($Y450="worse","Yes",IF($Y450="worse, not significant","Not sure",IF(OR($Y450="too few losses to test",$Y450="too few loans to test"),"Too few losses",IF($Y450="","","No"))))</f>
        <v/>
      </c>
      <c r="AJ450">
        <f>IF($AA450="yes","Yes",IF($AA450="","","No"))</f>
        <v/>
      </c>
      <c r="AK450" t="n">
        <v>0.006033779204262125</v>
      </c>
      <c r="AL450" t="n">
        <v>0.00227383022398759</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FICO x CHANNEL / SYS_FLAG</t>
        </is>
      </c>
      <c r="C451" t="inlineStr">
        <is>
          <t>712 - 745</t>
        </is>
      </c>
      <c r="D451" t="inlineStr">
        <is>
          <t>Online / SYS_FLAG N</t>
        </is>
      </c>
      <c r="E451" t="inlineStr">
        <is>
          <t>gco_rate</t>
        </is>
      </c>
      <c r="F451" t="inlineStr">
        <is>
          <t>GCO per booked dollar</t>
        </is>
      </c>
      <c r="G451" t="n">
        <v>286</v>
      </c>
      <c r="H451" t="n">
        <v>9060212.500000004</v>
      </c>
      <c r="I451" t="b">
        <v>0</v>
      </c>
      <c r="J451" t="b">
        <v>0</v>
      </c>
      <c r="K451" t="n">
        <v>0.6916003062491813</v>
      </c>
      <c r="L451" t="n">
        <v>0.2820551278205513</v>
      </c>
      <c r="M451" t="n">
        <v>0.9532037942991682</v>
      </c>
      <c r="N451" t="n">
        <v>0.9171999466719996</v>
      </c>
      <c r="O451" t="n">
        <v>-117524.7123985008</v>
      </c>
      <c r="P451" t="n">
        <v>-12938.83917494037</v>
      </c>
      <c r="Q451">
        <f>'_live'!$C$22</f>
        <v/>
      </c>
      <c r="R451" t="inlineStr">
        <is>
          <t>shuffled: 2,030 of 10,000</t>
        </is>
      </c>
      <c r="S451" t="inlineStr">
        <is>
          <t>shuffled: 8,805 of 10,000</t>
        </is>
      </c>
      <c r="T451" t="n">
        <v>0.04206073669889097</v>
      </c>
      <c r="U451" t="n">
        <v>0.03051731283068032</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0.02908921838201917</v>
      </c>
      <c r="AI451">
        <f>IF($Y451="worse","Yes",IF($Y451="worse, not significant","Not sure",IF(OR($Y451="too few losses to test",$Y451="too few loans to test"),"Too few losses",IF($Y451="","","No"))))</f>
        <v/>
      </c>
      <c r="AJ451">
        <f>IF($AA451="yes","Yes",IF($AA451="","","No"))</f>
        <v/>
      </c>
      <c r="AK451" t="n">
        <v>0.005587379868545108</v>
      </c>
      <c r="AL451" t="n">
        <v>0.003378770026822592</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FICO x CHANNEL / SYS_FLAG</t>
        </is>
      </c>
      <c r="C452" t="inlineStr">
        <is>
          <t>712 - 745</t>
        </is>
      </c>
      <c r="D452" t="inlineStr">
        <is>
          <t>Online / SYS_FLAG N</t>
        </is>
      </c>
      <c r="E452" t="inlineStr">
        <is>
          <t>ranr_rate</t>
        </is>
      </c>
      <c r="F452" t="inlineStr">
        <is>
          <t>Profit after losses: RANR per booked dollar</t>
        </is>
      </c>
      <c r="G452" t="n">
        <v>286</v>
      </c>
      <c r="H452" t="n">
        <v>9060212.500000004</v>
      </c>
      <c r="I452" t="b">
        <v>0</v>
      </c>
      <c r="J452" t="b">
        <v>0</v>
      </c>
      <c r="K452" t="n">
        <v>-0.002408577929586903</v>
      </c>
      <c r="L452" t="n">
        <v>0.9039781736112104</v>
      </c>
      <c r="M452" t="n">
        <v>0.03609499668725472</v>
      </c>
      <c r="N452" t="n">
        <v>0.0116988301169883</v>
      </c>
      <c r="O452" t="n">
        <v>21822.22786486754</v>
      </c>
      <c r="P452" t="n">
        <v>-327028.3401733238</v>
      </c>
      <c r="Q452">
        <f>'_live'!$C$23</f>
        <v/>
      </c>
      <c r="R452" t="inlineStr">
        <is>
          <t>shuffled: 8,424 of 10,000</t>
        </is>
      </c>
      <c r="S452" t="inlineStr">
        <is>
          <t>shuffled: 12 of 10,000</t>
        </is>
      </c>
      <c r="T452" t="n">
        <v>0.1280746094934162</v>
      </c>
      <c r="U452" t="n">
        <v>0.08957103487657456</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0.1256660315638293</v>
      </c>
      <c r="AI452">
        <f>IF($Y452="worse","Yes",IF($Y452="worse, not significant","Not sure",IF(OR($Y452="too few losses to test",$Y452="too few loans to test"),"Too few losses",IF($Y452="","","No"))))</f>
        <v/>
      </c>
      <c r="AJ452">
        <f>IF($AA452="yes","Yes",IF($AA452="","","No"))</f>
        <v/>
      </c>
      <c r="AK452" t="n">
        <v>0.003720988187036841</v>
      </c>
      <c r="AL452" t="n">
        <v>0.003242724293349476</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FICO x CHANNEL / SYS_FLAG</t>
        </is>
      </c>
      <c r="C453" t="inlineStr">
        <is>
          <t>712 - 745</t>
        </is>
      </c>
      <c r="D453" t="inlineStr">
        <is>
          <t>Online / SYS_FLAG N</t>
        </is>
      </c>
      <c r="E453" t="inlineStr">
        <is>
          <t>contribution_rate</t>
        </is>
      </c>
      <c r="F453" t="inlineStr">
        <is>
          <t>Contribution before losses per booked dollar</t>
        </is>
      </c>
      <c r="G453" t="n">
        <v>286</v>
      </c>
      <c r="H453" t="n">
        <v>9060212.500000004</v>
      </c>
      <c r="I453" t="b">
        <v>0</v>
      </c>
      <c r="J453" t="b">
        <v>0</v>
      </c>
      <c r="K453" t="n">
        <v>-0.01537714642758617</v>
      </c>
      <c r="L453" t="n">
        <v>0.06825179551010417</v>
      </c>
      <c r="M453" t="n">
        <v>0.03472075287475999</v>
      </c>
      <c r="N453" t="n">
        <v>0.0005999400059994001</v>
      </c>
      <c r="O453" t="n">
        <v>139320.2142775466</v>
      </c>
      <c r="P453" t="n">
        <v>-314577.3992053117</v>
      </c>
      <c r="Q453">
        <f>'_live'!$C$24</f>
        <v/>
      </c>
      <c r="R453" t="inlineStr">
        <is>
          <t>shuffled: 527 of 10,000</t>
        </is>
      </c>
      <c r="S453" t="inlineStr">
        <is>
          <t>shuffled: 0 of 10,000</t>
        </is>
      </c>
      <c r="T453" t="n">
        <v>0.1701323963734345</v>
      </c>
      <c r="U453" t="n">
        <v>0.1200344970710883</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0.1547552499458483</v>
      </c>
      <c r="AI453">
        <f>IF($Y453="worse","Yes",IF($Y453="worse, not significant","Not sure",IF(OR($Y453="too few losses to test",$Y453="too few loans to test"),"Too few losses",IF($Y453="","","No"))))</f>
        <v/>
      </c>
      <c r="AJ453">
        <f>IF($AA453="yes","Yes",IF($AA453="","","No"))</f>
        <v/>
      </c>
      <c r="AK453" t="n">
        <v>0.002870915697818029</v>
      </c>
      <c r="AL453" t="n">
        <v>0.0005999400059994001</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FICO x CHANNEL / SYS_FLAG</t>
        </is>
      </c>
      <c r="C454" t="inlineStr">
        <is>
          <t>746 - 921</t>
        </is>
      </c>
      <c r="D454" t="inlineStr">
        <is>
          <t>Broker / SYS_FLAG N</t>
        </is>
      </c>
      <c r="E454" t="inlineStr">
        <is>
          <t>outcome_loans</t>
        </is>
      </c>
      <c r="F454" t="inlineStr">
        <is>
          <t>Outcome, share of loans</t>
        </is>
      </c>
      <c r="G454" t="n">
        <v>299</v>
      </c>
      <c r="H454" t="n">
        <v>299</v>
      </c>
      <c r="I454" t="b">
        <v>1</v>
      </c>
      <c r="J454" t="b">
        <v>0</v>
      </c>
      <c r="K454" t="n">
        <v>0.3371850521925239</v>
      </c>
      <c r="M454" t="n">
        <v>0.6302489780750651</v>
      </c>
      <c r="O454" t="n">
        <v>-15.72584415584416</v>
      </c>
      <c r="P454" t="n">
        <v>-4.693396226415093</v>
      </c>
      <c r="Q454">
        <f>'_live'!$C$20</f>
        <v/>
      </c>
      <c r="T454" t="n">
        <v>0.07935064935064935</v>
      </c>
      <c r="U454" t="n">
        <v>0.04245283018867924</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0.02675585284280936</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FICO x CHANNEL / SYS_FLAG</t>
        </is>
      </c>
      <c r="C455" t="inlineStr">
        <is>
          <t>746 - 921</t>
        </is>
      </c>
      <c r="D455" t="inlineStr">
        <is>
          <t>Broker / SYS_FLAG N</t>
        </is>
      </c>
      <c r="E455" t="inlineStr">
        <is>
          <t>outcome_booked</t>
        </is>
      </c>
      <c r="F455" t="inlineStr">
        <is>
          <t>Outcome, share of booked dollars</t>
        </is>
      </c>
      <c r="G455" t="n">
        <v>299</v>
      </c>
      <c r="H455" t="n">
        <v>9401860.040000001</v>
      </c>
      <c r="I455" t="b">
        <v>1</v>
      </c>
      <c r="J455" t="b">
        <v>0</v>
      </c>
      <c r="K455" t="n">
        <v>0.2808633609706825</v>
      </c>
      <c r="M455" t="n">
        <v>0.5353277175926914</v>
      </c>
      <c r="O455" t="n">
        <v>-519548.3683502737</v>
      </c>
      <c r="P455" t="n">
        <v>-176131.3626667577</v>
      </c>
      <c r="Q455">
        <f>'_live'!$C$21</f>
        <v/>
      </c>
      <c r="T455" t="n">
        <v>0.0768423764315336</v>
      </c>
      <c r="U455" t="n">
        <v>0.04031588016138535</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0.02158220810953489</v>
      </c>
      <c r="AI455">
        <f>IF($Y455="worse","Yes",IF($Y455="worse, not significant","Not sure",IF(OR($Y455="too few losses to test",$Y455="too few loans to test"),"Too few losses",IF($Y455="","","No"))))</f>
        <v/>
      </c>
      <c r="AJ455">
        <f>IF($AA455="yes","Yes",IF($AA455="","","No"))</f>
        <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FICO x CHANNEL / SYS_FLAG</t>
        </is>
      </c>
      <c r="C456" t="inlineStr">
        <is>
          <t>746 - 921</t>
        </is>
      </c>
      <c r="D456" t="inlineStr">
        <is>
          <t>Broker / SYS_FLAG N</t>
        </is>
      </c>
      <c r="E456" t="inlineStr">
        <is>
          <t>gco_rate</t>
        </is>
      </c>
      <c r="F456" t="inlineStr">
        <is>
          <t>GCO per booked dollar</t>
        </is>
      </c>
      <c r="G456" t="n">
        <v>299</v>
      </c>
      <c r="H456" t="n">
        <v>9401860.040000001</v>
      </c>
      <c r="I456" t="b">
        <v>1</v>
      </c>
      <c r="J456" t="b">
        <v>0</v>
      </c>
      <c r="K456" t="n">
        <v>0.2528212444128546</v>
      </c>
      <c r="M456" t="n">
        <v>0.5059125867043586</v>
      </c>
      <c r="O456" t="n">
        <v>-300451.4167777024</v>
      </c>
      <c r="P456" t="n">
        <v>-99286.82243894297</v>
      </c>
      <c r="Q456">
        <f>'_live'!$C$22</f>
        <v/>
      </c>
      <c r="T456" t="n">
        <v>0.04276967590103611</v>
      </c>
      <c r="U456" t="n">
        <v>0.02137342095968309</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0.01081308268443443</v>
      </c>
      <c r="AI456">
        <f>IF($Y456="worse","Yes",IF($Y456="worse, not significant","Not sure",IF(OR($Y456="too few losses to test",$Y456="too few loans to test"),"Too few losses",IF($Y456="","","No"))))</f>
        <v/>
      </c>
      <c r="AJ456">
        <f>IF($AA456="yes","Yes",IF($AA456="","","No"))</f>
        <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FICO x CHANNEL / SYS_FLAG</t>
        </is>
      </c>
      <c r="C457" t="inlineStr">
        <is>
          <t>746 - 921</t>
        </is>
      </c>
      <c r="D457" t="inlineStr">
        <is>
          <t>Broker / SYS_FLAG N</t>
        </is>
      </c>
      <c r="E457" t="inlineStr">
        <is>
          <t>ranr_rate</t>
        </is>
      </c>
      <c r="F457" t="inlineStr">
        <is>
          <t>Profit after losses: RANR per booked dollar</t>
        </is>
      </c>
      <c r="G457" t="n">
        <v>299</v>
      </c>
      <c r="H457" t="n">
        <v>9401860.040000001</v>
      </c>
      <c r="I457" t="b">
        <v>0</v>
      </c>
      <c r="J457" t="b">
        <v>0</v>
      </c>
      <c r="K457" t="n">
        <v>-0.07368135768812706</v>
      </c>
      <c r="L457" t="n">
        <v>0.0002845869259227924</v>
      </c>
      <c r="M457" t="n">
        <v>0.01259290284453218</v>
      </c>
      <c r="N457" t="n">
        <v>0.2433910455108335</v>
      </c>
      <c r="O457" t="n">
        <v>692741.8125409486</v>
      </c>
      <c r="P457" t="n">
        <v>-118396.7100416094</v>
      </c>
      <c r="Q457">
        <f>'_live'!$C$23</f>
        <v/>
      </c>
      <c r="R457" t="inlineStr">
        <is>
          <t>shuffled: 0 of 10,000</t>
        </is>
      </c>
      <c r="S457" t="inlineStr">
        <is>
          <t>shuffled: 878 of 10,000</t>
        </is>
      </c>
      <c r="T457" t="n">
        <v>0.1306743832937284</v>
      </c>
      <c r="U457" t="n">
        <v>0.04440012276106915</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0.05699302560560132</v>
      </c>
      <c r="AI457">
        <f>IF($Y457="worse","Yes",IF($Y457="worse, not significant","Not sure",IF(OR($Y457="too few losses to test",$Y457="too few loans to test"),"Too few losses",IF($Y457="","","No"))))</f>
        <v/>
      </c>
      <c r="AJ457">
        <f>IF($AA457="yes","Yes",IF($AA457="","","No"))</f>
        <v/>
      </c>
      <c r="AK457" t="n">
        <v>0.0002845869259227924</v>
      </c>
      <c r="AL457" t="n">
        <v>0.007840706416828717</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FICO x CHANNEL / SYS_FLAG</t>
        </is>
      </c>
      <c r="C458" t="inlineStr">
        <is>
          <t>746 - 921</t>
        </is>
      </c>
      <c r="D458" t="inlineStr">
        <is>
          <t>Broker / SYS_FLAG N</t>
        </is>
      </c>
      <c r="E458" t="inlineStr">
        <is>
          <t>contribution_rate</t>
        </is>
      </c>
      <c r="F458" t="inlineStr">
        <is>
          <t>Contribution before losses per booked dollar</t>
        </is>
      </c>
      <c r="G458" t="n">
        <v>299</v>
      </c>
      <c r="H458" t="n">
        <v>9401860.040000001</v>
      </c>
      <c r="I458" t="b">
        <v>0</v>
      </c>
      <c r="J458" t="b">
        <v>0</v>
      </c>
      <c r="K458" t="n">
        <v>-0.1056354119936959</v>
      </c>
      <c r="L458" t="n">
        <v>0.000184981501849815</v>
      </c>
      <c r="M458" t="n">
        <v>0.002032564569283538</v>
      </c>
      <c r="N458" t="n">
        <v>0.5160983901609839</v>
      </c>
      <c r="O458" t="n">
        <v>993169.3588324661</v>
      </c>
      <c r="P458" t="n">
        <v>-19109.88760266674</v>
      </c>
      <c r="Q458">
        <f>'_live'!$C$24</f>
        <v/>
      </c>
      <c r="R458" t="inlineStr">
        <is>
          <t>shuffled: 0 of 10,000</t>
        </is>
      </c>
      <c r="S458" t="inlineStr">
        <is>
          <t>shuffled: 3,440 of 10,000</t>
        </is>
      </c>
      <c r="T458" t="n">
        <v>0.1734415202837316</v>
      </c>
      <c r="U458" t="n">
        <v>0.06577354372075224</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0.06780610829003578</v>
      </c>
      <c r="AI458">
        <f>IF($Y458="worse","Yes",IF($Y458="worse, not significant","Not sure",IF(OR($Y458="too few losses to test",$Y458="too few loans to test"),"Too few losses",IF($Y458="","","No"))))</f>
        <v/>
      </c>
      <c r="AJ458">
        <f>IF($AA458="yes","Yes",IF($AA458="","","No"))</f>
        <v/>
      </c>
      <c r="AK458" t="n">
        <v>0.000184981501849815</v>
      </c>
      <c r="AL458" t="n">
        <v>0.007125938793693898</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FICO x CHANNEL / SYS_FLAG</t>
        </is>
      </c>
      <c r="C459" t="inlineStr">
        <is>
          <t>746 - 921</t>
        </is>
      </c>
      <c r="D459" t="inlineStr">
        <is>
          <t>Online / SYS_FLAG N</t>
        </is>
      </c>
      <c r="E459" t="inlineStr">
        <is>
          <t>outcome_loans</t>
        </is>
      </c>
      <c r="F459" t="inlineStr">
        <is>
          <t>Outcome, share of loans</t>
        </is>
      </c>
      <c r="G459" t="n">
        <v>292</v>
      </c>
      <c r="H459" t="n">
        <v>292</v>
      </c>
      <c r="I459" t="b">
        <v>1</v>
      </c>
      <c r="J459" t="b">
        <v>0</v>
      </c>
      <c r="K459" t="n">
        <v>0.3455821357307804</v>
      </c>
      <c r="M459" t="n">
        <v>0.6489091831557585</v>
      </c>
      <c r="O459" t="n">
        <v>-15.14934475152459</v>
      </c>
      <c r="P459" t="n">
        <v>-4.32838154808444</v>
      </c>
      <c r="Q459">
        <f>'_live'!$C$20</f>
        <v/>
      </c>
      <c r="T459" t="n">
        <v>0.07927857791618009</v>
      </c>
      <c r="U459" t="n">
        <v>0.04222048475371384</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0.0273972602739726</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FICO x CHANNEL / SYS_FLAG</t>
        </is>
      </c>
      <c r="C460" t="inlineStr">
        <is>
          <t>746 - 921</t>
        </is>
      </c>
      <c r="D460" t="inlineStr">
        <is>
          <t>Online / SYS_FLAG N</t>
        </is>
      </c>
      <c r="E460" t="inlineStr">
        <is>
          <t>outcome_booked</t>
        </is>
      </c>
      <c r="F460" t="inlineStr">
        <is>
          <t>Outcome, share of booked dollars</t>
        </is>
      </c>
      <c r="G460" t="n">
        <v>292</v>
      </c>
      <c r="H460" t="n">
        <v>9486832.630000001</v>
      </c>
      <c r="I460" t="b">
        <v>1</v>
      </c>
      <c r="J460" t="b">
        <v>0</v>
      </c>
      <c r="K460" t="n">
        <v>0.3379552792773972</v>
      </c>
      <c r="M460" t="n">
        <v>0.6586636588648334</v>
      </c>
      <c r="O460" t="n">
        <v>-481703.3054689192</v>
      </c>
      <c r="P460" t="n">
        <v>-127429.612160295</v>
      </c>
      <c r="Q460">
        <f>'_live'!$C$21</f>
        <v/>
      </c>
      <c r="T460" t="n">
        <v>0.07669570802462013</v>
      </c>
      <c r="U460" t="n">
        <v>0.03935198044706044</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0.02591971942483821</v>
      </c>
      <c r="AI460">
        <f>IF($Y460="worse","Yes",IF($Y460="worse, not significant","Not sure",IF(OR($Y460="too few losses to test",$Y460="too few loans to test"),"Too few losses",IF($Y460="","","No"))))</f>
        <v/>
      </c>
      <c r="AJ460">
        <f>IF($AA460="yes","Yes",IF($AA460="","","No"))</f>
        <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FICO x CHANNEL / SYS_FLAG</t>
        </is>
      </c>
      <c r="C461" t="inlineStr">
        <is>
          <t>746 - 921</t>
        </is>
      </c>
      <c r="D461" t="inlineStr">
        <is>
          <t>Online / SYS_FLAG N</t>
        </is>
      </c>
      <c r="E461" t="inlineStr">
        <is>
          <t>gco_rate</t>
        </is>
      </c>
      <c r="F461" t="inlineStr">
        <is>
          <t>GCO per booked dollar</t>
        </is>
      </c>
      <c r="G461" t="n">
        <v>292</v>
      </c>
      <c r="H461" t="n">
        <v>9486832.630000001</v>
      </c>
      <c r="I461" t="b">
        <v>1</v>
      </c>
      <c r="J461" t="b">
        <v>0</v>
      </c>
      <c r="K461" t="n">
        <v>0.2978274281660721</v>
      </c>
      <c r="M461" t="n">
        <v>0.6070066133784161</v>
      </c>
      <c r="O461" t="n">
        <v>-284493.6754940568</v>
      </c>
      <c r="P461" t="n">
        <v>-78124.14286636922</v>
      </c>
      <c r="Q461">
        <f>'_live'!$C$22</f>
        <v/>
      </c>
      <c r="T461" t="n">
        <v>0.04270783108503694</v>
      </c>
      <c r="U461" t="n">
        <v>0.02095457152239959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0.01271956349460758</v>
      </c>
      <c r="AI461">
        <f>IF($Y461="worse","Yes",IF($Y461="worse, not significant","Not sure",IF(OR($Y461="too few losses to test",$Y461="too few loans to test"),"Too few losses",IF($Y461="","","No"))))</f>
        <v/>
      </c>
      <c r="AJ461">
        <f>IF($AA461="yes","Yes",IF($AA461="","","No"))</f>
        <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FICO x CHANNEL / SYS_FLAG</t>
        </is>
      </c>
      <c r="C462" t="inlineStr">
        <is>
          <t>746 - 921</t>
        </is>
      </c>
      <c r="D462" t="inlineStr">
        <is>
          <t>Online / SYS_FLAG N</t>
        </is>
      </c>
      <c r="E462" t="inlineStr">
        <is>
          <t>ranr_rate</t>
        </is>
      </c>
      <c r="F462" t="inlineStr">
        <is>
          <t>Profit after losses: RANR per booked dollar</t>
        </is>
      </c>
      <c r="G462" t="n">
        <v>292</v>
      </c>
      <c r="H462" t="n">
        <v>9486832.630000001</v>
      </c>
      <c r="I462" t="b">
        <v>0</v>
      </c>
      <c r="J462" t="b">
        <v>0</v>
      </c>
      <c r="K462" t="n">
        <v>-0.07844324457575984</v>
      </c>
      <c r="L462" t="n">
        <v>0.0002845869259227924</v>
      </c>
      <c r="M462" t="n">
        <v>0.007001686245238503</v>
      </c>
      <c r="N462" t="n">
        <v>0.6081677546531061</v>
      </c>
      <c r="O462" t="n">
        <v>744177.9322443891</v>
      </c>
      <c r="P462" t="n">
        <v>-66423.82553635078</v>
      </c>
      <c r="Q462">
        <f>'_live'!$C$23</f>
        <v/>
      </c>
      <c r="R462" t="inlineStr">
        <is>
          <t>shuffled: 0 of 10,000</t>
        </is>
      </c>
      <c r="S462" t="inlineStr">
        <is>
          <t>shuffled: 3,447 of 10,000</t>
        </is>
      </c>
      <c r="T462" t="n">
        <v>0.1308736952223842</v>
      </c>
      <c r="U462" t="n">
        <v>0.04542876440138581</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0.05243045064662431</v>
      </c>
      <c r="AI462">
        <f>IF($Y462="worse","Yes",IF($Y462="worse, not significant","Not sure",IF(OR($Y462="too few losses to test",$Y462="too few loans to test"),"Too few losses",IF($Y462="","","No"))))</f>
        <v/>
      </c>
      <c r="AJ462">
        <f>IF($AA462="yes","Yes",IF($AA462="","","No"))</f>
        <v/>
      </c>
      <c r="AK462" t="n">
        <v>0.0002845869259227924</v>
      </c>
      <c r="AL462" t="n">
        <v>0.008201861227131549</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FICO x CHANNEL / SYS_FLAG</t>
        </is>
      </c>
      <c r="C463" t="inlineStr">
        <is>
          <t>746 - 921</t>
        </is>
      </c>
      <c r="D463" t="inlineStr">
        <is>
          <t>Online / SYS_FLAG N</t>
        </is>
      </c>
      <c r="E463" t="inlineStr">
        <is>
          <t>contribution_rate</t>
        </is>
      </c>
      <c r="F463" t="inlineStr">
        <is>
          <t>Contribution before losses per booked dollar</t>
        </is>
      </c>
      <c r="G463" t="n">
        <v>292</v>
      </c>
      <c r="H463" t="n">
        <v>9486832.630000001</v>
      </c>
      <c r="I463" t="b">
        <v>0</v>
      </c>
      <c r="J463" t="b">
        <v>0</v>
      </c>
      <c r="K463" t="n">
        <v>-0.1084290042110698</v>
      </c>
      <c r="L463" t="n">
        <v>0.000184981501849815</v>
      </c>
      <c r="M463" t="n">
        <v>-0.001233321782553504</v>
      </c>
      <c r="N463" t="n">
        <v>0.7613905276139052</v>
      </c>
      <c r="O463" t="n">
        <v>1028647.815187984</v>
      </c>
      <c r="P463" t="n">
        <v>11700.31733001827</v>
      </c>
      <c r="Q463">
        <f>'_live'!$C$24</f>
        <v/>
      </c>
      <c r="R463" t="inlineStr">
        <is>
          <t>shuffled: 0 of 10,000</t>
        </is>
      </c>
      <c r="S463" t="inlineStr">
        <is>
          <t>shuffled: 5,710 of 10,000</t>
        </is>
      </c>
      <c r="T463" t="n">
        <v>0.1735790183523017</v>
      </c>
      <c r="U463" t="n">
        <v>0.0663833359237854</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0.06515001414123189</v>
      </c>
      <c r="AI463">
        <f>IF($Y463="worse","Yes",IF($Y463="worse, not significant","Not sure",IF(OR($Y463="too few losses to test",$Y463="too few loans to test"),"Too few losses",IF($Y463="","","No"))))</f>
        <v/>
      </c>
      <c r="AJ463">
        <f>IF($AA463="yes","Yes",IF($AA463="","","No"))</f>
        <v/>
      </c>
      <c r="AK463" t="n">
        <v>0.000184981501849815</v>
      </c>
      <c r="AL463" t="n">
        <v>0.006599028978658091</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FICO x CHANNEL / SYS_FLAG</t>
        </is>
      </c>
      <c r="C464" t="inlineStr">
        <is>
          <t>654 - 685</t>
        </is>
      </c>
      <c r="D464" t="inlineStr">
        <is>
          <t>Branch / SYS_FLAG N</t>
        </is>
      </c>
      <c r="E464" t="inlineStr">
        <is>
          <t>outcome_loans</t>
        </is>
      </c>
      <c r="F464" t="inlineStr">
        <is>
          <t>Outcome, share of loans</t>
        </is>
      </c>
      <c r="G464" t="n">
        <v>249</v>
      </c>
      <c r="H464" t="n">
        <v>249</v>
      </c>
      <c r="I464" t="b">
        <v>0</v>
      </c>
      <c r="J464" t="b">
        <v>0</v>
      </c>
      <c r="K464" t="n">
        <v>0.8258573264867096</v>
      </c>
      <c r="L464" t="n">
        <v>0.48968196282637</v>
      </c>
      <c r="M464" t="n">
        <v>0.7271190023250897</v>
      </c>
      <c r="N464" t="n">
        <v>0.3504757966155673</v>
      </c>
      <c r="O464" t="n">
        <v>-3.373806451612904</v>
      </c>
      <c r="P464" t="n">
        <v>-6.004651162790697</v>
      </c>
      <c r="Q464">
        <f>'_live'!$C$20</f>
        <v/>
      </c>
      <c r="R464" t="inlineStr">
        <is>
          <t>z test</t>
        </is>
      </c>
      <c r="S464" t="inlineStr">
        <is>
          <t>z test</t>
        </is>
      </c>
      <c r="T464" t="n">
        <v>0.07780645161290323</v>
      </c>
      <c r="U464" t="n">
        <v>0.08837209302325581</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0.06425702811244979</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FICO x CHANNEL / SYS_FLAG</t>
        </is>
      </c>
      <c r="C465" t="inlineStr">
        <is>
          <t>654 - 685</t>
        </is>
      </c>
      <c r="D465" t="inlineStr">
        <is>
          <t>Branch / SYS_FLAG N</t>
        </is>
      </c>
      <c r="E465" t="inlineStr">
        <is>
          <t>outcome_booked</t>
        </is>
      </c>
      <c r="F465" t="inlineStr">
        <is>
          <t>Outcome, share of booked dollars</t>
        </is>
      </c>
      <c r="G465" t="n">
        <v>249</v>
      </c>
      <c r="H465" t="n">
        <v>8063542.109999994</v>
      </c>
      <c r="I465" t="b">
        <v>0</v>
      </c>
      <c r="J465" t="b">
        <v>0</v>
      </c>
      <c r="K465" t="n">
        <v>0.7361293600919708</v>
      </c>
      <c r="L465" t="n">
        <v>0.3761465958667292</v>
      </c>
      <c r="M465" t="n">
        <v>0.6564676767459487</v>
      </c>
      <c r="N465" t="n">
        <v>0.32330100323301</v>
      </c>
      <c r="O465" t="n">
        <v>-160539.5917657602</v>
      </c>
      <c r="P465" t="n">
        <v>-234368.6309026967</v>
      </c>
      <c r="Q465">
        <f>'_live'!$C$21</f>
        <v/>
      </c>
      <c r="R465" t="inlineStr">
        <is>
          <t>shuffled: 2,858 of 10,000</t>
        </is>
      </c>
      <c r="S465" t="inlineStr">
        <is>
          <t>shuffled: 1,551 of 10,000</t>
        </is>
      </c>
      <c r="T465" t="n">
        <v>0.07545103919172819</v>
      </c>
      <c r="U465" t="n">
        <v>0.08460694588010247</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0.05554172519848109</v>
      </c>
      <c r="AI465">
        <f>IF($Y465="worse","Yes",IF($Y465="worse, not significant","Not sure",IF(OR($Y465="too few losses to test",$Y465="too few loans to test"),"Too few losses",IF($Y465="","","No"))))</f>
        <v/>
      </c>
      <c r="AJ465">
        <f>IF($AA465="yes","Yes",IF($AA465="","","No"))</f>
        <v/>
      </c>
      <c r="AK465" t="n">
        <v>0.005945111183329228</v>
      </c>
      <c r="AL465" t="n">
        <v>0.007543342879943658</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FICO x CHANNEL / SYS_FLAG</t>
        </is>
      </c>
      <c r="C466" t="inlineStr">
        <is>
          <t>654 - 685</t>
        </is>
      </c>
      <c r="D466" t="inlineStr">
        <is>
          <t>Branch / SYS_FLAG N</t>
        </is>
      </c>
      <c r="E466" t="inlineStr">
        <is>
          <t>gco_rate</t>
        </is>
      </c>
      <c r="F466" t="inlineStr">
        <is>
          <t>GCO per booked dollar</t>
        </is>
      </c>
      <c r="G466" t="n">
        <v>249</v>
      </c>
      <c r="H466" t="n">
        <v>8063542.109999994</v>
      </c>
      <c r="I466" t="b">
        <v>0</v>
      </c>
      <c r="J466" t="b">
        <v>0</v>
      </c>
      <c r="K466" t="n">
        <v>0.7073469686492562</v>
      </c>
      <c r="L466" t="n">
        <v>0.3306248322536167</v>
      </c>
      <c r="M466" t="n">
        <v>0.6156350801612361</v>
      </c>
      <c r="N466" t="n">
        <v>0.2915617529156175</v>
      </c>
      <c r="O466" t="n">
        <v>-99087.147402729</v>
      </c>
      <c r="P466" t="n">
        <v>-149526.1600135108</v>
      </c>
      <c r="Q466">
        <f>'_live'!$C$22</f>
        <v/>
      </c>
      <c r="R466" t="inlineStr">
        <is>
          <t>shuffled: 2,512 of 10,000</t>
        </is>
      </c>
      <c r="S466" t="inlineStr">
        <is>
          <t>shuffled: 1,282 of 10,000</t>
        </is>
      </c>
      <c r="T466" t="n">
        <v>0.04198928123446351</v>
      </c>
      <c r="U466" t="n">
        <v>0.0482444742901592</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0.02970099079695886</v>
      </c>
      <c r="AI466">
        <f>IF($Y466="worse","Yes",IF($Y466="worse, not significant","Not sure",IF(OR($Y466="too few losses to test",$Y466="too few loans to test"),"Too few losses",IF($Y466="","","No"))))</f>
        <v/>
      </c>
      <c r="AJ466">
        <f>IF($AA466="yes","Yes",IF($AA466="","","No"))</f>
        <v/>
      </c>
      <c r="AK466" t="n">
        <v>0.005707187523773724</v>
      </c>
      <c r="AL466" t="n">
        <v>0.007600211127148157</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FICO x CHANNEL / SYS_FLAG</t>
        </is>
      </c>
      <c r="C467" t="inlineStr">
        <is>
          <t>654 - 685</t>
        </is>
      </c>
      <c r="D467" t="inlineStr">
        <is>
          <t>Branch / SYS_FLAG N</t>
        </is>
      </c>
      <c r="E467" t="inlineStr">
        <is>
          <t>ranr_rate</t>
        </is>
      </c>
      <c r="F467" t="inlineStr">
        <is>
          <t>Profit after losses: RANR per booked dollar</t>
        </is>
      </c>
      <c r="G467" t="n">
        <v>249</v>
      </c>
      <c r="H467" t="n">
        <v>8063542.109999994</v>
      </c>
      <c r="I467" t="b">
        <v>0</v>
      </c>
      <c r="J467" t="b">
        <v>0</v>
      </c>
      <c r="K467" t="n">
        <v>0.04327515334634618</v>
      </c>
      <c r="L467" t="n">
        <v>0.001321296441784393</v>
      </c>
      <c r="M467" t="n">
        <v>0.008173042602590552</v>
      </c>
      <c r="N467" t="n">
        <v>0.8627137286271372</v>
      </c>
      <c r="O467" t="n">
        <v>-348951.0213249696</v>
      </c>
      <c r="P467" t="n">
        <v>-65903.67319281283</v>
      </c>
      <c r="Q467">
        <f>'_live'!$C$23</f>
        <v/>
      </c>
      <c r="R467" t="inlineStr">
        <is>
          <t>shuffled: 4 of 10,000</t>
        </is>
      </c>
      <c r="S467" t="inlineStr">
        <is>
          <t>shuffled: 5,751 of 10,000</t>
        </is>
      </c>
      <c r="T467" t="n">
        <v>0.1266378850317718</v>
      </c>
      <c r="U467" t="n">
        <v>0.1617399957755275</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0.169913038378118</v>
      </c>
      <c r="AI467">
        <f>IF($Y467="worse","Yes",IF($Y467="worse, not significant","Not sure",IF(OR($Y467="too few losses to test",$Y467="too few loans to test"),"Too few losses",IF($Y467="","","No"))))</f>
        <v/>
      </c>
      <c r="AJ467">
        <f>IF($AA467="yes","Yes",IF($AA467="","","No"))</f>
        <v/>
      </c>
      <c r="AK467" t="n">
        <v>0.0005907835402848101</v>
      </c>
      <c r="AL467" t="n">
        <v>0.007414820398222523</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FICO x CHANNEL / SYS_FLAG</t>
        </is>
      </c>
      <c r="C468" t="inlineStr">
        <is>
          <t>654 - 685</t>
        </is>
      </c>
      <c r="D468" t="inlineStr">
        <is>
          <t>Branch / SYS_FLAG N</t>
        </is>
      </c>
      <c r="E468" t="inlineStr">
        <is>
          <t>contribution_rate</t>
        </is>
      </c>
      <c r="F468" t="inlineStr">
        <is>
          <t>Contribution before losses per booked dollar</t>
        </is>
      </c>
      <c r="G468" t="n">
        <v>249</v>
      </c>
      <c r="H468" t="n">
        <v>8063542.109999994</v>
      </c>
      <c r="I468" t="b">
        <v>0</v>
      </c>
      <c r="J468" t="b">
        <v>0</v>
      </c>
      <c r="K468" t="n">
        <v>0.03099002906018761</v>
      </c>
      <c r="L468" t="n">
        <v>0.0009651208792164261</v>
      </c>
      <c r="M468" t="n">
        <v>-0.01037044089060973</v>
      </c>
      <c r="N468" t="n">
        <v>0.4305569443055695</v>
      </c>
      <c r="O468" t="n">
        <v>-249889.4043169464</v>
      </c>
      <c r="P468" t="n">
        <v>83622.48682069732</v>
      </c>
      <c r="Q468">
        <f>'_live'!$C$24</f>
        <v/>
      </c>
      <c r="R468" t="inlineStr">
        <is>
          <t>shuffled: 5 of 10,000</t>
        </is>
      </c>
      <c r="S468" t="inlineStr">
        <is>
          <t>shuffled: 2,152 of 10,000</t>
        </is>
      </c>
      <c r="T468" t="n">
        <v>0.1686240001148893</v>
      </c>
      <c r="U468" t="n">
        <v>0.2099844700656866</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0.1996140291750769</v>
      </c>
      <c r="AI468">
        <f>IF($Y468="worse","Yes",IF($Y468="worse, not significant","Not sure",IF(OR($Y468="too few losses to test",$Y468="too few loans to test"),"Too few losses",IF($Y468="","","No"))))</f>
        <v/>
      </c>
      <c r="AJ468">
        <f>IF($AA468="yes","Yes",IF($AA468="","","No"))</f>
        <v/>
      </c>
      <c r="AK468" t="n">
        <v>0.0003939104344779699</v>
      </c>
      <c r="AL468" t="n">
        <v>0.008220307818575833</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FICO x CHANNEL / SYS_FLAG</t>
        </is>
      </c>
      <c r="C469" t="inlineStr">
        <is>
          <t>712 - 745</t>
        </is>
      </c>
      <c r="D469" t="inlineStr">
        <is>
          <t>Broker / SYS_FLAG Y</t>
        </is>
      </c>
      <c r="E469" t="inlineStr">
        <is>
          <t>outcome_loans</t>
        </is>
      </c>
      <c r="F469" t="inlineStr">
        <is>
          <t>Outcome, share of loans</t>
        </is>
      </c>
      <c r="G469" t="n">
        <v>218</v>
      </c>
      <c r="H469" t="n">
        <v>218</v>
      </c>
      <c r="I469" t="b">
        <v>1</v>
      </c>
      <c r="J469" t="b">
        <v>0</v>
      </c>
      <c r="K469" t="n">
        <v>0.4082493853810638</v>
      </c>
      <c r="M469" t="n">
        <v>0.5591169724770643</v>
      </c>
      <c r="O469" t="n">
        <v>-10.14638221308315</v>
      </c>
      <c r="P469" t="n">
        <v>-5.519741564967696</v>
      </c>
      <c r="Q469">
        <f>'_live'!$C$20</f>
        <v/>
      </c>
      <c r="T469" t="n">
        <v>0.07865312941781262</v>
      </c>
      <c r="U469" t="n">
        <v>0.05743000717875089</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0.03211009174311927</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FICO x CHANNEL / SYS_FLAG</t>
        </is>
      </c>
      <c r="C470" t="inlineStr">
        <is>
          <t>712 - 745</t>
        </is>
      </c>
      <c r="D470" t="inlineStr">
        <is>
          <t>Broker / SYS_FLAG Y</t>
        </is>
      </c>
      <c r="E470" t="inlineStr">
        <is>
          <t>outcome_booked</t>
        </is>
      </c>
      <c r="F470" t="inlineStr">
        <is>
          <t>Outcome, share of booked dollars</t>
        </is>
      </c>
      <c r="G470" t="n">
        <v>218</v>
      </c>
      <c r="H470" t="n">
        <v>7036667.47</v>
      </c>
      <c r="I470" t="b">
        <v>1</v>
      </c>
      <c r="J470" t="b">
        <v>0</v>
      </c>
      <c r="K470" t="n">
        <v>0.4976604397043093</v>
      </c>
      <c r="M470" t="n">
        <v>0.6601570930401273</v>
      </c>
      <c r="O470" t="n">
        <v>-268178.6218180815</v>
      </c>
      <c r="P470" t="n">
        <v>-136769.9878923245</v>
      </c>
      <c r="Q470">
        <f>'_live'!$C$21</f>
        <v/>
      </c>
      <c r="T470" t="n">
        <v>0.07586819387076728</v>
      </c>
      <c r="U470" t="n">
        <v>0.05719335461113165</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0.03775659872129783</v>
      </c>
      <c r="AI470">
        <f>IF($Y470="worse","Yes",IF($Y470="worse, not significant","Not sure",IF(OR($Y470="too few losses to test",$Y470="too few loans to test"),"Too few losses",IF($Y470="","","No"))))</f>
        <v/>
      </c>
      <c r="AJ470">
        <f>IF($AA470="yes","Yes",IF($AA470="","","No"))</f>
        <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FICO x CHANNEL / SYS_FLAG</t>
        </is>
      </c>
      <c r="C471" t="inlineStr">
        <is>
          <t>712 - 745</t>
        </is>
      </c>
      <c r="D471" t="inlineStr">
        <is>
          <t>Broker / SYS_FLAG Y</t>
        </is>
      </c>
      <c r="E471" t="inlineStr">
        <is>
          <t>gco_rate</t>
        </is>
      </c>
      <c r="F471" t="inlineStr">
        <is>
          <t>GCO per booked dollar</t>
        </is>
      </c>
      <c r="G471" t="n">
        <v>218</v>
      </c>
      <c r="H471" t="n">
        <v>7036667.47</v>
      </c>
      <c r="I471" t="b">
        <v>1</v>
      </c>
      <c r="J471" t="b">
        <v>0</v>
      </c>
      <c r="K471" t="n">
        <v>0.4534675596328259</v>
      </c>
      <c r="M471" t="n">
        <v>0.5977635401795504</v>
      </c>
      <c r="O471" t="n">
        <v>-162425.0075721146</v>
      </c>
      <c r="P471" t="n">
        <v>-90684.94324020643</v>
      </c>
      <c r="Q471">
        <f>'_live'!$C$22</f>
        <v/>
      </c>
      <c r="T471" t="n">
        <v>0.04223474945194684</v>
      </c>
      <c r="U471" t="n">
        <v>0.0320395733067384</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0.01915208876567817</v>
      </c>
      <c r="AI471">
        <f>IF($Y471="worse","Yes",IF($Y471="worse, not significant","Not sure",IF(OR($Y471="too few losses to test",$Y471="too few loans to test"),"Too few losses",IF($Y471="","","No"))))</f>
        <v/>
      </c>
      <c r="AJ471">
        <f>IF($AA471="yes","Yes",IF($AA471="","","No"))</f>
        <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FICO x CHANNEL / SYS_FLAG</t>
        </is>
      </c>
      <c r="C472" t="inlineStr">
        <is>
          <t>712 - 745</t>
        </is>
      </c>
      <c r="D472" t="inlineStr">
        <is>
          <t>Broker / SYS_FLAG Y</t>
        </is>
      </c>
      <c r="E472" t="inlineStr">
        <is>
          <t>ranr_rate</t>
        </is>
      </c>
      <c r="F472" t="inlineStr">
        <is>
          <t>Profit after losses: RANR per booked dollar</t>
        </is>
      </c>
      <c r="G472" t="n">
        <v>218</v>
      </c>
      <c r="H472" t="n">
        <v>7036667.47</v>
      </c>
      <c r="I472" t="b">
        <v>0</v>
      </c>
      <c r="J472" t="b">
        <v>0</v>
      </c>
      <c r="K472" t="n">
        <v>-0.03284146314480192</v>
      </c>
      <c r="L472" t="n">
        <v>0.03417753462748963</v>
      </c>
      <c r="M472" t="n">
        <v>8.6765284261478e-05</v>
      </c>
      <c r="N472" t="n">
        <v>0.9953004699530046</v>
      </c>
      <c r="O472" t="n">
        <v>231094.4553782316</v>
      </c>
      <c r="P472" t="n">
        <v>-610.5384532880271</v>
      </c>
      <c r="Q472">
        <f>'_live'!$C$23</f>
        <v/>
      </c>
      <c r="R472" t="inlineStr">
        <is>
          <t>shuffled: 193 of 10,000</t>
        </is>
      </c>
      <c r="S472" t="inlineStr">
        <is>
          <t>shuffled: 9,948 of 10,000</t>
        </is>
      </c>
      <c r="T472" t="n">
        <v>0.1288855270260812</v>
      </c>
      <c r="U472" t="n">
        <v>0.09595729859701785</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0.09604406388127933</v>
      </c>
      <c r="AI472">
        <f>IF($Y472="worse","Yes",IF($Y472="worse, not significant","Not sure",IF(OR($Y472="too few losses to test",$Y472="too few loans to test"),"Too few losses",IF($Y472="","","No"))))</f>
        <v/>
      </c>
      <c r="AJ472">
        <f>IF($AA472="yes","Yes",IF($AA472="","","No"))</f>
        <v/>
      </c>
      <c r="AK472" t="n">
        <v>0.002430009406095491</v>
      </c>
      <c r="AL472" t="n">
        <v>0.0006839184501336905</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FICO x CHANNEL / SYS_FLAG</t>
        </is>
      </c>
      <c r="C473" t="inlineStr">
        <is>
          <t>712 - 745</t>
        </is>
      </c>
      <c r="D473" t="inlineStr">
        <is>
          <t>Broker / SYS_FLAG Y</t>
        </is>
      </c>
      <c r="E473" t="inlineStr">
        <is>
          <t>contribution_rate</t>
        </is>
      </c>
      <c r="F473" t="inlineStr">
        <is>
          <t>Contribution before losses per booked dollar</t>
        </is>
      </c>
      <c r="G473" t="n">
        <v>218</v>
      </c>
      <c r="H473" t="n">
        <v>7036667.47</v>
      </c>
      <c r="I473" t="b">
        <v>0</v>
      </c>
      <c r="J473" t="b">
        <v>0</v>
      </c>
      <c r="K473" t="n">
        <v>-0.0559213260085846</v>
      </c>
      <c r="L473" t="n">
        <v>0.000184981501849815</v>
      </c>
      <c r="M473" t="n">
        <v>-0.01275509832669688</v>
      </c>
      <c r="N473" t="n">
        <v>0.08306861621530154</v>
      </c>
      <c r="O473" t="n">
        <v>393499.7756038723</v>
      </c>
      <c r="P473" t="n">
        <v>89753.38547211944</v>
      </c>
      <c r="Q473">
        <f>'_live'!$C$24</f>
        <v/>
      </c>
      <c r="R473" t="inlineStr">
        <is>
          <t>shuffled: 0 of 10,000</t>
        </is>
      </c>
      <c r="S473" t="inlineStr">
        <is>
          <t>shuffled: 299 of 10,000</t>
        </is>
      </c>
      <c r="T473" t="n">
        <v>0.1711174786555421</v>
      </c>
      <c r="U473" t="n">
        <v>0.1279512509736544</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0.1151961526469575</v>
      </c>
      <c r="AI473">
        <f>IF($Y473="worse","Yes",IF($Y473="worse, not significant","Not sure",IF(OR($Y473="too few losses to test",$Y473="too few loans to test"),"Too few losses",IF($Y473="","","No"))))</f>
        <v/>
      </c>
      <c r="AJ473">
        <f>IF($AA473="yes","Yes",IF($AA473="","","No"))</f>
        <v/>
      </c>
      <c r="AK473" t="n">
        <v>0.000184981501849815</v>
      </c>
      <c r="AL473" t="n">
        <v>0.004723724938868795</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FICO x CHANNEL / SYS_FLAG</t>
        </is>
      </c>
      <c r="C474" t="inlineStr">
        <is>
          <t>686 - 711</t>
        </is>
      </c>
      <c r="D474" t="inlineStr">
        <is>
          <t>Online / SYS_FLAG Y</t>
        </is>
      </c>
      <c r="E474" t="inlineStr">
        <is>
          <t>outcome_loans</t>
        </is>
      </c>
      <c r="F474" t="inlineStr">
        <is>
          <t>Outcome, share of loans</t>
        </is>
      </c>
      <c r="G474" t="n">
        <v>249</v>
      </c>
      <c r="H474" t="n">
        <v>249</v>
      </c>
      <c r="I474" t="b">
        <v>0</v>
      </c>
      <c r="J474" t="b">
        <v>0</v>
      </c>
      <c r="K474" t="n">
        <v>1.364649153104831</v>
      </c>
      <c r="L474" t="n">
        <v>0.201587627026289</v>
      </c>
      <c r="M474" t="n">
        <v>1.958577165806081</v>
      </c>
      <c r="N474" t="n">
        <v>0.01040445809315943</v>
      </c>
      <c r="O474" t="n">
        <v>6.947483870967744</v>
      </c>
      <c r="P474" t="n">
        <v>12.72505712109673</v>
      </c>
      <c r="Q474">
        <f>'_live'!$C$20</f>
        <v/>
      </c>
      <c r="R474" t="inlineStr">
        <is>
          <t>z test</t>
        </is>
      </c>
      <c r="S474" t="inlineStr">
        <is>
          <t>z test</t>
        </is>
      </c>
      <c r="T474" t="n">
        <v>0.07651612903225806</v>
      </c>
      <c r="U474" t="n">
        <v>0.05331302361005331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0.1044176706827309</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FICO x CHANNEL / SYS_FLAG</t>
        </is>
      </c>
      <c r="C475" t="inlineStr">
        <is>
          <t>686 - 711</t>
        </is>
      </c>
      <c r="D475" t="inlineStr">
        <is>
          <t>Online / SYS_FLAG Y</t>
        </is>
      </c>
      <c r="E475" t="inlineStr">
        <is>
          <t>outcome_booked</t>
        </is>
      </c>
      <c r="F475" t="inlineStr">
        <is>
          <t>Outcome, share of booked dollars</t>
        </is>
      </c>
      <c r="G475" t="n">
        <v>249</v>
      </c>
      <c r="H475" t="n">
        <v>8542134.160000002</v>
      </c>
      <c r="I475" t="b">
        <v>0</v>
      </c>
      <c r="J475" t="b">
        <v>0</v>
      </c>
      <c r="K475" t="n">
        <v>1.528829857207106</v>
      </c>
      <c r="L475" t="n">
        <v>0.08453700084537001</v>
      </c>
      <c r="M475" t="n">
        <v>2.460958183760527</v>
      </c>
      <c r="N475" t="n">
        <v>0.001874812518748125</v>
      </c>
      <c r="O475" t="n">
        <v>332211.1182031025</v>
      </c>
      <c r="P475" t="n">
        <v>570152.329268208</v>
      </c>
      <c r="Q475">
        <f>'_live'!$C$21</f>
        <v/>
      </c>
      <c r="R475" t="inlineStr">
        <is>
          <t>shuffled: 344 of 10,000</t>
        </is>
      </c>
      <c r="S475" t="inlineStr">
        <is>
          <t>shuffled: 2 of 10,000</t>
        </is>
      </c>
      <c r="T475" t="n">
        <v>0.07354138556363966</v>
      </c>
      <c r="U475" t="n">
        <v>0.0456863780668825</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0.1124322659900719</v>
      </c>
      <c r="AI475">
        <f>IF($Y475="worse","Yes",IF($Y475="worse, not significant","Not sure",IF(OR($Y475="too few losses to test",$Y475="too few loans to test"),"Too few losses",IF($Y475="","","No"))))</f>
        <v/>
      </c>
      <c r="AJ475">
        <f>IF($AA475="yes","Yes",IF($AA475="","","No"))</f>
        <v/>
      </c>
      <c r="AK475" t="n">
        <v>0.004300965506301008</v>
      </c>
      <c r="AL475" t="n">
        <v>0.001082315264615413</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FICO x CHANNEL / SYS_FLAG</t>
        </is>
      </c>
      <c r="C476" t="inlineStr">
        <is>
          <t>686 - 711</t>
        </is>
      </c>
      <c r="D476" t="inlineStr">
        <is>
          <t>Online / SYS_FLAG Y</t>
        </is>
      </c>
      <c r="E476" t="inlineStr">
        <is>
          <t>gco_rate</t>
        </is>
      </c>
      <c r="F476" t="inlineStr">
        <is>
          <t>GCO per booked dollar</t>
        </is>
      </c>
      <c r="G476" t="n">
        <v>249</v>
      </c>
      <c r="H476" t="n">
        <v>8542134.160000002</v>
      </c>
      <c r="I476" t="b">
        <v>0</v>
      </c>
      <c r="J476" t="b">
        <v>0</v>
      </c>
      <c r="K476" t="n">
        <v>1.575371417261857</v>
      </c>
      <c r="L476" t="n">
        <v>0.0786032507860325</v>
      </c>
      <c r="M476" t="n">
        <v>2.581234517227557</v>
      </c>
      <c r="N476" t="n">
        <v>0.00124987501249875</v>
      </c>
      <c r="O476" t="n">
        <v>200663.4984277753</v>
      </c>
      <c r="P476" t="n">
        <v>336567.2696763862</v>
      </c>
      <c r="Q476">
        <f>'_live'!$C$22</f>
        <v/>
      </c>
      <c r="R476" t="inlineStr">
        <is>
          <t>shuffled: 265 of 10,000</t>
        </is>
      </c>
      <c r="S476" t="inlineStr">
        <is>
          <t>shuffled: 0 of 10,000</t>
        </is>
      </c>
      <c r="T476" t="n">
        <v>0.04082758653046309</v>
      </c>
      <c r="U476" t="n">
        <v>0.02491777187489335</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0.06431861285587674</v>
      </c>
      <c r="AI476">
        <f>IF($Y476="worse","Yes",IF($Y476="worse, not significant","Not sure",IF(OR($Y476="too few losses to test",$Y476="too few loans to test"),"Too few losses",IF($Y476="","","No"))))</f>
        <v/>
      </c>
      <c r="AJ476">
        <f>IF($AA476="yes","Yes",IF($AA476="","","No"))</f>
        <v/>
      </c>
      <c r="AK476" t="n">
        <v>0.00460612518566748</v>
      </c>
      <c r="AL476" t="n">
        <v>0.00124987501249875</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FICO x CHANNEL / SYS_FLAG</t>
        </is>
      </c>
      <c r="C477" t="inlineStr">
        <is>
          <t>686 - 711</t>
        </is>
      </c>
      <c r="D477" t="inlineStr">
        <is>
          <t>Online / SYS_FLAG Y</t>
        </is>
      </c>
      <c r="E477" t="inlineStr">
        <is>
          <t>ranr_rate</t>
        </is>
      </c>
      <c r="F477" t="inlineStr">
        <is>
          <t>Profit after losses: RANR per booked dollar</t>
        </is>
      </c>
      <c r="G477" t="n">
        <v>249</v>
      </c>
      <c r="H477" t="n">
        <v>8542134.160000002</v>
      </c>
      <c r="I477" t="b">
        <v>0</v>
      </c>
      <c r="J477" t="b">
        <v>0</v>
      </c>
      <c r="K477" t="n">
        <v>0.01070310570241076</v>
      </c>
      <c r="L477" t="n">
        <v>0.5548123759052667</v>
      </c>
      <c r="M477" t="n">
        <v>-0.004299306240450995</v>
      </c>
      <c r="N477" t="n">
        <v>0.9530046995300471</v>
      </c>
      <c r="O477" t="n">
        <v>-91427.36483865394</v>
      </c>
      <c r="P477" t="n">
        <v>36725.25070085749</v>
      </c>
      <c r="Q477">
        <f>'_live'!$C$23</f>
        <v/>
      </c>
      <c r="R477" t="inlineStr">
        <is>
          <t>shuffled: 4,177 of 10,000</t>
        </is>
      </c>
      <c r="S477" t="inlineStr">
        <is>
          <t>shuffled: 7,344 of 10,000</t>
        </is>
      </c>
      <c r="T477" t="n">
        <v>0.1276357740044376</v>
      </c>
      <c r="U477" t="n">
        <v>0.1426381859472993</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0.1383388797068483</v>
      </c>
      <c r="AI477">
        <f>IF($Y477="worse","Yes",IF($Y477="worse, not significant","Not sure",IF(OR($Y477="too few losses to test",$Y477="too few loans to test"),"Too few losses",IF($Y477="","","No"))))</f>
        <v/>
      </c>
      <c r="AJ477">
        <f>IF($AA477="yes","Yes",IF($AA477="","","No"))</f>
        <v/>
      </c>
      <c r="AK477" t="n">
        <v>0.006521718737002856</v>
      </c>
      <c r="AL477" t="n">
        <v>0.004048608769008777</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FICO x CHANNEL / SYS_FLAG</t>
        </is>
      </c>
      <c r="C478" t="inlineStr">
        <is>
          <t>686 - 711</t>
        </is>
      </c>
      <c r="D478" t="inlineStr">
        <is>
          <t>Online / SYS_FLAG Y</t>
        </is>
      </c>
      <c r="E478" t="inlineStr">
        <is>
          <t>contribution_rate</t>
        </is>
      </c>
      <c r="F478" t="inlineStr">
        <is>
          <t>Contribution before losses per booked dollar</t>
        </is>
      </c>
      <c r="G478" t="n">
        <v>249</v>
      </c>
      <c r="H478" t="n">
        <v>8542134.160000002</v>
      </c>
      <c r="I478" t="b">
        <v>0</v>
      </c>
      <c r="J478" t="b">
        <v>0</v>
      </c>
      <c r="K478" t="n">
        <v>0.03419714552425421</v>
      </c>
      <c r="L478" t="n">
        <v>0.0003363300033633001</v>
      </c>
      <c r="M478" t="n">
        <v>0.0351015347405324</v>
      </c>
      <c r="N478" t="n">
        <v>0.0005999400059994001</v>
      </c>
      <c r="O478" t="n">
        <v>-292116.6049572229</v>
      </c>
      <c r="P478" t="n">
        <v>-299842.0189755287</v>
      </c>
      <c r="Q478">
        <f>'_live'!$C$24</f>
        <v/>
      </c>
      <c r="R478" t="inlineStr">
        <is>
          <t>shuffled: 1 of 10,000</t>
        </is>
      </c>
      <c r="S478" t="inlineStr">
        <is>
          <t>shuffled: 0 of 10,000</t>
        </is>
      </c>
      <c r="T478" t="n">
        <v>0.1684603470384709</v>
      </c>
      <c r="U478" t="n">
        <v>0.1675559578221927</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0.2026574925627251</v>
      </c>
      <c r="AI478">
        <f>IF($Y478="worse","Yes",IF($Y478="worse, not significant","Not sure",IF(OR($Y478="too few losses to test",$Y478="too few loans to test"),"Too few losses",IF($Y478="","","No"))))</f>
        <v/>
      </c>
      <c r="AJ478">
        <f>IF($AA478="yes","Yes",IF($AA478="","","No"))</f>
        <v/>
      </c>
      <c r="AK478" t="n">
        <v>0.0002378093347360877</v>
      </c>
      <c r="AL478" t="n">
        <v>0.0005999400059994001</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FICO x CHANNEL / SYS_FLAG</t>
        </is>
      </c>
      <c r="C479" t="inlineStr">
        <is>
          <t>746 - 921</t>
        </is>
      </c>
      <c r="D479" t="inlineStr">
        <is>
          <t>Online / SYS_FLAG Y</t>
        </is>
      </c>
      <c r="E479" t="inlineStr">
        <is>
          <t>outcome_loans</t>
        </is>
      </c>
      <c r="F479" t="inlineStr">
        <is>
          <t>Outcome, share of loans</t>
        </is>
      </c>
      <c r="G479" t="n">
        <v>225</v>
      </c>
      <c r="H479" t="n">
        <v>225</v>
      </c>
      <c r="I479" t="b">
        <v>0</v>
      </c>
      <c r="J479" t="b">
        <v>0</v>
      </c>
      <c r="K479" t="n">
        <v>0.6251023391812865</v>
      </c>
      <c r="L479" t="n">
        <v>0.201587627026289</v>
      </c>
      <c r="M479" t="n">
        <v>1.290283224400872</v>
      </c>
      <c r="N479" t="n">
        <v>0.5695214245174579</v>
      </c>
      <c r="O479" t="n">
        <v>-6.597118600463084</v>
      </c>
      <c r="P479" t="n">
        <v>2.474739970282318</v>
      </c>
      <c r="Q479">
        <f>'_live'!$C$20</f>
        <v/>
      </c>
      <c r="R479" t="inlineStr">
        <is>
          <t>z test</t>
        </is>
      </c>
      <c r="S479" t="inlineStr">
        <is>
          <t>z test</t>
        </is>
      </c>
      <c r="T479" t="n">
        <v>0.07820941600205815</v>
      </c>
      <c r="U479" t="n">
        <v>0.03789004457652303</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0.04888888888888889</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FICO x CHANNEL / SYS_FLAG</t>
        </is>
      </c>
      <c r="C480" t="inlineStr">
        <is>
          <t>746 - 921</t>
        </is>
      </c>
      <c r="D480" t="inlineStr">
        <is>
          <t>Online / SYS_FLAG Y</t>
        </is>
      </c>
      <c r="E480" t="inlineStr">
        <is>
          <t>outcome_booked</t>
        </is>
      </c>
      <c r="F480" t="inlineStr">
        <is>
          <t>Outcome, share of booked dollars</t>
        </is>
      </c>
      <c r="G480" t="n">
        <v>225</v>
      </c>
      <c r="H480" t="n">
        <v>7452915.570000002</v>
      </c>
      <c r="I480" t="b">
        <v>0</v>
      </c>
      <c r="J480" t="b">
        <v>0</v>
      </c>
      <c r="K480" t="n">
        <v>0.64561040885966</v>
      </c>
      <c r="L480" t="n">
        <v>0.269504299570043</v>
      </c>
      <c r="M480" t="n">
        <v>1.404319146137164</v>
      </c>
      <c r="N480" t="n">
        <v>0.5509975318257648</v>
      </c>
      <c r="O480" t="n">
        <v>-199684.6713735468</v>
      </c>
      <c r="P480" t="n">
        <v>104735.2284676804</v>
      </c>
      <c r="Q480">
        <f>'_live'!$C$21</f>
        <v/>
      </c>
      <c r="R480" t="inlineStr">
        <is>
          <t>shuffled: 1,724 of 10,000</t>
        </is>
      </c>
      <c r="S480" t="inlineStr">
        <is>
          <t>shuffled: 3,346 of 10,000</t>
        </is>
      </c>
      <c r="T480" t="n">
        <v>0.07560274580885218</v>
      </c>
      <c r="U480" t="n">
        <v>0.03475699933795433</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0.04880991963256601</v>
      </c>
      <c r="AI480">
        <f>IF($Y480="worse","Yes",IF($Y480="worse, not significant","Not sure",IF(OR($Y480="too few losses to test",$Y480="too few loans to test"),"Too few losses",IF($Y480="","","No"))))</f>
        <v/>
      </c>
      <c r="AJ480">
        <f>IF($AA480="yes","Yes",IF($AA480="","","No"))</f>
        <v/>
      </c>
      <c r="AK480" t="n">
        <v>0.005903116978270486</v>
      </c>
      <c r="AL480" t="n">
        <v>0.006491521180156753</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FICO x CHANNEL / SYS_FLAG</t>
        </is>
      </c>
      <c r="C481" t="inlineStr">
        <is>
          <t>746 - 921</t>
        </is>
      </c>
      <c r="D481" t="inlineStr">
        <is>
          <t>Online / SYS_FLAG Y</t>
        </is>
      </c>
      <c r="E481" t="inlineStr">
        <is>
          <t>gco_rate</t>
        </is>
      </c>
      <c r="F481" t="inlineStr">
        <is>
          <t>GCO per booked dollar</t>
        </is>
      </c>
      <c r="G481" t="n">
        <v>225</v>
      </c>
      <c r="H481" t="n">
        <v>7452915.570000002</v>
      </c>
      <c r="I481" t="b">
        <v>0</v>
      </c>
      <c r="J481" t="b">
        <v>0</v>
      </c>
      <c r="K481" t="n">
        <v>0.5714742249815863</v>
      </c>
      <c r="L481" t="n">
        <v>0.1964803519648035</v>
      </c>
      <c r="M481" t="n">
        <v>1.29424918616927</v>
      </c>
      <c r="N481" t="n">
        <v>0.6423041906335683</v>
      </c>
      <c r="O481" t="n">
        <v>-134542.8110353932</v>
      </c>
      <c r="P481" t="n">
        <v>40792.24105260058</v>
      </c>
      <c r="Q481">
        <f>'_live'!$C$22</f>
        <v/>
      </c>
      <c r="R481" t="inlineStr">
        <is>
          <t>shuffled: 1,112 of 10,000</t>
        </is>
      </c>
      <c r="S481" t="inlineStr">
        <is>
          <t>shuffled: 4,881 of 10,000</t>
        </is>
      </c>
      <c r="T481" t="n">
        <v>0.04212669096899391</v>
      </c>
      <c r="U481" t="n">
        <v>0.01860099147042925</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0.02407431807254459</v>
      </c>
      <c r="AI481">
        <f>IF($Y481="worse","Yes",IF($Y481="worse, not significant","Not sure",IF(OR($Y481="too few losses to test",$Y481="too few loans to test"),"Too few losses",IF($Y481="","","No"))))</f>
        <v/>
      </c>
      <c r="AJ481">
        <f>IF($AA481="yes","Yes",IF($AA481="","","No"))</f>
        <v/>
      </c>
      <c r="AK481" t="n">
        <v>0.005374595096995302</v>
      </c>
      <c r="AL481" t="n">
        <v>0.006577099814002083</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FICO x CHANNEL / SYS_FLAG</t>
        </is>
      </c>
      <c r="C482" t="inlineStr">
        <is>
          <t>746 - 921</t>
        </is>
      </c>
      <c r="D482" t="inlineStr">
        <is>
          <t>Online / SYS_FLAG Y</t>
        </is>
      </c>
      <c r="E482" t="inlineStr">
        <is>
          <t>ranr_rate</t>
        </is>
      </c>
      <c r="F482" t="inlineStr">
        <is>
          <t>Profit after losses: RANR per booked dollar</t>
        </is>
      </c>
      <c r="G482" t="n">
        <v>225</v>
      </c>
      <c r="H482" t="n">
        <v>7452915.570000002</v>
      </c>
      <c r="I482" t="b">
        <v>0</v>
      </c>
      <c r="J482" t="b">
        <v>0</v>
      </c>
      <c r="K482" t="n">
        <v>-0.09149207485277167</v>
      </c>
      <c r="L482" t="n">
        <v>0.0002845869259227924</v>
      </c>
      <c r="M482" t="n">
        <v>-0.008918771187737762</v>
      </c>
      <c r="N482" t="n">
        <v>0.5897057353088221</v>
      </c>
      <c r="O482" t="n">
        <v>681882.7092018275</v>
      </c>
      <c r="P482" t="n">
        <v>66470.84865035815</v>
      </c>
      <c r="Q482">
        <f>'_live'!$C$23</f>
        <v/>
      </c>
      <c r="R482" t="inlineStr">
        <is>
          <t>shuffled: 0 of 10,000</t>
        </is>
      </c>
      <c r="S482" t="inlineStr">
        <is>
          <t>shuffled: 2,784 of 10,000</t>
        </is>
      </c>
      <c r="T482" t="n">
        <v>0.1306323049090743</v>
      </c>
      <c r="U482" t="n">
        <v>0.04805900124404042</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0.03914023005630266</v>
      </c>
      <c r="AI482">
        <f>IF($Y482="worse","Yes",IF($Y482="worse, not significant","Not sure",IF(OR($Y482="too few losses to test",$Y482="too few loans to test"),"Too few losses",IF($Y482="","","No"))))</f>
        <v/>
      </c>
      <c r="AJ482">
        <f>IF($AA482="yes","Yes",IF($AA482="","","No"))</f>
        <v/>
      </c>
      <c r="AK482" t="n">
        <v>0.0002845869259227924</v>
      </c>
      <c r="AL482" t="n">
        <v>0.009492290354239988</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FICO x CHANNEL / SYS_FLAG</t>
        </is>
      </c>
      <c r="C483" t="inlineStr">
        <is>
          <t>746 - 921</t>
        </is>
      </c>
      <c r="D483" t="inlineStr">
        <is>
          <t>Online / SYS_FLAG Y</t>
        </is>
      </c>
      <c r="E483" t="inlineStr">
        <is>
          <t>contribution_rate</t>
        </is>
      </c>
      <c r="F483" t="inlineStr">
        <is>
          <t>Contribution before losses per booked dollar</t>
        </is>
      </c>
      <c r="G483" t="n">
        <v>225</v>
      </c>
      <c r="H483" t="n">
        <v>7452915.570000002</v>
      </c>
      <c r="I483" t="b">
        <v>0</v>
      </c>
      <c r="J483" t="b">
        <v>0</v>
      </c>
      <c r="K483" t="n">
        <v>-0.1095419219214121</v>
      </c>
      <c r="L483" t="n">
        <v>0.000184981501849815</v>
      </c>
      <c r="M483" t="n">
        <v>-0.003445444585622445</v>
      </c>
      <c r="N483" t="n">
        <v>0.3328608315639024</v>
      </c>
      <c r="O483" t="n">
        <v>816406.6954558168</v>
      </c>
      <c r="P483" t="n">
        <v>25678.60759775777</v>
      </c>
      <c r="Q483">
        <f>'_live'!$C$24</f>
        <v/>
      </c>
      <c r="R483" t="inlineStr">
        <is>
          <t>shuffled: 0 of 10,000</t>
        </is>
      </c>
      <c r="S483" t="inlineStr">
        <is>
          <t>shuffled: 1,571 of 10,000</t>
        </is>
      </c>
      <c r="T483" t="n">
        <v>0.1727564700502593</v>
      </c>
      <c r="U483" t="n">
        <v>0.06665999271446969</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0.06321454812884725</v>
      </c>
      <c r="AI483">
        <f>IF($Y483="worse","Yes",IF($Y483="worse, not significant","Not sure",IF(OR($Y483="too few losses to test",$Y483="too few loans to test"),"Too few losses",IF($Y483="","","No"))))</f>
        <v/>
      </c>
      <c r="AJ483">
        <f>IF($AA483="yes","Yes",IF($AA483="","","No"))</f>
        <v/>
      </c>
      <c r="AK483" t="n">
        <v>0.000184981501849815</v>
      </c>
      <c r="AL483" t="n">
        <v>0.007707693739176715</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FICO x CHANNEL / SYS_FLAG</t>
        </is>
      </c>
      <c r="C484" t="inlineStr">
        <is>
          <t>654 - 685</t>
        </is>
      </c>
      <c r="D484" t="inlineStr">
        <is>
          <t>Branch / SYS_FLAG Y</t>
        </is>
      </c>
      <c r="E484" t="inlineStr">
        <is>
          <t>outcome_loans</t>
        </is>
      </c>
      <c r="F484" t="inlineStr">
        <is>
          <t>Outcome, share of loans</t>
        </is>
      </c>
      <c r="G484" t="n">
        <v>254</v>
      </c>
      <c r="H484" t="n">
        <v>254</v>
      </c>
      <c r="I484" t="b">
        <v>0</v>
      </c>
      <c r="J484" t="b">
        <v>0</v>
      </c>
      <c r="K484" t="n">
        <v>1.498765514480181</v>
      </c>
      <c r="L484" t="n">
        <v>0.07152630246611631</v>
      </c>
      <c r="M484" t="n">
        <v>1.45259998440789</v>
      </c>
      <c r="N484" t="n">
        <v>0.1620440761844105</v>
      </c>
      <c r="O484" t="n">
        <v>9.65074241446094</v>
      </c>
      <c r="P484" t="n">
        <v>9.03579766536965</v>
      </c>
      <c r="Q484">
        <f>'_live'!$C$20</f>
        <v/>
      </c>
      <c r="R484" t="inlineStr">
        <is>
          <t>z test</t>
        </is>
      </c>
      <c r="S484" t="inlineStr">
        <is>
          <t>z test</t>
        </is>
      </c>
      <c r="T484" t="n">
        <v>0.07617817947062622</v>
      </c>
      <c r="U484" t="n">
        <v>0.07859922178988327</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0.1141732283464567</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FICO x CHANNEL / SYS_FLAG</t>
        </is>
      </c>
      <c r="C485" t="inlineStr">
        <is>
          <t>654 - 685</t>
        </is>
      </c>
      <c r="D485" t="inlineStr">
        <is>
          <t>Branch / SYS_FLAG Y</t>
        </is>
      </c>
      <c r="E485" t="inlineStr">
        <is>
          <t>outcome_booked</t>
        </is>
      </c>
      <c r="F485" t="inlineStr">
        <is>
          <t>Outcome, share of booked dollars</t>
        </is>
      </c>
      <c r="G485" t="n">
        <v>254</v>
      </c>
      <c r="H485" t="n">
        <v>8112548.649999998</v>
      </c>
      <c r="I485" t="b">
        <v>0</v>
      </c>
      <c r="J485" t="b">
        <v>0</v>
      </c>
      <c r="K485" t="n">
        <v>1.589880172365774</v>
      </c>
      <c r="L485" t="n">
        <v>0.05610550056105501</v>
      </c>
      <c r="M485" t="n">
        <v>1.609082622937274</v>
      </c>
      <c r="N485" t="n">
        <v>0.08874112588741126</v>
      </c>
      <c r="O485" t="n">
        <v>351568.2737690335</v>
      </c>
      <c r="P485" t="n">
        <v>358680.8050460622</v>
      </c>
      <c r="Q485">
        <f>'_live'!$C$21</f>
        <v/>
      </c>
      <c r="R485" t="inlineStr">
        <is>
          <t>shuffled: 183 of 10,000</t>
        </is>
      </c>
      <c r="S485" t="inlineStr">
        <is>
          <t>shuffled: 283 of 10,000</t>
        </is>
      </c>
      <c r="T485" t="n">
        <v>0.07346636697592766</v>
      </c>
      <c r="U485" t="n">
        <v>0.07258963494215075</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0.1168027201907751</v>
      </c>
      <c r="AI485">
        <f>IF($Y485="worse","Yes",IF($Y485="worse, not significant","Not sure",IF(OR($Y485="too few losses to test",$Y485="too few loans to test"),"Too few losses",IF($Y485="","","No"))))</f>
        <v/>
      </c>
      <c r="AJ485">
        <f>IF($AA485="yes","Yes",IF($AA485="","","No"))</f>
        <v/>
      </c>
      <c r="AK485" t="n">
        <v>0.003907694786909421</v>
      </c>
      <c r="AL485" t="n">
        <v>0.005190770954052922</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FICO x CHANNEL / SYS_FLAG</t>
        </is>
      </c>
      <c r="C486" t="inlineStr">
        <is>
          <t>654 - 685</t>
        </is>
      </c>
      <c r="D486" t="inlineStr">
        <is>
          <t>Branch / SYS_FLAG Y</t>
        </is>
      </c>
      <c r="E486" t="inlineStr">
        <is>
          <t>gco_rate</t>
        </is>
      </c>
      <c r="F486" t="inlineStr">
        <is>
          <t>GCO per booked dollar</t>
        </is>
      </c>
      <c r="G486" t="n">
        <v>254</v>
      </c>
      <c r="H486" t="n">
        <v>8112548.649999998</v>
      </c>
      <c r="I486" t="b">
        <v>0</v>
      </c>
      <c r="J486" t="b">
        <v>0</v>
      </c>
      <c r="K486" t="n">
        <v>1.728059062025716</v>
      </c>
      <c r="L486" t="n">
        <v>0.02333100023331</v>
      </c>
      <c r="M486" t="n">
        <v>1.744886496175044</v>
      </c>
      <c r="N486" t="n">
        <v>0.03388550033885501</v>
      </c>
      <c r="O486" t="n">
        <v>240238.7530938757</v>
      </c>
      <c r="P486" t="n">
        <v>243420.9508953163</v>
      </c>
      <c r="Q486">
        <f>'_live'!$C$22</f>
        <v/>
      </c>
      <c r="R486" t="inlineStr">
        <is>
          <t>shuffled: 55 of 10,000</t>
        </is>
      </c>
      <c r="S486" t="inlineStr">
        <is>
          <t>shuffled: 121 of 10,000</t>
        </is>
      </c>
      <c r="T486" t="n">
        <v>0.04067421116865963</v>
      </c>
      <c r="U486" t="n">
        <v>0.04028195493221282</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0.07028743920074985</v>
      </c>
      <c r="AI486">
        <f>IF($Y486="worse","Yes",IF($Y486="worse, not significant","Not sure",IF(OR($Y486="too few losses to test",$Y486="too few loans to test"),"Too few losses",IF($Y486="","","No"))))</f>
        <v/>
      </c>
      <c r="AJ486">
        <f>IF($AA486="yes","Yes",IF($AA486="","","No"))</f>
        <v/>
      </c>
      <c r="AK486" t="n">
        <v>0.003109150453101913</v>
      </c>
      <c r="AL486" t="n">
        <v>0.003049232078686996</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FICO x CHANNEL / SYS_FLAG</t>
        </is>
      </c>
      <c r="C487" t="inlineStr">
        <is>
          <t>654 - 685</t>
        </is>
      </c>
      <c r="D487" t="inlineStr">
        <is>
          <t>Branch / SYS_FLAG Y</t>
        </is>
      </c>
      <c r="E487" t="inlineStr">
        <is>
          <t>ranr_rate</t>
        </is>
      </c>
      <c r="F487" t="inlineStr">
        <is>
          <t>Profit after losses: RANR per booked dollar</t>
        </is>
      </c>
      <c r="G487" t="n">
        <v>254</v>
      </c>
      <c r="H487" t="n">
        <v>8112548.649999998</v>
      </c>
      <c r="I487" t="b">
        <v>0</v>
      </c>
      <c r="J487" t="b">
        <v>0</v>
      </c>
      <c r="K487" t="n">
        <v>0.002974911849296352</v>
      </c>
      <c r="L487" t="n">
        <v>0.9039781736112104</v>
      </c>
      <c r="M487" t="n">
        <v>-0.03853947786290335</v>
      </c>
      <c r="N487" t="n">
        <v>0.026997300269973</v>
      </c>
      <c r="O487" t="n">
        <v>-24134.1171068782</v>
      </c>
      <c r="P487" t="n">
        <v>312653.3891084013</v>
      </c>
      <c r="Q487">
        <f>'_live'!$C$23</f>
        <v/>
      </c>
      <c r="R487" t="inlineStr">
        <is>
          <t>shuffled: 8,263 of 10,000</t>
        </is>
      </c>
      <c r="S487" t="inlineStr">
        <is>
          <t>shuffled: 58 of 10,000</t>
        </is>
      </c>
      <c r="T487" t="n">
        <v>0.1278965313684896</v>
      </c>
      <c r="U487" t="n">
        <v>0.1694109210806893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0.1308714432177859</v>
      </c>
      <c r="AI487">
        <f>IF($Y487="worse","Yes",IF($Y487="worse, not significant","Not sure",IF(OR($Y487="too few losses to test",$Y487="too few loans to test"),"Too few losses",IF($Y487="","","No"))))</f>
        <v/>
      </c>
      <c r="AJ487">
        <f>IF($AA487="yes","Yes",IF($AA487="","","No"))</f>
        <v/>
      </c>
      <c r="AK487" t="n">
        <v>0.003720988187036841</v>
      </c>
      <c r="AL487" t="n">
        <v>0.003475039524854522</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FICO x CHANNEL / SYS_FLAG</t>
        </is>
      </c>
      <c r="C488" t="inlineStr">
        <is>
          <t>654 - 685</t>
        </is>
      </c>
      <c r="D488" t="inlineStr">
        <is>
          <t>Branch / SYS_FLAG Y</t>
        </is>
      </c>
      <c r="E488" t="inlineStr">
        <is>
          <t>contribution_rate</t>
        </is>
      </c>
      <c r="F488" t="inlineStr">
        <is>
          <t>Contribution before losses per booked dollar</t>
        </is>
      </c>
      <c r="G488" t="n">
        <v>254</v>
      </c>
      <c r="H488" t="n">
        <v>8112548.649999998</v>
      </c>
      <c r="I488" t="b">
        <v>0</v>
      </c>
      <c r="J488" t="b">
        <v>0</v>
      </c>
      <c r="K488" t="n">
        <v>0.03259110679195606</v>
      </c>
      <c r="L488" t="n">
        <v>0.0003363300033633001</v>
      </c>
      <c r="M488" t="n">
        <v>-0.008533993594366324</v>
      </c>
      <c r="N488" t="n">
        <v>0.5160983901609839</v>
      </c>
      <c r="O488" t="n">
        <v>-264396.939407089</v>
      </c>
      <c r="P488" t="n">
        <v>69232.43821308506</v>
      </c>
      <c r="Q488">
        <f>'_live'!$C$24</f>
        <v/>
      </c>
      <c r="R488" t="inlineStr">
        <is>
          <t>shuffled: 1 of 10,000</t>
        </is>
      </c>
      <c r="S488" t="inlineStr">
        <is>
          <t>shuffled: 3,017 of 10,000</t>
        </is>
      </c>
      <c r="T488" t="n">
        <v>0.1685677756265796</v>
      </c>
      <c r="U488" t="n">
        <v>0.209692876012902</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0.2011588824185357</v>
      </c>
      <c r="AI488">
        <f>IF($Y488="worse","Yes",IF($Y488="worse, not significant","Not sure",IF(OR($Y488="too few losses to test",$Y488="too few loans to test"),"Too few losses",IF($Y488="","","No"))))</f>
        <v/>
      </c>
      <c r="AJ488">
        <f>IF($AA488="yes","Yes",IF($AA488="","","No"))</f>
        <v/>
      </c>
      <c r="AK488" t="n">
        <v>0.0002378093347360877</v>
      </c>
      <c r="AL488" t="n">
        <v>0.007125938793693898</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FICO x CHANNEL / SYS_FLAG</t>
        </is>
      </c>
      <c r="C489" t="inlineStr">
        <is>
          <t>654 - 685</t>
        </is>
      </c>
      <c r="D489" t="inlineStr">
        <is>
          <t>Online / SYS_FLAG N</t>
        </is>
      </c>
      <c r="E489" t="inlineStr">
        <is>
          <t>outcome_loans</t>
        </is>
      </c>
      <c r="F489" t="inlineStr">
        <is>
          <t>Outcome, share of loans</t>
        </is>
      </c>
      <c r="G489" t="n">
        <v>269</v>
      </c>
      <c r="H489" t="n">
        <v>269</v>
      </c>
      <c r="I489" t="b">
        <v>0</v>
      </c>
      <c r="J489" t="b">
        <v>0</v>
      </c>
      <c r="K489" t="n">
        <v>0.6164501208485161</v>
      </c>
      <c r="L489" t="n">
        <v>0.1704226974856417</v>
      </c>
      <c r="M489" t="n">
        <v>0.5245766212308963</v>
      </c>
      <c r="N489" t="n">
        <v>0.07538455842940572</v>
      </c>
      <c r="O489" t="n">
        <v>-8.088486416558862</v>
      </c>
      <c r="P489" t="n">
        <v>-11.78188976377953</v>
      </c>
      <c r="Q489">
        <f>'_live'!$C$20</f>
        <v/>
      </c>
      <c r="R489" t="inlineStr">
        <is>
          <t>z test</t>
        </is>
      </c>
      <c r="S489" t="inlineStr">
        <is>
          <t>z test</t>
        </is>
      </c>
      <c r="T489" t="n">
        <v>0.07839586028460543</v>
      </c>
      <c r="U489" t="n">
        <v>0.09212598425196851</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0.0483271375464684</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FICO x CHANNEL / SYS_FLAG</t>
        </is>
      </c>
      <c r="C490" t="inlineStr">
        <is>
          <t>654 - 685</t>
        </is>
      </c>
      <c r="D490" t="inlineStr">
        <is>
          <t>Online / SYS_FLAG N</t>
        </is>
      </c>
      <c r="E490" t="inlineStr">
        <is>
          <t>outcome_booked</t>
        </is>
      </c>
      <c r="F490" t="inlineStr">
        <is>
          <t>Outcome, share of booked dollars</t>
        </is>
      </c>
      <c r="G490" t="n">
        <v>269</v>
      </c>
      <c r="H490" t="n">
        <v>8694349.990000004</v>
      </c>
      <c r="I490" t="b">
        <v>0</v>
      </c>
      <c r="J490" t="b">
        <v>0</v>
      </c>
      <c r="K490" t="n">
        <v>0.4321215583847474</v>
      </c>
      <c r="L490" t="n">
        <v>0.05610550056105501</v>
      </c>
      <c r="M490" t="n">
        <v>0.3667534875670352</v>
      </c>
      <c r="N490" t="n">
        <v>0.01541512515415125</v>
      </c>
      <c r="O490" t="n">
        <v>-376662.4032328771</v>
      </c>
      <c r="P490" t="n">
        <v>-494881.6823556497</v>
      </c>
      <c r="Q490">
        <f>'_live'!$C$21</f>
        <v/>
      </c>
      <c r="R490" t="inlineStr">
        <is>
          <t>shuffled: 162 of 10,000</t>
        </is>
      </c>
      <c r="S490" t="inlineStr">
        <is>
          <t>shuffled: 36 of 10,000</t>
        </is>
      </c>
      <c r="T490" t="n">
        <v>0.07628862238071427</v>
      </c>
      <c r="U490" t="n">
        <v>0.08988587568415214</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0.03296595839017977</v>
      </c>
      <c r="AI490">
        <f>IF($Y490="worse","Yes",IF($Y490="worse, not significant","Not sure",IF(OR($Y490="too few losses to test",$Y490="too few loans to test"),"Too few losses",IF($Y490="","","No"))))</f>
        <v/>
      </c>
      <c r="AJ490">
        <f>IF($AA490="yes","Yes",IF($AA490="","","No"))</f>
        <v/>
      </c>
      <c r="AK490" t="n">
        <v>0.003907694786909421</v>
      </c>
      <c r="AL490" t="n">
        <v>0.002529665235931006</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FICO x CHANNEL / SYS_FLAG</t>
        </is>
      </c>
      <c r="C491" t="inlineStr">
        <is>
          <t>654 - 685</t>
        </is>
      </c>
      <c r="D491" t="inlineStr">
        <is>
          <t>Online / SYS_FLAG N</t>
        </is>
      </c>
      <c r="E491" t="inlineStr">
        <is>
          <t>gco_rate</t>
        </is>
      </c>
      <c r="F491" t="inlineStr">
        <is>
          <t>GCO per booked dollar</t>
        </is>
      </c>
      <c r="G491" t="n">
        <v>269</v>
      </c>
      <c r="H491" t="n">
        <v>8694349.990000004</v>
      </c>
      <c r="I491" t="b">
        <v>0</v>
      </c>
      <c r="J491" t="b">
        <v>0</v>
      </c>
      <c r="K491" t="n">
        <v>0.462875533800595</v>
      </c>
      <c r="L491" t="n">
        <v>0.0786032507860325</v>
      </c>
      <c r="M491" t="n">
        <v>0.3869243662966473</v>
      </c>
      <c r="N491" t="n">
        <v>0.02812218778122188</v>
      </c>
      <c r="O491" t="n">
        <v>-197875.6940941163</v>
      </c>
      <c r="P491" t="n">
        <v>-270190.2777803902</v>
      </c>
      <c r="Q491">
        <f>'_live'!$C$22</f>
        <v/>
      </c>
      <c r="R491" t="inlineStr">
        <is>
          <t>shuffled: 282 of 10,000</t>
        </is>
      </c>
      <c r="S491" t="inlineStr">
        <is>
          <t>shuffled: 77 of 10,000</t>
        </is>
      </c>
      <c r="T491" t="n">
        <v>0.04237213989750097</v>
      </c>
      <c r="U491" t="n">
        <v>0.05068956256503196</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0.01961302687332925</v>
      </c>
      <c r="AI491">
        <f>IF($Y491="worse","Yes",IF($Y491="worse, not significant","Not sure",IF(OR($Y491="too few losses to test",$Y491="too few loans to test"),"Too few losses",IF($Y491="","","No"))))</f>
        <v/>
      </c>
      <c r="AJ491">
        <f>IF($AA491="yes","Yes",IF($AA491="","","No"))</f>
        <v/>
      </c>
      <c r="AK491" t="n">
        <v>0.00460612518566748</v>
      </c>
      <c r="AL491" t="n">
        <v>0.002951118082536109</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FICO x CHANNEL / SYS_FLAG</t>
        </is>
      </c>
      <c r="C492" t="inlineStr">
        <is>
          <t>654 - 685</t>
        </is>
      </c>
      <c r="D492" t="inlineStr">
        <is>
          <t>Online / SYS_FLAG N</t>
        </is>
      </c>
      <c r="E492" t="inlineStr">
        <is>
          <t>ranr_rate</t>
        </is>
      </c>
      <c r="F492" t="inlineStr">
        <is>
          <t>Profit after losses: RANR per booked dollar</t>
        </is>
      </c>
      <c r="G492" t="n">
        <v>269</v>
      </c>
      <c r="H492" t="n">
        <v>8694349.990000004</v>
      </c>
      <c r="I492" t="b">
        <v>0</v>
      </c>
      <c r="J492" t="b">
        <v>0</v>
      </c>
      <c r="K492" t="n">
        <v>0.08233393429193414</v>
      </c>
      <c r="L492" t="n">
        <v>0.0002845869259227924</v>
      </c>
      <c r="M492" t="n">
        <v>0.05398586780899245</v>
      </c>
      <c r="N492" t="n">
        <v>0.0023997600239976</v>
      </c>
      <c r="O492" t="n">
        <v>-715840.0407877387</v>
      </c>
      <c r="P492" t="n">
        <v>-469372.029245255</v>
      </c>
      <c r="Q492">
        <f>'_live'!$C$23</f>
        <v/>
      </c>
      <c r="R492" t="inlineStr">
        <is>
          <t>shuffled: 0 of 10,000</t>
        </is>
      </c>
      <c r="S492" t="inlineStr">
        <is>
          <t>shuffled: 1 of 10,000</t>
        </is>
      </c>
      <c r="T492" t="n">
        <v>0.1252162117311153</v>
      </c>
      <c r="U492" t="n">
        <v>0.153564278214057</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0.2075501460230495</v>
      </c>
      <c r="AI492">
        <f>IF($Y492="worse","Yes",IF($Y492="worse, not significant","Not sure",IF(OR($Y492="too few losses to test",$Y492="too few loans to test"),"Too few losses",IF($Y492="","","No"))))</f>
        <v/>
      </c>
      <c r="AJ492">
        <f>IF($AA492="yes","Yes",IF($AA492="","","No"))</f>
        <v/>
      </c>
      <c r="AK492" t="n">
        <v>0.0002845869259227924</v>
      </c>
      <c r="AL492" t="n">
        <v>0.001696801739738571</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FICO x CHANNEL / SYS_FLAG</t>
        </is>
      </c>
      <c r="C493" t="inlineStr">
        <is>
          <t>654 - 685</t>
        </is>
      </c>
      <c r="D493" t="inlineStr">
        <is>
          <t>Online / SYS_FLAG N</t>
        </is>
      </c>
      <c r="E493" t="inlineStr">
        <is>
          <t>contribution_rate</t>
        </is>
      </c>
      <c r="F493" t="inlineStr">
        <is>
          <t>Contribution before losses per booked dollar</t>
        </is>
      </c>
      <c r="G493" t="n">
        <v>269</v>
      </c>
      <c r="H493" t="n">
        <v>8694349.990000004</v>
      </c>
      <c r="I493" t="b">
        <v>0</v>
      </c>
      <c r="J493" t="b">
        <v>0</v>
      </c>
      <c r="K493" t="n">
        <v>0.05957822170497151</v>
      </c>
      <c r="L493" t="n">
        <v>0.000184981501849815</v>
      </c>
      <c r="M493" t="n">
        <v>0.02290933211728982</v>
      </c>
      <c r="N493" t="n">
        <v>0.0173437201734372</v>
      </c>
      <c r="O493" t="n">
        <v>-517993.9112848369</v>
      </c>
      <c r="P493" t="n">
        <v>-199181.7514648654</v>
      </c>
      <c r="Q493">
        <f>'_live'!$C$24</f>
        <v/>
      </c>
      <c r="R493" t="inlineStr">
        <is>
          <t>shuffled: 0 of 10,000</t>
        </is>
      </c>
      <c r="S493" t="inlineStr">
        <is>
          <t>shuffled: 52 of 10,000</t>
        </is>
      </c>
      <c r="T493" t="n">
        <v>0.1675849511914072</v>
      </c>
      <c r="U493" t="n">
        <v>0.2042538407790889</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0.2271631728963787</v>
      </c>
      <c r="AI493">
        <f>IF($Y493="worse","Yes",IF($Y493="worse, not significant","Not sure",IF(OR($Y493="too few losses to test",$Y493="too few loans to test"),"Too few losses",IF($Y493="","","No"))))</f>
        <v/>
      </c>
      <c r="AJ493">
        <f>IF($AA493="yes","Yes",IF($AA493="","","No"))</f>
        <v/>
      </c>
      <c r="AK493" t="n">
        <v>0.000184981501849815</v>
      </c>
      <c r="AL493" t="n">
        <v>0.002376141018388926</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FICO x CHANNEL / SYS_FLAG</t>
        </is>
      </c>
      <c r="C494" t="inlineStr">
        <is>
          <t>496 - 653</t>
        </is>
      </c>
      <c r="D494" t="inlineStr">
        <is>
          <t>Branch / SYS_FLAG Y</t>
        </is>
      </c>
      <c r="E494" t="inlineStr">
        <is>
          <t>outcome_loans</t>
        </is>
      </c>
      <c r="F494" t="inlineStr">
        <is>
          <t>Outcome, share of loans</t>
        </is>
      </c>
      <c r="G494" t="n">
        <v>231</v>
      </c>
      <c r="H494" t="n">
        <v>231</v>
      </c>
      <c r="I494" t="b">
        <v>0</v>
      </c>
      <c r="J494" t="b">
        <v>0</v>
      </c>
      <c r="K494" t="n">
        <v>1.593190791160334</v>
      </c>
      <c r="L494" t="n">
        <v>0.04076565091614095</v>
      </c>
      <c r="M494" t="n">
        <v>0.7790526625478081</v>
      </c>
      <c r="N494" t="n">
        <v>0.3170083363546049</v>
      </c>
      <c r="O494" t="n">
        <v>10.42520597322348</v>
      </c>
      <c r="P494" t="n">
        <v>-7.941087613293057</v>
      </c>
      <c r="Q494">
        <f>'_live'!$C$20</f>
        <v/>
      </c>
      <c r="R494" t="inlineStr">
        <is>
          <t>z test</t>
        </is>
      </c>
      <c r="S494" t="inlineStr">
        <is>
          <t>z test</t>
        </is>
      </c>
      <c r="T494" t="n">
        <v>0.07608135942327497</v>
      </c>
      <c r="U494" t="n">
        <v>0.1555891238670695</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0.1212121212121212</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FICO x CHANNEL / SYS_FLAG</t>
        </is>
      </c>
      <c r="C495" t="inlineStr">
        <is>
          <t>496 - 653</t>
        </is>
      </c>
      <c r="D495" t="inlineStr">
        <is>
          <t>Branch / SYS_FLAG Y</t>
        </is>
      </c>
      <c r="E495" t="inlineStr">
        <is>
          <t>outcome_booked</t>
        </is>
      </c>
      <c r="F495" t="inlineStr">
        <is>
          <t>Outcome, share of booked dollars</t>
        </is>
      </c>
      <c r="G495" t="n">
        <v>231</v>
      </c>
      <c r="H495" t="n">
        <v>7722735.910000001</v>
      </c>
      <c r="I495" t="b">
        <v>0</v>
      </c>
      <c r="J495" t="b">
        <v>0</v>
      </c>
      <c r="K495" t="n">
        <v>1.773464477122774</v>
      </c>
      <c r="L495" t="n">
        <v>0.02041462520414625</v>
      </c>
      <c r="M495" t="n">
        <v>0.8496149376163674</v>
      </c>
      <c r="N495" t="n">
        <v>0.5509975318257648</v>
      </c>
      <c r="O495" t="n">
        <v>436859.4153071404</v>
      </c>
      <c r="P495" t="n">
        <v>-177299.0392677856</v>
      </c>
      <c r="Q495">
        <f>'_live'!$C$21</f>
        <v/>
      </c>
      <c r="R495" t="inlineStr">
        <is>
          <t>shuffled: 41 of 10,000</t>
        </is>
      </c>
      <c r="S495" t="inlineStr">
        <is>
          <t>shuffled: 4,187 of 10,000</t>
        </is>
      </c>
      <c r="T495" t="n">
        <v>0.07313582145952982</v>
      </c>
      <c r="U495" t="n">
        <v>0.1526618419958097</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0.1297037813636696</v>
      </c>
      <c r="AI495">
        <f>IF($Y495="worse","Yes",IF($Y495="worse, not significant","Not sure",IF(OR($Y495="too few losses to test",$Y495="too few loans to test"),"Too few losses",IF($Y495="","","No"))))</f>
        <v/>
      </c>
      <c r="AJ495">
        <f>IF($AA495="yes","Yes",IF($AA495="","","No"))</f>
        <v/>
      </c>
      <c r="AK495" t="n">
        <v>0.002909367309715011</v>
      </c>
      <c r="AL495" t="n">
        <v>0.006491521180156753</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FICO x CHANNEL / SYS_FLAG</t>
        </is>
      </c>
      <c r="C496" t="inlineStr">
        <is>
          <t>496 - 653</t>
        </is>
      </c>
      <c r="D496" t="inlineStr">
        <is>
          <t>Branch / SYS_FLAG Y</t>
        </is>
      </c>
      <c r="E496" t="inlineStr">
        <is>
          <t>gco_rate</t>
        </is>
      </c>
      <c r="F496" t="inlineStr">
        <is>
          <t>GCO per booked dollar</t>
        </is>
      </c>
      <c r="G496" t="n">
        <v>231</v>
      </c>
      <c r="H496" t="n">
        <v>7722735.910000001</v>
      </c>
      <c r="I496" t="b">
        <v>0</v>
      </c>
      <c r="J496" t="b">
        <v>0</v>
      </c>
      <c r="K496" t="n">
        <v>1.6073216152189</v>
      </c>
      <c r="L496" t="n">
        <v>0.0786032507860325</v>
      </c>
      <c r="M496" t="n">
        <v>0.7580459550492539</v>
      </c>
      <c r="N496" t="n">
        <v>0.4211117349803482</v>
      </c>
      <c r="O496" t="n">
        <v>191652.7004668697</v>
      </c>
      <c r="P496" t="n">
        <v>-161896.0832675652</v>
      </c>
      <c r="Q496">
        <f>'_live'!$C$22</f>
        <v/>
      </c>
      <c r="R496" t="inlineStr">
        <is>
          <t>shuffled: 231 of 10,000</t>
        </is>
      </c>
      <c r="S496" t="inlineStr">
        <is>
          <t>shuffled: 2,041 of 10,000</t>
        </is>
      </c>
      <c r="T496" t="n">
        <v>0.04086250821091852</v>
      </c>
      <c r="U496" t="n">
        <v>0.08664275861112092</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0.06567919269946912</v>
      </c>
      <c r="AI496">
        <f>IF($Y496="worse","Yes",IF($Y496="worse, not significant","Not sure",IF(OR($Y496="too few losses to test",$Y496="too few loans to test"),"Too few losses",IF($Y496="","","No"))))</f>
        <v/>
      </c>
      <c r="AJ496">
        <f>IF($AA496="yes","Yes",IF($AA496="","","No"))</f>
        <v/>
      </c>
      <c r="AK496" t="n">
        <v>0.00460612518566748</v>
      </c>
      <c r="AL496" t="n">
        <v>0.007952956470643063</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FICO x CHANNEL / SYS_FLAG</t>
        </is>
      </c>
      <c r="C497" t="inlineStr">
        <is>
          <t>496 - 653</t>
        </is>
      </c>
      <c r="D497" t="inlineStr">
        <is>
          <t>Branch / SYS_FLAG Y</t>
        </is>
      </c>
      <c r="E497" t="inlineStr">
        <is>
          <t>ranr_rate</t>
        </is>
      </c>
      <c r="F497" t="inlineStr">
        <is>
          <t>Profit after losses: RANR per booked dollar</t>
        </is>
      </c>
      <c r="G497" t="n">
        <v>231</v>
      </c>
      <c r="H497" t="n">
        <v>7722735.910000001</v>
      </c>
      <c r="I497" t="b">
        <v>0</v>
      </c>
      <c r="J497" t="b">
        <v>0</v>
      </c>
      <c r="K497" t="n">
        <v>0.07240103944175827</v>
      </c>
      <c r="L497" t="n">
        <v>0.0002845869259227924</v>
      </c>
      <c r="M497" t="n">
        <v>0.009498145864936247</v>
      </c>
      <c r="N497" t="n">
        <v>0.8987581241875812</v>
      </c>
      <c r="O497" t="n">
        <v>-559134.107218193</v>
      </c>
      <c r="P497" t="n">
        <v>-73351.67214956111</v>
      </c>
      <c r="Q497">
        <f>'_live'!$C$23</f>
        <v/>
      </c>
      <c r="R497" t="inlineStr">
        <is>
          <t>shuffled: 0 of 10,000</t>
        </is>
      </c>
      <c r="S497" t="inlineStr">
        <is>
          <t>shuffled: 6,241 of 10,000</t>
        </is>
      </c>
      <c r="T497" t="n">
        <v>0.1258234379766336</v>
      </c>
      <c r="U497" t="n">
        <v>0.1887263315534557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0.1982244774183919</v>
      </c>
      <c r="AI497">
        <f>IF($Y497="worse","Yes",IF($Y497="worse, not significant","Not sure",IF(OR($Y497="too few losses to test",$Y497="too few loans to test"),"Too few losses",IF($Y497="","","No"))))</f>
        <v/>
      </c>
      <c r="AJ497">
        <f>IF($AA497="yes","Yes",IF($AA497="","","No"))</f>
        <v/>
      </c>
      <c r="AK497" t="n">
        <v>0.0002845869259227924</v>
      </c>
      <c r="AL497" t="n">
        <v>0.00697456473937218</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FICO x CHANNEL / SYS_FLAG</t>
        </is>
      </c>
      <c r="C498" t="inlineStr">
        <is>
          <t>496 - 653</t>
        </is>
      </c>
      <c r="D498" t="inlineStr">
        <is>
          <t>Branch / SYS_FLAG Y</t>
        </is>
      </c>
      <c r="E498" t="inlineStr">
        <is>
          <t>contribution_rate</t>
        </is>
      </c>
      <c r="F498" t="inlineStr">
        <is>
          <t>Contribution before losses per booked dollar</t>
        </is>
      </c>
      <c r="G498" t="n">
        <v>231</v>
      </c>
      <c r="H498" t="n">
        <v>7722735.910000001</v>
      </c>
      <c r="I498" t="b">
        <v>0</v>
      </c>
      <c r="J498" t="b">
        <v>0</v>
      </c>
      <c r="K498" t="n">
        <v>0.09722101489616169</v>
      </c>
      <c r="L498" t="n">
        <v>0.000184981501849815</v>
      </c>
      <c r="M498" t="n">
        <v>-0.01146542004671558</v>
      </c>
      <c r="N498" t="n">
        <v>0.5160983901609839</v>
      </c>
      <c r="O498" t="n">
        <v>-750812.2229452329</v>
      </c>
      <c r="P498" t="n">
        <v>88544.41111800447</v>
      </c>
      <c r="Q498">
        <f>'_live'!$C$24</f>
        <v/>
      </c>
      <c r="R498" t="inlineStr">
        <is>
          <t>shuffled: 0 of 10,000</t>
        </is>
      </c>
      <c r="S498" t="inlineStr">
        <is>
          <t>shuffled: 3,154 of 10,000</t>
        </is>
      </c>
      <c r="T498" t="n">
        <v>0.1666826552216993</v>
      </c>
      <c r="U498" t="n">
        <v>0.2753690901645766</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0.263903670117861</v>
      </c>
      <c r="AI498">
        <f>IF($Y498="worse","Yes",IF($Y498="worse, not significant","Not sure",IF(OR($Y498="too few losses to test",$Y498="too few loans to test"),"Too few losses",IF($Y498="","","No"))))</f>
        <v/>
      </c>
      <c r="AJ498">
        <f>IF($AA498="yes","Yes",IF($AA498="","","No"))</f>
        <v/>
      </c>
      <c r="AK498" t="n">
        <v>0.000184981501849815</v>
      </c>
      <c r="AL498" t="n">
        <v>0.007125938793693898</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FICO x CHANNEL / SYS_FLAG</t>
        </is>
      </c>
      <c r="C499" t="inlineStr">
        <is>
          <t>686 - 711</t>
        </is>
      </c>
      <c r="D499" t="inlineStr">
        <is>
          <t>Online / SYS_FLAG N</t>
        </is>
      </c>
      <c r="E499" t="inlineStr">
        <is>
          <t>outcome_loans</t>
        </is>
      </c>
      <c r="F499" t="inlineStr">
        <is>
          <t>Outcome, share of loans</t>
        </is>
      </c>
      <c r="G499" t="n">
        <v>297</v>
      </c>
      <c r="H499" t="n">
        <v>297</v>
      </c>
      <c r="I499" t="b">
        <v>0</v>
      </c>
      <c r="J499" t="b">
        <v>0</v>
      </c>
      <c r="K499" t="n">
        <v>0.6880971126410595</v>
      </c>
      <c r="L499" t="n">
        <v>0.2037254218873222</v>
      </c>
      <c r="M499" t="n">
        <v>0.8518518518518519</v>
      </c>
      <c r="N499" t="n">
        <v>0.6814717621540317</v>
      </c>
      <c r="O499" t="n">
        <v>-7.2525318099195</v>
      </c>
      <c r="P499" t="n">
        <v>-2.782608695652172</v>
      </c>
      <c r="Q499">
        <f>'_live'!$C$20</f>
        <v/>
      </c>
      <c r="R499" t="inlineStr">
        <is>
          <t>z test</t>
        </is>
      </c>
      <c r="S499" t="inlineStr">
        <is>
          <t>z test</t>
        </is>
      </c>
      <c r="T499" t="n">
        <v>0.07829135289535186</v>
      </c>
      <c r="U499" t="n">
        <v>0.06324110671936758</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0.05387205387205387</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FICO x CHANNEL / SYS_FLAG</t>
        </is>
      </c>
      <c r="C500" t="inlineStr">
        <is>
          <t>686 - 711</t>
        </is>
      </c>
      <c r="D500" t="inlineStr">
        <is>
          <t>Online / SYS_FLAG N</t>
        </is>
      </c>
      <c r="E500" t="inlineStr">
        <is>
          <t>outcome_booked</t>
        </is>
      </c>
      <c r="F500" t="inlineStr">
        <is>
          <t>Outcome, share of booked dollars</t>
        </is>
      </c>
      <c r="G500" t="n">
        <v>297</v>
      </c>
      <c r="H500" t="n">
        <v>9118030.480000006</v>
      </c>
      <c r="I500" t="b">
        <v>0</v>
      </c>
      <c r="J500" t="b">
        <v>0</v>
      </c>
      <c r="K500" t="n">
        <v>0.6046654011630104</v>
      </c>
      <c r="L500" t="n">
        <v>0.1678403588212607</v>
      </c>
      <c r="M500" t="n">
        <v>0.7744643672214482</v>
      </c>
      <c r="N500" t="n">
        <v>0.5509975318257648</v>
      </c>
      <c r="O500" t="n">
        <v>-273555.1334002261</v>
      </c>
      <c r="P500" t="n">
        <v>-121845.3302026351</v>
      </c>
      <c r="Q500">
        <f>'_live'!$C$21</f>
        <v/>
      </c>
      <c r="R500" t="inlineStr">
        <is>
          <t>shuffled: 814 of 10,000</t>
        </is>
      </c>
      <c r="S500" t="inlineStr">
        <is>
          <t>shuffled: 4,126 of 10,000</t>
        </is>
      </c>
      <c r="T500" t="n">
        <v>0.07588903052232675</v>
      </c>
      <c r="U500" t="n">
        <v>0.05925059050719852</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0.04588747108465464</v>
      </c>
      <c r="AI500">
        <f>IF($Y500="worse","Yes",IF($Y500="worse, not significant","Not sure",IF(OR($Y500="too few losses to test",$Y500="too few loans to test"),"Too few losses",IF($Y500="","","No"))))</f>
        <v/>
      </c>
      <c r="AJ500">
        <f>IF($AA500="yes","Yes",IF($AA500="","","No"))</f>
        <v/>
      </c>
      <c r="AK500" t="n">
        <v>0.005210993575291449</v>
      </c>
      <c r="AL500" t="n">
        <v>0.006491521180156753</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FICO x CHANNEL / SYS_FLAG</t>
        </is>
      </c>
      <c r="C501" t="inlineStr">
        <is>
          <t>686 - 711</t>
        </is>
      </c>
      <c r="D501" t="inlineStr">
        <is>
          <t>Online / SYS_FLAG N</t>
        </is>
      </c>
      <c r="E501" t="inlineStr">
        <is>
          <t>gco_rate</t>
        </is>
      </c>
      <c r="F501" t="inlineStr">
        <is>
          <t>GCO per booked dollar</t>
        </is>
      </c>
      <c r="G501" t="n">
        <v>297</v>
      </c>
      <c r="H501" t="n">
        <v>9118030.480000006</v>
      </c>
      <c r="I501" t="b">
        <v>0</v>
      </c>
      <c r="J501" t="b">
        <v>0</v>
      </c>
      <c r="K501" t="n">
        <v>0.5585528643288379</v>
      </c>
      <c r="L501" t="n">
        <v>0.1134501934421942</v>
      </c>
      <c r="M501" t="n">
        <v>0.7102847333355953</v>
      </c>
      <c r="N501" t="n">
        <v>0.4796395360463954</v>
      </c>
      <c r="O501" t="n">
        <v>-170120.3346218895</v>
      </c>
      <c r="P501" t="n">
        <v>-87797.20880023498</v>
      </c>
      <c r="Q501">
        <f>'_live'!$C$22</f>
        <v/>
      </c>
      <c r="R501" t="inlineStr">
        <is>
          <t>shuffled: 589 of 10,000</t>
        </is>
      </c>
      <c r="S501" t="inlineStr">
        <is>
          <t>shuffled: 3,069 of 10,000</t>
        </is>
      </c>
      <c r="T501" t="n">
        <v>0.04226457297627823</v>
      </c>
      <c r="U501" t="n">
        <v>0.03323596465979731</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0.0236069982955354</v>
      </c>
      <c r="AI501">
        <f>IF($Y501="worse","Yes",IF($Y501="worse, not significant","Not sure",IF(OR($Y501="too few losses to test",$Y501="too few loans to test"),"Too few losses",IF($Y501="","","No"))))</f>
        <v/>
      </c>
      <c r="AJ501">
        <f>IF($AA501="yes","Yes",IF($AA501="","","No"))</f>
        <v/>
      </c>
      <c r="AK501" t="n">
        <v>0.004531031919278713</v>
      </c>
      <c r="AL501" t="n">
        <v>0.007206821008833863</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FICO x CHANNEL / SYS_FLAG</t>
        </is>
      </c>
      <c r="C502" t="inlineStr">
        <is>
          <t>686 - 711</t>
        </is>
      </c>
      <c r="D502" t="inlineStr">
        <is>
          <t>Online / SYS_FLAG N</t>
        </is>
      </c>
      <c r="E502" t="inlineStr">
        <is>
          <t>ranr_rate</t>
        </is>
      </c>
      <c r="F502" t="inlineStr">
        <is>
          <t>Profit after losses: RANR per booked dollar</t>
        </is>
      </c>
      <c r="G502" t="n">
        <v>297</v>
      </c>
      <c r="H502" t="n">
        <v>9118030.480000006</v>
      </c>
      <c r="I502" t="b">
        <v>0</v>
      </c>
      <c r="J502" t="b">
        <v>0</v>
      </c>
      <c r="K502" t="n">
        <v>0.06935847894919175</v>
      </c>
      <c r="L502" t="n">
        <v>0.0002845869259227924</v>
      </c>
      <c r="M502" t="n">
        <v>0.06450921168920576</v>
      </c>
      <c r="N502" t="n">
        <v>0.0017998200179982</v>
      </c>
      <c r="O502" t="n">
        <v>-632412.7251051692</v>
      </c>
      <c r="P502" t="n">
        <v>-588196.9584229509</v>
      </c>
      <c r="Q502">
        <f>'_live'!$C$23</f>
        <v/>
      </c>
      <c r="R502" t="inlineStr">
        <is>
          <t>shuffled: 0 of 10,000</t>
        </is>
      </c>
      <c r="S502" t="inlineStr">
        <is>
          <t>shuffled: 0 of 10,000</t>
        </is>
      </c>
      <c r="T502" t="n">
        <v>0.1255394876564211</v>
      </c>
      <c r="U502" t="n">
        <v>0.1303887549164071</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0.1948979666056128</v>
      </c>
      <c r="AI502">
        <f>IF($Y502="worse","Yes",IF($Y502="worse, not significant","Not sure",IF(OR($Y502="too few losses to test",$Y502="too few loans to test"),"Too few losses",IF($Y502="","","No"))))</f>
        <v/>
      </c>
      <c r="AJ502">
        <f>IF($AA502="yes","Yes",IF($AA502="","","No"))</f>
        <v/>
      </c>
      <c r="AK502" t="n">
        <v>0.0002845869259227924</v>
      </c>
      <c r="AL502" t="n">
        <v>0.0017998200179982</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FICO x CHANNEL / SYS_FLAG</t>
        </is>
      </c>
      <c r="C503" t="inlineStr">
        <is>
          <t>686 - 711</t>
        </is>
      </c>
      <c r="D503" t="inlineStr">
        <is>
          <t>Online / SYS_FLAG N</t>
        </is>
      </c>
      <c r="E503" t="inlineStr">
        <is>
          <t>contribution_rate</t>
        </is>
      </c>
      <c r="F503" t="inlineStr">
        <is>
          <t>Contribution before losses per booked dollar</t>
        </is>
      </c>
      <c r="G503" t="n">
        <v>297</v>
      </c>
      <c r="H503" t="n">
        <v>9118030.480000006</v>
      </c>
      <c r="I503" t="b">
        <v>0</v>
      </c>
      <c r="J503" t="b">
        <v>0</v>
      </c>
      <c r="K503" t="n">
        <v>0.0507042589530225</v>
      </c>
      <c r="L503" t="n">
        <v>0.000184981501849815</v>
      </c>
      <c r="M503" t="n">
        <v>0.05488024532494373</v>
      </c>
      <c r="N503" t="n">
        <v>0.0005999400059994001</v>
      </c>
      <c r="O503" t="n">
        <v>-462322.9785994724</v>
      </c>
      <c r="P503" t="n">
        <v>-500399.7496227147</v>
      </c>
      <c r="Q503">
        <f>'_live'!$C$24</f>
        <v/>
      </c>
      <c r="R503" t="inlineStr">
        <is>
          <t>shuffled: 0 of 10,000</t>
        </is>
      </c>
      <c r="S503" t="inlineStr">
        <is>
          <t>shuffled: 0 of 10,000</t>
        </is>
      </c>
      <c r="T503" t="n">
        <v>0.1678007059481257</v>
      </c>
      <c r="U503" t="n">
        <v>0.1636247195762044</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0.2185049649011482</v>
      </c>
      <c r="AI503">
        <f>IF($Y503="worse","Yes",IF($Y503="worse, not significant","Not sure",IF(OR($Y503="too few losses to test",$Y503="too few loans to test"),"Too few losses",IF($Y503="","","No"))))</f>
        <v/>
      </c>
      <c r="AJ503">
        <f>IF($AA503="yes","Yes",IF($AA503="","","No"))</f>
        <v/>
      </c>
      <c r="AK503" t="n">
        <v>0.000184981501849815</v>
      </c>
      <c r="AL503" t="n">
        <v>0.0005999400059994001</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FICO x CHANNEL / SYS_FLAG</t>
        </is>
      </c>
      <c r="C504" t="inlineStr">
        <is>
          <t>712 - 745</t>
        </is>
      </c>
      <c r="D504" t="inlineStr">
        <is>
          <t>Broker / SYS_FLAG N</t>
        </is>
      </c>
      <c r="E504" t="inlineStr">
        <is>
          <t>outcome_loans</t>
        </is>
      </c>
      <c r="F504" t="inlineStr">
        <is>
          <t>Outcome, share of loans</t>
        </is>
      </c>
      <c r="G504" t="n">
        <v>291</v>
      </c>
      <c r="H504" t="n">
        <v>291</v>
      </c>
      <c r="I504" t="b">
        <v>1</v>
      </c>
      <c r="J504" t="b">
        <v>0</v>
      </c>
      <c r="K504" t="n">
        <v>0.3908061517660977</v>
      </c>
      <c r="M504" t="n">
        <v>0.5233941316415543</v>
      </c>
      <c r="O504" t="n">
        <v>-14.02932018681889</v>
      </c>
      <c r="P504" t="n">
        <v>-8.195454545454545</v>
      </c>
      <c r="Q504">
        <f>'_live'!$C$20</f>
        <v/>
      </c>
      <c r="T504" t="n">
        <v>0.07913855734302024</v>
      </c>
      <c r="U504" t="n">
        <v>0.05909090909090909</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0.03092783505154639</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FICO x CHANNEL / SYS_FLAG</t>
        </is>
      </c>
      <c r="C505" t="inlineStr">
        <is>
          <t>712 - 745</t>
        </is>
      </c>
      <c r="D505" t="inlineStr">
        <is>
          <t>Broker / SYS_FLAG N</t>
        </is>
      </c>
      <c r="E505" t="inlineStr">
        <is>
          <t>outcome_booked</t>
        </is>
      </c>
      <c r="F505" t="inlineStr">
        <is>
          <t>Outcome, share of booked dollars</t>
        </is>
      </c>
      <c r="G505" t="n">
        <v>291</v>
      </c>
      <c r="H505" t="n">
        <v>9193841.93</v>
      </c>
      <c r="I505" t="b">
        <v>1</v>
      </c>
      <c r="J505" t="b">
        <v>0</v>
      </c>
      <c r="K505" t="n">
        <v>0.441214981469932</v>
      </c>
      <c r="M505" t="n">
        <v>0.5701203815407044</v>
      </c>
      <c r="O505" t="n">
        <v>-392233.7533583454</v>
      </c>
      <c r="P505" t="n">
        <v>-233523.5844095501</v>
      </c>
      <c r="Q505">
        <f>'_live'!$C$21</f>
        <v/>
      </c>
      <c r="T505" t="n">
        <v>0.07634896909287468</v>
      </c>
      <c r="U505" t="n">
        <v>0.05908630891694589</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0.03368630898356112</v>
      </c>
      <c r="AI505">
        <f>IF($Y505="worse","Yes",IF($Y505="worse, not significant","Not sure",IF(OR($Y505="too few losses to test",$Y505="too few loans to test"),"Too few losses",IF($Y505="","","No"))))</f>
        <v/>
      </c>
      <c r="AJ505">
        <f>IF($AA505="yes","Yes",IF($AA505="","","No"))</f>
        <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FICO x CHANNEL / SYS_FLAG</t>
        </is>
      </c>
      <c r="C506" t="inlineStr">
        <is>
          <t>712 - 745</t>
        </is>
      </c>
      <c r="D506" t="inlineStr">
        <is>
          <t>Broker / SYS_FLAG N</t>
        </is>
      </c>
      <c r="E506" t="inlineStr">
        <is>
          <t>gco_rate</t>
        </is>
      </c>
      <c r="F506" t="inlineStr">
        <is>
          <t>GCO per booked dollar</t>
        </is>
      </c>
      <c r="G506" t="n">
        <v>291</v>
      </c>
      <c r="H506" t="n">
        <v>9193841.93</v>
      </c>
      <c r="I506" t="b">
        <v>1</v>
      </c>
      <c r="J506" t="b">
        <v>0</v>
      </c>
      <c r="K506" t="n">
        <v>0.5194766797401259</v>
      </c>
      <c r="M506" t="n">
        <v>0.6854461388308557</v>
      </c>
      <c r="O506" t="n">
        <v>-187007.9158409995</v>
      </c>
      <c r="P506" t="n">
        <v>-92775.49135706807</v>
      </c>
      <c r="Q506">
        <f>'_live'!$C$22</f>
        <v/>
      </c>
      <c r="T506" t="n">
        <v>0.04233002142130581</v>
      </c>
      <c r="U506" t="n">
        <v>0.03208050601725627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0.02198945898126834</v>
      </c>
      <c r="AI506">
        <f>IF($Y506="worse","Yes",IF($Y506="worse, not significant","Not sure",IF(OR($Y506="too few losses to test",$Y506="too few loans to test"),"Too few losses",IF($Y506="","","No"))))</f>
        <v/>
      </c>
      <c r="AJ506">
        <f>IF($AA506="yes","Yes",IF($AA506="","","No"))</f>
        <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FICO x CHANNEL / SYS_FLAG</t>
        </is>
      </c>
      <c r="C507" t="inlineStr">
        <is>
          <t>712 - 745</t>
        </is>
      </c>
      <c r="D507" t="inlineStr">
        <is>
          <t>Broker / SYS_FLAG N</t>
        </is>
      </c>
      <c r="E507" t="inlineStr">
        <is>
          <t>ranr_rate</t>
        </is>
      </c>
      <c r="F507" t="inlineStr">
        <is>
          <t>Profit after losses: RANR per booked dollar</t>
        </is>
      </c>
      <c r="G507" t="n">
        <v>291</v>
      </c>
      <c r="H507" t="n">
        <v>9193841.93</v>
      </c>
      <c r="I507" t="b">
        <v>0</v>
      </c>
      <c r="J507" t="b">
        <v>0</v>
      </c>
      <c r="K507" t="n">
        <v>-0.04207500979054038</v>
      </c>
      <c r="L507" t="n">
        <v>0.00271306202713062</v>
      </c>
      <c r="M507" t="n">
        <v>-0.01043164540829329</v>
      </c>
      <c r="N507" t="n">
        <v>0.6081677546531061</v>
      </c>
      <c r="O507" t="n">
        <v>386830.9892174307</v>
      </c>
      <c r="P507" t="n">
        <v>95906.89895365876</v>
      </c>
      <c r="Q507">
        <f>'_live'!$C$23</f>
        <v/>
      </c>
      <c r="R507" t="inlineStr">
        <is>
          <t>shuffled: 10 of 10,000</t>
        </is>
      </c>
      <c r="S507" t="inlineStr">
        <is>
          <t>shuffled: 3,308 of 10,000</t>
        </is>
      </c>
      <c r="T507" t="n">
        <v>0.1294889969048478</v>
      </c>
      <c r="U507" t="n">
        <v>0.09784563252260074</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0.08741398711430745</v>
      </c>
      <c r="AI507">
        <f>IF($Y507="worse","Yes",IF($Y507="worse, not significant","Not sure",IF(OR($Y507="too few losses to test",$Y507="too few loans to test"),"Too few losses",IF($Y507="","","No"))))</f>
        <v/>
      </c>
      <c r="AJ507">
        <f>IF($AA507="yes","Yes",IF($AA507="","","No"))</f>
        <v/>
      </c>
      <c r="AK507" t="n">
        <v>0.0008176098679296343</v>
      </c>
      <c r="AL507" t="n">
        <v>0.008201861227131549</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FICO x CHANNEL / SYS_FLAG</t>
        </is>
      </c>
      <c r="C508" t="inlineStr">
        <is>
          <t>712 - 745</t>
        </is>
      </c>
      <c r="D508" t="inlineStr">
        <is>
          <t>Broker / SYS_FLAG N</t>
        </is>
      </c>
      <c r="E508" t="inlineStr">
        <is>
          <t>contribution_rate</t>
        </is>
      </c>
      <c r="F508" t="inlineStr">
        <is>
          <t>Contribution before losses per booked dollar</t>
        </is>
      </c>
      <c r="G508" t="n">
        <v>291</v>
      </c>
      <c r="H508" t="n">
        <v>9193841.93</v>
      </c>
      <c r="I508" t="b">
        <v>0</v>
      </c>
      <c r="J508" t="b">
        <v>0</v>
      </c>
      <c r="K508" t="n">
        <v>-0.06241284639544382</v>
      </c>
      <c r="L508" t="n">
        <v>0.000184981501849815</v>
      </c>
      <c r="M508" t="n">
        <v>-0.02047651097372809</v>
      </c>
      <c r="N508" t="n">
        <v>0.001028468581713257</v>
      </c>
      <c r="O508" t="n">
        <v>573813.8441610809</v>
      </c>
      <c r="P508" t="n">
        <v>188257.8051703663</v>
      </c>
      <c r="Q508">
        <f>'_live'!$C$24</f>
        <v/>
      </c>
      <c r="R508" t="inlineStr">
        <is>
          <t>shuffled: 0 of 10,000</t>
        </is>
      </c>
      <c r="S508" t="inlineStr">
        <is>
          <t>shuffled: 1 of 10,000</t>
        </is>
      </c>
      <c r="T508" t="n">
        <v>0.1718162924910196</v>
      </c>
      <c r="U508" t="n">
        <v>0.1298799570693039</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0.1094034460955758</v>
      </c>
      <c r="AI508">
        <f>IF($Y508="worse","Yes",IF($Y508="worse, not significant","Not sure",IF(OR($Y508="too few losses to test",$Y508="too few loans to test"),"Too few losses",IF($Y508="","","No"))))</f>
        <v/>
      </c>
      <c r="AJ508">
        <f>IF($AA508="yes","Yes",IF($AA508="","","No"))</f>
        <v/>
      </c>
      <c r="AK508" t="n">
        <v>0.000184981501849815</v>
      </c>
      <c r="AL508" t="n">
        <v>0.0007272007456022449</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FICO x CHANNEL / SYS_FLAG</t>
        </is>
      </c>
      <c r="C509" t="inlineStr">
        <is>
          <t>712 - 745</t>
        </is>
      </c>
      <c r="D509" t="inlineStr">
        <is>
          <t>Online / SYS_FLAG Y</t>
        </is>
      </c>
      <c r="E509" t="inlineStr">
        <is>
          <t>outcome_loans</t>
        </is>
      </c>
      <c r="F509" t="inlineStr">
        <is>
          <t>Outcome, share of loans</t>
        </is>
      </c>
      <c r="G509" t="n">
        <v>278</v>
      </c>
      <c r="H509" t="n">
        <v>278</v>
      </c>
      <c r="I509" t="b">
        <v>0</v>
      </c>
      <c r="J509" t="b">
        <v>0</v>
      </c>
      <c r="K509" t="n">
        <v>1.56403000466521</v>
      </c>
      <c r="L509" t="n">
        <v>0.03616756182014194</v>
      </c>
      <c r="M509" t="n">
        <v>2.930255795363709</v>
      </c>
      <c r="N509" t="n">
        <v>1.932379786291976e-06</v>
      </c>
      <c r="O509" t="n">
        <v>11.90066053619998</v>
      </c>
      <c r="P509" t="n">
        <v>21.73818454613654</v>
      </c>
      <c r="Q509">
        <f>'_live'!$C$20</f>
        <v/>
      </c>
      <c r="R509" t="inlineStr">
        <is>
          <t>z test</t>
        </is>
      </c>
      <c r="S509" t="inlineStr">
        <is>
          <t>z test</t>
        </is>
      </c>
      <c r="T509" t="n">
        <v>0.07589690454604325</v>
      </c>
      <c r="U509" t="n">
        <v>0.04051012753188297</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0.118705035971223</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FICO x CHANNEL / SYS_FLAG</t>
        </is>
      </c>
      <c r="C510" t="inlineStr">
        <is>
          <t>712 - 745</t>
        </is>
      </c>
      <c r="D510" t="inlineStr">
        <is>
          <t>Online / SYS_FLAG Y</t>
        </is>
      </c>
      <c r="E510" t="inlineStr">
        <is>
          <t>outcome_booked</t>
        </is>
      </c>
      <c r="F510" t="inlineStr">
        <is>
          <t>Outcome, share of booked dollars</t>
        </is>
      </c>
      <c r="G510" t="n">
        <v>278</v>
      </c>
      <c r="H510" t="n">
        <v>9308697.990000006</v>
      </c>
      <c r="I510" t="b">
        <v>0</v>
      </c>
      <c r="J510" t="b">
        <v>0</v>
      </c>
      <c r="K510" t="n">
        <v>1.503188555011066</v>
      </c>
      <c r="L510" t="n">
        <v>0.08453700084537001</v>
      </c>
      <c r="M510" t="n">
        <v>2.626839704292058</v>
      </c>
      <c r="N510" t="n">
        <v>0.001666500016665</v>
      </c>
      <c r="O510" t="n">
        <v>344251.5090681211</v>
      </c>
      <c r="P510" t="n">
        <v>636897.8016140107</v>
      </c>
      <c r="Q510">
        <f>'_live'!$C$21</f>
        <v/>
      </c>
      <c r="R510" t="inlineStr">
        <is>
          <t>shuffled: 371 of 10,000</t>
        </is>
      </c>
      <c r="S510" t="inlineStr">
        <is>
          <t>shuffled: 1 of 10,000</t>
        </is>
      </c>
      <c r="T510" t="n">
        <v>0.07349472307156443</v>
      </c>
      <c r="U510" t="n">
        <v>0.04205678267858263</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0.1104764265748834</v>
      </c>
      <c r="AI510">
        <f>IF($Y510="worse","Yes",IF($Y510="worse, not significant","Not sure",IF(OR($Y510="too few losses to test",$Y510="too few loans to test"),"Too few losses",IF($Y510="","","No"))))</f>
        <v/>
      </c>
      <c r="AJ510">
        <f>IF($AA510="yes","Yes",IF($AA510="","","No"))</f>
        <v/>
      </c>
      <c r="AK510" t="n">
        <v>0.004300965506301008</v>
      </c>
      <c r="AL510" t="n">
        <v>0.001178334541485119</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FICO x CHANNEL / SYS_FLAG</t>
        </is>
      </c>
      <c r="C511" t="inlineStr">
        <is>
          <t>712 - 745</t>
        </is>
      </c>
      <c r="D511" t="inlineStr">
        <is>
          <t>Online / SYS_FLAG Y</t>
        </is>
      </c>
      <c r="E511" t="inlineStr">
        <is>
          <t>gco_rate</t>
        </is>
      </c>
      <c r="F511" t="inlineStr">
        <is>
          <t>GCO per booked dollar</t>
        </is>
      </c>
      <c r="G511" t="n">
        <v>278</v>
      </c>
      <c r="H511" t="n">
        <v>9308697.990000006</v>
      </c>
      <c r="I511" t="b">
        <v>0</v>
      </c>
      <c r="J511" t="b">
        <v>0</v>
      </c>
      <c r="K511" t="n">
        <v>1.488115560995338</v>
      </c>
      <c r="L511" t="n">
        <v>0.1118638136186381</v>
      </c>
      <c r="M511" t="n">
        <v>2.594710023167195</v>
      </c>
      <c r="N511" t="n">
        <v>0.0024997500249975</v>
      </c>
      <c r="O511" t="n">
        <v>185771.3760986968</v>
      </c>
      <c r="P511" t="n">
        <v>348085.3116802338</v>
      </c>
      <c r="Q511">
        <f>'_live'!$C$22</f>
        <v/>
      </c>
      <c r="R511" t="inlineStr">
        <is>
          <t>shuffled: 536 of 10,000</t>
        </is>
      </c>
      <c r="S511" t="inlineStr">
        <is>
          <t>shuffled: 3 of 10,000</t>
        </is>
      </c>
      <c r="T511" t="n">
        <v>0.04088530150082816</v>
      </c>
      <c r="U511" t="n">
        <v>0.02344849822759865</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0.06084205337936844</v>
      </c>
      <c r="AI511">
        <f>IF($Y511="worse","Yes",IF($Y511="worse, not significant","Not sure",IF(OR($Y511="too few losses to test",$Y511="too few loans to test"),"Too few losses",IF($Y511="","","No"))))</f>
        <v/>
      </c>
      <c r="AJ511">
        <f>IF($AA511="yes","Yes",IF($AA511="","","No"))</f>
        <v/>
      </c>
      <c r="AK511" t="n">
        <v>0.00469612711612655</v>
      </c>
      <c r="AL511" t="n">
        <v>0.001249687517183672</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FICO x CHANNEL / SYS_FLAG</t>
        </is>
      </c>
      <c r="C512" t="inlineStr">
        <is>
          <t>712 - 745</t>
        </is>
      </c>
      <c r="D512" t="inlineStr">
        <is>
          <t>Online / SYS_FLAG Y</t>
        </is>
      </c>
      <c r="E512" t="inlineStr">
        <is>
          <t>ranr_rate</t>
        </is>
      </c>
      <c r="F512" t="inlineStr">
        <is>
          <t>Profit after losses: RANR per booked dollar</t>
        </is>
      </c>
      <c r="G512" t="n">
        <v>278</v>
      </c>
      <c r="H512" t="n">
        <v>9308697.990000006</v>
      </c>
      <c r="I512" t="b">
        <v>0</v>
      </c>
      <c r="J512" t="b">
        <v>0</v>
      </c>
      <c r="K512" t="n">
        <v>-0.03564261722691409</v>
      </c>
      <c r="L512" t="n">
        <v>0.008838005088380051</v>
      </c>
      <c r="M512" t="n">
        <v>-0.002856364959616192</v>
      </c>
      <c r="N512" t="n">
        <v>0.9530046995300471</v>
      </c>
      <c r="O512" t="n">
        <v>331786.3593385146</v>
      </c>
      <c r="P512" t="n">
        <v>26589.03875828569</v>
      </c>
      <c r="Q512">
        <f>'_live'!$C$23</f>
        <v/>
      </c>
      <c r="R512" t="inlineStr">
        <is>
          <t>shuffled: 42 of 10,000</t>
        </is>
      </c>
      <c r="S512" t="inlineStr">
        <is>
          <t>shuffled: 7,885 of 10,000</t>
        </is>
      </c>
      <c r="T512" t="n">
        <v>0.1292757022121967</v>
      </c>
      <c r="U512" t="n">
        <v>0.09648944994489883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0.09363308498528264</v>
      </c>
      <c r="AI512">
        <f>IF($Y512="worse","Yes",IF($Y512="worse, not significant","Not sure",IF(OR($Y512="too few losses to test",$Y512="too few loans to test"),"Too few losses",IF($Y512="","","No"))))</f>
        <v/>
      </c>
      <c r="AJ512">
        <f>IF($AA512="yes","Yes",IF($AA512="","","No"))</f>
        <v/>
      </c>
      <c r="AK512" t="n">
        <v>0.00134494981785588</v>
      </c>
      <c r="AL512" t="n">
        <v>0.004048608769008777</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FICO x CHANNEL / SYS_FLAG</t>
        </is>
      </c>
      <c r="C513" t="inlineStr">
        <is>
          <t>712 - 745</t>
        </is>
      </c>
      <c r="D513" t="inlineStr">
        <is>
          <t>Online / SYS_FLAG Y</t>
        </is>
      </c>
      <c r="E513" t="inlineStr">
        <is>
          <t>contribution_rate</t>
        </is>
      </c>
      <c r="F513" t="inlineStr">
        <is>
          <t>Contribution before losses per booked dollar</t>
        </is>
      </c>
      <c r="G513" t="n">
        <v>278</v>
      </c>
      <c r="H513" t="n">
        <v>9308697.990000006</v>
      </c>
      <c r="I513" t="b">
        <v>0</v>
      </c>
      <c r="J513" t="b">
        <v>0</v>
      </c>
      <c r="K513" t="n">
        <v>-0.01568310422233152</v>
      </c>
      <c r="L513" t="n">
        <v>0.06825179551010417</v>
      </c>
      <c r="M513" t="n">
        <v>0.03458478731759204</v>
      </c>
      <c r="N513" t="n">
        <v>0.0005999400059994001</v>
      </c>
      <c r="O513" t="n">
        <v>145989.280751378</v>
      </c>
      <c r="P513" t="n">
        <v>-321939.3401878467</v>
      </c>
      <c r="Q513">
        <f>'_live'!$C$24</f>
        <v/>
      </c>
      <c r="R513" t="inlineStr">
        <is>
          <t>shuffled: 534 of 10,000</t>
        </is>
      </c>
      <c r="S513" t="inlineStr">
        <is>
          <t>shuffled: 0 of 10,000</t>
        </is>
      </c>
      <c r="T513" t="n">
        <v>0.1701582425869825</v>
      </c>
      <c r="U513" t="n">
        <v>0.1198903510470589</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0.154475138364651</v>
      </c>
      <c r="AI513">
        <f>IF($Y513="worse","Yes",IF($Y513="worse, not significant","Not sure",IF(OR($Y513="too few losses to test",$Y513="too few loans to test"),"Too few losses",IF($Y513="","","No"))))</f>
        <v/>
      </c>
      <c r="AJ513">
        <f>IF($AA513="yes","Yes",IF($AA513="","","No"))</f>
        <v/>
      </c>
      <c r="AK513" t="n">
        <v>0.002870915697818029</v>
      </c>
      <c r="AL513" t="n">
        <v>0.0005999400059994001</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FICO x CHANNEL / SYS_FLAG</t>
        </is>
      </c>
      <c r="C514" t="inlineStr">
        <is>
          <t>686 - 711</t>
        </is>
      </c>
      <c r="D514" t="inlineStr">
        <is>
          <t>Broker / SYS_FLAG N</t>
        </is>
      </c>
      <c r="E514" t="inlineStr">
        <is>
          <t>outcome_loans</t>
        </is>
      </c>
      <c r="F514" t="inlineStr">
        <is>
          <t>Outcome, share of loans</t>
        </is>
      </c>
      <c r="G514" t="n">
        <v>271</v>
      </c>
      <c r="H514" t="n">
        <v>271</v>
      </c>
      <c r="I514" t="b">
        <v>0</v>
      </c>
      <c r="J514" t="b">
        <v>0</v>
      </c>
      <c r="K514" t="n">
        <v>0.5159254224121188</v>
      </c>
      <c r="L514" t="n">
        <v>0.06592254173533381</v>
      </c>
      <c r="M514" t="n">
        <v>0.6164966355545908</v>
      </c>
      <c r="N514" t="n">
        <v>0.240873309601302</v>
      </c>
      <c r="O514" t="n">
        <v>-10.32091097308489</v>
      </c>
      <c r="P514" t="n">
        <v>-6.84275755228505</v>
      </c>
      <c r="Q514">
        <f>'_live'!$C$20</f>
        <v/>
      </c>
      <c r="R514" t="inlineStr">
        <is>
          <t>z test</t>
        </is>
      </c>
      <c r="S514" t="inlineStr">
        <is>
          <t>z test</t>
        </is>
      </c>
      <c r="T514" t="n">
        <v>0.07867494824016563</v>
      </c>
      <c r="U514" t="n">
        <v>0.06584043377226956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0.04059040590405904</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FICO x CHANNEL / SYS_FLAG</t>
        </is>
      </c>
      <c r="C515" t="inlineStr">
        <is>
          <t>686 - 711</t>
        </is>
      </c>
      <c r="D515" t="inlineStr">
        <is>
          <t>Broker / SYS_FLAG N</t>
        </is>
      </c>
      <c r="E515" t="inlineStr">
        <is>
          <t>outcome_booked</t>
        </is>
      </c>
      <c r="F515" t="inlineStr">
        <is>
          <t>Outcome, share of booked dollars</t>
        </is>
      </c>
      <c r="G515" t="n">
        <v>271</v>
      </c>
      <c r="H515" t="n">
        <v>8724079.030000001</v>
      </c>
      <c r="I515" t="b">
        <v>0</v>
      </c>
      <c r="J515" t="b">
        <v>0</v>
      </c>
      <c r="K515" t="n">
        <v>0.4557907667672392</v>
      </c>
      <c r="L515" t="n">
        <v>0.05610550056105501</v>
      </c>
      <c r="M515" t="n">
        <v>0.5656642388003054</v>
      </c>
      <c r="N515" t="n">
        <v>0.2515657525156575</v>
      </c>
      <c r="O515" t="n">
        <v>-361926.207953111</v>
      </c>
      <c r="P515" t="n">
        <v>-232748.2985654447</v>
      </c>
      <c r="Q515">
        <f>'_live'!$C$21</f>
        <v/>
      </c>
      <c r="R515" t="inlineStr">
        <is>
          <t>shuffled: 201 of 10,000</t>
        </is>
      </c>
      <c r="S515" t="inlineStr">
        <is>
          <t>shuffled: 1,106 of 10,000</t>
        </is>
      </c>
      <c r="T515" t="n">
        <v>0.07623151230819501</v>
      </c>
      <c r="U515" t="n">
        <v>0.0614244582978571</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0.03474561944677844</v>
      </c>
      <c r="AI515">
        <f>IF($Y515="worse","Yes",IF($Y515="worse, not significant","Not sure",IF(OR($Y515="too few losses to test",$Y515="too few loans to test"),"Too few losses",IF($Y515="","","No"))))</f>
        <v/>
      </c>
      <c r="AJ515">
        <f>IF($AA515="yes","Yes",IF($AA515="","","No"))</f>
        <v/>
      </c>
      <c r="AK515" t="n">
        <v>0.003907694786909421</v>
      </c>
      <c r="AL515" t="n">
        <v>0.007130603191790477</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FICO x CHANNEL / SYS_FLAG</t>
        </is>
      </c>
      <c r="C516" t="inlineStr">
        <is>
          <t>686 - 711</t>
        </is>
      </c>
      <c r="D516" t="inlineStr">
        <is>
          <t>Broker / SYS_FLAG N</t>
        </is>
      </c>
      <c r="E516" t="inlineStr">
        <is>
          <t>gco_rate</t>
        </is>
      </c>
      <c r="F516" t="inlineStr">
        <is>
          <t>GCO per booked dollar</t>
        </is>
      </c>
      <c r="G516" t="n">
        <v>271</v>
      </c>
      <c r="H516" t="n">
        <v>8724079.030000001</v>
      </c>
      <c r="I516" t="b">
        <v>0</v>
      </c>
      <c r="J516" t="b">
        <v>0</v>
      </c>
      <c r="K516" t="n">
        <v>0.5353404052220214</v>
      </c>
      <c r="L516" t="n">
        <v>0.1118638136186381</v>
      </c>
      <c r="M516" t="n">
        <v>0.6785534350921791</v>
      </c>
      <c r="N516" t="n">
        <v>0.454287904542879</v>
      </c>
      <c r="O516" t="n">
        <v>-171348.3340783887</v>
      </c>
      <c r="P516" t="n">
        <v>-93518.97454869575</v>
      </c>
      <c r="Q516">
        <f>'_live'!$C$22</f>
        <v/>
      </c>
      <c r="R516" t="inlineStr">
        <is>
          <t>shuffled: 525 of 10,000</t>
        </is>
      </c>
      <c r="S516" t="inlineStr">
        <is>
          <t>shuffled: 2,725 of 10,000</t>
        </is>
      </c>
      <c r="T516" t="n">
        <v>0.04226933213354769</v>
      </c>
      <c r="U516" t="n">
        <v>0.0333481200191163</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0.02262848139283763</v>
      </c>
      <c r="AI516">
        <f>IF($Y516="worse","Yes",IF($Y516="worse, not significant","Not sure",IF(OR($Y516="too few losses to test",$Y516="too few loans to test"),"Too few losses",IF($Y516="","","No"))))</f>
        <v/>
      </c>
      <c r="AJ516">
        <f>IF($AA516="yes","Yes",IF($AA516="","","No"))</f>
        <v/>
      </c>
      <c r="AK516" t="n">
        <v>0.00469612711612655</v>
      </c>
      <c r="AL516" t="n">
        <v>0.007421381322621181</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FICO x CHANNEL / SYS_FLAG</t>
        </is>
      </c>
      <c r="C517" t="inlineStr">
        <is>
          <t>686 - 711</t>
        </is>
      </c>
      <c r="D517" t="inlineStr">
        <is>
          <t>Broker / SYS_FLAG N</t>
        </is>
      </c>
      <c r="E517" t="inlineStr">
        <is>
          <t>ranr_rate</t>
        </is>
      </c>
      <c r="F517" t="inlineStr">
        <is>
          <t>Profit after losses: RANR per booked dollar</t>
        </is>
      </c>
      <c r="G517" t="n">
        <v>271</v>
      </c>
      <c r="H517" t="n">
        <v>8724079.030000001</v>
      </c>
      <c r="I517" t="b">
        <v>0</v>
      </c>
      <c r="J517" t="b">
        <v>0</v>
      </c>
      <c r="K517" t="n">
        <v>0.01207940102521718</v>
      </c>
      <c r="L517" t="n">
        <v>0.4648727434948813</v>
      </c>
      <c r="M517" t="n">
        <v>-0.00272283024524797</v>
      </c>
      <c r="N517" t="n">
        <v>0.9530046995300471</v>
      </c>
      <c r="O517" t="n">
        <v>-105381.6491790577</v>
      </c>
      <c r="P517" t="n">
        <v>23754.18624481745</v>
      </c>
      <c r="Q517">
        <f>'_live'!$C$23</f>
        <v/>
      </c>
      <c r="R517" t="inlineStr">
        <is>
          <t>shuffled: 3,266 of 10,000</t>
        </is>
      </c>
      <c r="S517" t="inlineStr">
        <is>
          <t>shuffled: 8,172 of 10,000</t>
        </is>
      </c>
      <c r="T517" t="n">
        <v>0.1275817019760472</v>
      </c>
      <c r="U517" t="n">
        <v>0.1423839332465123</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0.1396611030012643</v>
      </c>
      <c r="AI517">
        <f>IF($Y517="worse","Yes",IF($Y517="worse, not significant","Not sure",IF(OR($Y517="too few losses to test",$Y517="too few loans to test"),"Too few losses",IF($Y517="","","No"))))</f>
        <v/>
      </c>
      <c r="AJ517">
        <f>IF($AA517="yes","Yes",IF($AA517="","","No"))</f>
        <v/>
      </c>
      <c r="AK517" t="n">
        <v>0.0066741516748615</v>
      </c>
      <c r="AL517" t="n">
        <v>0.004048608769008777</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FICO x CHANNEL / SYS_FLAG</t>
        </is>
      </c>
      <c r="C518" t="inlineStr">
        <is>
          <t>686 - 711</t>
        </is>
      </c>
      <c r="D518" t="inlineStr">
        <is>
          <t>Broker / SYS_FLAG N</t>
        </is>
      </c>
      <c r="E518" t="inlineStr">
        <is>
          <t>contribution_rate</t>
        </is>
      </c>
      <c r="F518" t="inlineStr">
        <is>
          <t>Contribution before losses per booked dollar</t>
        </is>
      </c>
      <c r="G518" t="n">
        <v>271</v>
      </c>
      <c r="H518" t="n">
        <v>8724079.030000001</v>
      </c>
      <c r="I518" t="b">
        <v>0</v>
      </c>
      <c r="J518" t="b">
        <v>0</v>
      </c>
      <c r="K518" t="n">
        <v>-0.007558425412576009</v>
      </c>
      <c r="L518" t="n">
        <v>0.4234286248794475</v>
      </c>
      <c r="M518" t="n">
        <v>-0.01344246887152667</v>
      </c>
      <c r="N518" t="n">
        <v>0.1067893210678932</v>
      </c>
      <c r="O518" t="n">
        <v>65940.30064167338</v>
      </c>
      <c r="P518" t="n">
        <v>117273.1607935135</v>
      </c>
      <c r="Q518">
        <f>'_live'!$C$24</f>
        <v/>
      </c>
      <c r="R518" t="inlineStr">
        <is>
          <t>shuffled: 3,547 of 10,000</t>
        </is>
      </c>
      <c r="S518" t="inlineStr">
        <is>
          <t>shuffled: 427 of 10,000</t>
        </is>
      </c>
      <c r="T518" t="n">
        <v>0.1698480098066779</v>
      </c>
      <c r="U518" t="n">
        <v>0.1757320532656286</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0.1622895843941019</v>
      </c>
      <c r="AI518">
        <f>IF($Y518="worse","Yes",IF($Y518="worse, not significant","Not sure",IF(OR($Y518="too few losses to test",$Y518="too few loans to test"),"Too few losses",IF($Y518="","","No"))))</f>
        <v/>
      </c>
      <c r="AJ518">
        <f>IF($AA518="yes","Yes",IF($AA518="","","No"))</f>
        <v/>
      </c>
      <c r="AK518" t="n">
        <v>0.005710435639320084</v>
      </c>
      <c r="AL518" t="n">
        <v>0.004948640333150128</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FICO x CHANNEL / SYS_FLAG</t>
        </is>
      </c>
      <c r="C519" t="inlineStr">
        <is>
          <t>654 - 685</t>
        </is>
      </c>
      <c r="D519" t="inlineStr">
        <is>
          <t>Broker / SYS_FLAG Y</t>
        </is>
      </c>
      <c r="E519" t="inlineStr">
        <is>
          <t>outcome_loans</t>
        </is>
      </c>
      <c r="F519" t="inlineStr">
        <is>
          <t>Outcome, share of loans</t>
        </is>
      </c>
      <c r="G519" t="n">
        <v>244</v>
      </c>
      <c r="H519" t="n">
        <v>244</v>
      </c>
      <c r="I519" t="b">
        <v>0</v>
      </c>
      <c r="J519" t="b">
        <v>0</v>
      </c>
      <c r="K519" t="n">
        <v>1.337659380692168</v>
      </c>
      <c r="L519" t="n">
        <v>0.2088893268513094</v>
      </c>
      <c r="M519" t="n">
        <v>1.263661202185792</v>
      </c>
      <c r="N519" t="n">
        <v>0.4229305988189696</v>
      </c>
      <c r="O519" t="n">
        <v>6.310638297872341</v>
      </c>
      <c r="P519" t="n">
        <v>5.216216216216214</v>
      </c>
      <c r="Q519">
        <f>'_live'!$C$20</f>
        <v/>
      </c>
      <c r="R519" t="inlineStr">
        <is>
          <t>z test</t>
        </is>
      </c>
      <c r="S519" t="inlineStr">
        <is>
          <t>z test</t>
        </is>
      </c>
      <c r="T519" t="n">
        <v>0.07659574468085106</v>
      </c>
      <c r="U519" t="n">
        <v>0.08108108108108109</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0.1024590163934426</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FICO x CHANNEL / SYS_FLAG</t>
        </is>
      </c>
      <c r="C520" t="inlineStr">
        <is>
          <t>654 - 685</t>
        </is>
      </c>
      <c r="D520" t="inlineStr">
        <is>
          <t>Broker / SYS_FLAG Y</t>
        </is>
      </c>
      <c r="E520" t="inlineStr">
        <is>
          <t>outcome_booked</t>
        </is>
      </c>
      <c r="F520" t="inlineStr">
        <is>
          <t>Outcome, share of booked dollars</t>
        </is>
      </c>
      <c r="G520" t="n">
        <v>244</v>
      </c>
      <c r="H520" t="n">
        <v>7836290.479999998</v>
      </c>
      <c r="I520" t="b">
        <v>0</v>
      </c>
      <c r="J520" t="b">
        <v>0</v>
      </c>
      <c r="K520" t="n">
        <v>1.182103913373926</v>
      </c>
      <c r="L520" t="n">
        <v>0.5117966464223143</v>
      </c>
      <c r="M520" t="n">
        <v>1.123103833474255</v>
      </c>
      <c r="N520" t="n">
        <v>0.7696849362682779</v>
      </c>
      <c r="O520" t="n">
        <v>106194.9281322744</v>
      </c>
      <c r="P520" t="n">
        <v>75559.97736578376</v>
      </c>
      <c r="Q520">
        <f>'_live'!$C$21</f>
        <v/>
      </c>
      <c r="R520" t="inlineStr">
        <is>
          <t>shuffled: 4,708 of 10,000</t>
        </is>
      </c>
      <c r="S520" t="inlineStr">
        <is>
          <t>shuffled: 6,465 of 10,000</t>
        </is>
      </c>
      <c r="T520" t="n">
        <v>0.07441731050630038</v>
      </c>
      <c r="U520" t="n">
        <v>0.07832667946661113</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0.08796899397226021</v>
      </c>
      <c r="AI520">
        <f>IF($Y520="worse","Yes",IF($Y520="worse, not significant","Not sure",IF(OR($Y520="too few losses to test",$Y520="too few loans to test"),"Too few losses",IF($Y520="","","No"))))</f>
        <v/>
      </c>
      <c r="AJ520">
        <f>IF($AA520="yes","Yes",IF($AA520="","","No"))</f>
        <v/>
      </c>
      <c r="AK520" t="n">
        <v>0.005425540483157626</v>
      </c>
      <c r="AL520" t="n">
        <v>0.005691016514448591</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FICO x CHANNEL / SYS_FLAG</t>
        </is>
      </c>
      <c r="C521" t="inlineStr">
        <is>
          <t>654 - 685</t>
        </is>
      </c>
      <c r="D521" t="inlineStr">
        <is>
          <t>Broker / SYS_FLAG Y</t>
        </is>
      </c>
      <c r="E521" t="inlineStr">
        <is>
          <t>gco_rate</t>
        </is>
      </c>
      <c r="F521" t="inlineStr">
        <is>
          <t>GCO per booked dollar</t>
        </is>
      </c>
      <c r="G521" t="n">
        <v>244</v>
      </c>
      <c r="H521" t="n">
        <v>7836290.479999998</v>
      </c>
      <c r="I521" t="b">
        <v>0</v>
      </c>
      <c r="J521" t="b">
        <v>0</v>
      </c>
      <c r="K521" t="n">
        <v>1.163661638976895</v>
      </c>
      <c r="L521" t="n">
        <v>0.6036896310368962</v>
      </c>
      <c r="M521" t="n">
        <v>1.078809654624096</v>
      </c>
      <c r="N521" t="n">
        <v>0.8429591823426353</v>
      </c>
      <c r="O521" t="n">
        <v>53094.85731705552</v>
      </c>
      <c r="P521" t="n">
        <v>27578.26113037777</v>
      </c>
      <c r="Q521">
        <f>'_live'!$C$22</f>
        <v/>
      </c>
      <c r="R521" t="inlineStr">
        <is>
          <t>shuffled: 5,312 of 10,000</t>
        </is>
      </c>
      <c r="S521" t="inlineStr">
        <is>
          <t>shuffled: 7,755 of 10,000</t>
        </is>
      </c>
      <c r="T521" t="n">
        <v>0.04139949425189565</v>
      </c>
      <c r="U521" t="n">
        <v>0.04465570281790043</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0.04817500333397545</v>
      </c>
      <c r="AI521">
        <f>IF($Y521="worse","Yes",IF($Y521="worse, not significant","Not sure",IF(OR($Y521="too few losses to test",$Y521="too few loans to test"),"Too few losses",IF($Y521="","","No"))))</f>
        <v/>
      </c>
      <c r="AJ521">
        <f>IF($AA521="yes","Yes",IF($AA521="","","No"))</f>
        <v/>
      </c>
      <c r="AK521" t="n">
        <v>0.005670712245729326</v>
      </c>
      <c r="AL521" t="n">
        <v>0.004535193465679805</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FICO x CHANNEL / SYS_FLAG</t>
        </is>
      </c>
      <c r="C522" t="inlineStr">
        <is>
          <t>654 - 685</t>
        </is>
      </c>
      <c r="D522" t="inlineStr">
        <is>
          <t>Broker / SYS_FLAG Y</t>
        </is>
      </c>
      <c r="E522" t="inlineStr">
        <is>
          <t>ranr_rate</t>
        </is>
      </c>
      <c r="F522" t="inlineStr">
        <is>
          <t>Profit after losses: RANR per booked dollar</t>
        </is>
      </c>
      <c r="G522" t="n">
        <v>244</v>
      </c>
      <c r="H522" t="n">
        <v>7836290.479999998</v>
      </c>
      <c r="I522" t="b">
        <v>0</v>
      </c>
      <c r="J522" t="b">
        <v>0</v>
      </c>
      <c r="K522" t="n">
        <v>0.02024947785086073</v>
      </c>
      <c r="L522" t="n">
        <v>0.199297461558192</v>
      </c>
      <c r="M522" t="n">
        <v>-0.01836737247671924</v>
      </c>
      <c r="N522" t="n">
        <v>0.5140285971402859</v>
      </c>
      <c r="O522" t="n">
        <v>-158680.7905076708</v>
      </c>
      <c r="P522" t="n">
        <v>143932.066081929</v>
      </c>
      <c r="Q522">
        <f>'_live'!$C$23</f>
        <v/>
      </c>
      <c r="R522" t="inlineStr">
        <is>
          <t>shuffled: 1,238 of 10,000</t>
        </is>
      </c>
      <c r="S522" t="inlineStr">
        <is>
          <t>shuffled: 2,141 of 10,000</t>
        </is>
      </c>
      <c r="T522" t="n">
        <v>0.1273751709485289</v>
      </c>
      <c r="U522" t="n">
        <v>0.1659920212761089</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0.1476246487993896</v>
      </c>
      <c r="AI522">
        <f>IF($Y522="worse","Yes",IF($Y522="worse, not significant","Not sure",IF(OR($Y522="too few losses to test",$Y522="too few loans to test"),"Too few losses",IF($Y522="","","No"))))</f>
        <v/>
      </c>
      <c r="AJ522">
        <f>IF($AA522="yes","Yes",IF($AA522="","","No"))</f>
        <v/>
      </c>
      <c r="AK522" t="n">
        <v>0.005299900769961849</v>
      </c>
      <c r="AL522" t="n">
        <v>0.009846030847294133</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FICO x CHANNEL / SYS_FLAG</t>
        </is>
      </c>
      <c r="C523" t="inlineStr">
        <is>
          <t>654 - 685</t>
        </is>
      </c>
      <c r="D523" t="inlineStr">
        <is>
          <t>Broker / SYS_FLAG Y</t>
        </is>
      </c>
      <c r="E523" t="inlineStr">
        <is>
          <t>contribution_rate</t>
        </is>
      </c>
      <c r="F523" t="inlineStr">
        <is>
          <t>Contribution before losses per booked dollar</t>
        </is>
      </c>
      <c r="G523" t="n">
        <v>244</v>
      </c>
      <c r="H523" t="n">
        <v>7836290.479999998</v>
      </c>
      <c r="I523" t="b">
        <v>0</v>
      </c>
      <c r="J523" t="b">
        <v>0</v>
      </c>
      <c r="K523" t="n">
        <v>0.02702803326339712</v>
      </c>
      <c r="L523" t="n">
        <v>0.0024664200246642</v>
      </c>
      <c r="M523" t="n">
        <v>-0.01484807196064428</v>
      </c>
      <c r="N523" t="n">
        <v>0.1482601739826017</v>
      </c>
      <c r="O523" t="n">
        <v>-211799.5197550822</v>
      </c>
      <c r="P523" t="n">
        <v>116353.8049515516</v>
      </c>
      <c r="Q523">
        <f>'_live'!$C$24</f>
        <v/>
      </c>
      <c r="R523" t="inlineStr">
        <is>
          <t>shuffled: 15 of 10,000</t>
        </is>
      </c>
      <c r="S523" t="inlineStr">
        <is>
          <t>shuffled: 658 of 10,000</t>
        </is>
      </c>
      <c r="T523" t="n">
        <v>0.1687716188699679</v>
      </c>
      <c r="U523" t="n">
        <v>0.2106477240940093</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0.195799652133365</v>
      </c>
      <c r="AI523">
        <f>IF($Y523="worse","Yes",IF($Y523="worse, not significant","Not sure",IF(OR($Y523="too few losses to test",$Y523="too few loans to test"),"Too few losses",IF($Y523="","","No"))))</f>
        <v/>
      </c>
      <c r="AJ523">
        <f>IF($AA523="yes","Yes",IF($AA523="","","No"))</f>
        <v/>
      </c>
      <c r="AK523" t="n">
        <v>0.0006161423788610805</v>
      </c>
      <c r="AL523" t="n">
        <v>0.00558215292043762</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FICO x CHANNEL / SYS_FLAG</t>
        </is>
      </c>
      <c r="C524" t="inlineStr">
        <is>
          <t>654 - 685</t>
        </is>
      </c>
      <c r="D524" t="inlineStr">
        <is>
          <t>Broker / SYS_FLAG N</t>
        </is>
      </c>
      <c r="E524" t="inlineStr">
        <is>
          <t>outcome_loans</t>
        </is>
      </c>
      <c r="F524" t="inlineStr">
        <is>
          <t>Outcome, share of loans</t>
        </is>
      </c>
      <c r="G524" t="n">
        <v>287</v>
      </c>
      <c r="H524" t="n">
        <v>287</v>
      </c>
      <c r="I524" t="b">
        <v>0</v>
      </c>
      <c r="J524" t="b">
        <v>0</v>
      </c>
      <c r="K524" t="n">
        <v>0.8047910857050096</v>
      </c>
      <c r="L524" t="n">
        <v>0.409059498062137</v>
      </c>
      <c r="M524" t="n">
        <v>0.7010950721752116</v>
      </c>
      <c r="N524" t="n">
        <v>0.2726491193818282</v>
      </c>
      <c r="O524" t="n">
        <v>-4.366052904564317</v>
      </c>
      <c r="P524" t="n">
        <v>-7.674121405750796</v>
      </c>
      <c r="Q524">
        <f>'_live'!$C$20</f>
        <v/>
      </c>
      <c r="R524" t="inlineStr">
        <is>
          <t>z test</t>
        </is>
      </c>
      <c r="S524" t="inlineStr">
        <is>
          <t>z test</t>
        </is>
      </c>
      <c r="T524" t="n">
        <v>0.0779304979253112</v>
      </c>
      <c r="U524" t="n">
        <v>0.08945686900958466</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0.0627177700348432</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FICO x CHANNEL / SYS_FLAG</t>
        </is>
      </c>
      <c r="C525" t="inlineStr">
        <is>
          <t>654 - 685</t>
        </is>
      </c>
      <c r="D525" t="inlineStr">
        <is>
          <t>Broker / SYS_FLAG N</t>
        </is>
      </c>
      <c r="E525" t="inlineStr">
        <is>
          <t>outcome_booked</t>
        </is>
      </c>
      <c r="F525" t="inlineStr">
        <is>
          <t>Outcome, share of booked dollars</t>
        </is>
      </c>
      <c r="G525" t="n">
        <v>287</v>
      </c>
      <c r="H525" t="n">
        <v>9485611.939999998</v>
      </c>
      <c r="I525" t="b">
        <v>0</v>
      </c>
      <c r="J525" t="b">
        <v>0</v>
      </c>
      <c r="K525" t="n">
        <v>0.8925172132640479</v>
      </c>
      <c r="L525" t="n">
        <v>0.6856606006066061</v>
      </c>
      <c r="M525" t="n">
        <v>0.8087672661152377</v>
      </c>
      <c r="N525" t="n">
        <v>0.5509975318257648</v>
      </c>
      <c r="O525" t="n">
        <v>-76593.66375242407</v>
      </c>
      <c r="P525" t="n">
        <v>-150386.6188178195</v>
      </c>
      <c r="Q525">
        <f>'_live'!$C$21</f>
        <v/>
      </c>
      <c r="R525" t="inlineStr">
        <is>
          <t>shuffled: 6,582 of 10,000</t>
        </is>
      </c>
      <c r="S525" t="inlineStr">
        <is>
          <t>shuffled: 4,133 of 10,000</t>
        </is>
      </c>
      <c r="T525" t="n">
        <v>0.07512570704557246</v>
      </c>
      <c r="U525" t="n">
        <v>0.08290516877478542</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0.06705098669680558</v>
      </c>
      <c r="AI525">
        <f>IF($Y525="worse","Yes",IF($Y525="worse, not significant","Not sure",IF(OR($Y525="too few losses to test",$Y525="too few loans to test"),"Too few losses",IF($Y525="","","No"))))</f>
        <v/>
      </c>
      <c r="AJ525">
        <f>IF($AA525="yes","Yes",IF($AA525="","","No"))</f>
        <v/>
      </c>
      <c r="AK525" t="n">
        <v>0.004940640981434861</v>
      </c>
      <c r="AL525" t="n">
        <v>0.006491521180156753</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FICO x CHANNEL / SYS_FLAG</t>
        </is>
      </c>
      <c r="C526" t="inlineStr">
        <is>
          <t>654 - 685</t>
        </is>
      </c>
      <c r="D526" t="inlineStr">
        <is>
          <t>Broker / SYS_FLAG N</t>
        </is>
      </c>
      <c r="E526" t="inlineStr">
        <is>
          <t>gco_rate</t>
        </is>
      </c>
      <c r="F526" t="inlineStr">
        <is>
          <t>GCO per booked dollar</t>
        </is>
      </c>
      <c r="G526" t="n">
        <v>287</v>
      </c>
      <c r="H526" t="n">
        <v>9485611.939999998</v>
      </c>
      <c r="I526" t="b">
        <v>0</v>
      </c>
      <c r="J526" t="b">
        <v>0</v>
      </c>
      <c r="K526" t="n">
        <v>0.8947644278095276</v>
      </c>
      <c r="L526" t="n">
        <v>0.6959720694597206</v>
      </c>
      <c r="M526" t="n">
        <v>0.793773674737977</v>
      </c>
      <c r="N526" t="n">
        <v>0.5545278805452788</v>
      </c>
      <c r="O526" t="n">
        <v>-41692.66050993011</v>
      </c>
      <c r="P526" t="n">
        <v>-92098.62878379645</v>
      </c>
      <c r="Q526">
        <f>'_live'!$C$22</f>
        <v/>
      </c>
      <c r="R526" t="inlineStr">
        <is>
          <t>shuffled: 6,681 of 10,000</t>
        </is>
      </c>
      <c r="S526" t="inlineStr">
        <is>
          <t>shuffled: 3,992 of 10,000</t>
        </is>
      </c>
      <c r="T526" t="n">
        <v>0.04176684677972713</v>
      </c>
      <c r="U526" t="n">
        <v>0.04708078631179977</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0.03737148876027075</v>
      </c>
      <c r="AI526">
        <f>IF($Y526="worse","Yes",IF($Y526="worse, not significant","Not sure",IF(OR($Y526="too few losses to test",$Y526="too few loans to test"),"Too few losses",IF($Y526="","","No"))))</f>
        <v/>
      </c>
      <c r="AJ526">
        <f>IF($AA526="yes","Yes",IF($AA526="","","No"))</f>
        <v/>
      </c>
      <c r="AK526" t="n">
        <v>0.004905036026566601</v>
      </c>
      <c r="AL526" t="n">
        <v>0.006802032354865741</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FICO x CHANNEL / SYS_FLAG</t>
        </is>
      </c>
      <c r="C527" t="inlineStr">
        <is>
          <t>654 - 685</t>
        </is>
      </c>
      <c r="D527" t="inlineStr">
        <is>
          <t>Broker / SYS_FLAG N</t>
        </is>
      </c>
      <c r="E527" t="inlineStr">
        <is>
          <t>ranr_rate</t>
        </is>
      </c>
      <c r="F527" t="inlineStr">
        <is>
          <t>Profit after losses: RANR per booked dollar</t>
        </is>
      </c>
      <c r="G527" t="n">
        <v>287</v>
      </c>
      <c r="H527" t="n">
        <v>9485611.939999998</v>
      </c>
      <c r="I527" t="b">
        <v>0</v>
      </c>
      <c r="J527" t="b">
        <v>0</v>
      </c>
      <c r="K527" t="n">
        <v>0.03990900867006547</v>
      </c>
      <c r="L527" t="n">
        <v>0.005086991300869913</v>
      </c>
      <c r="M527" t="n">
        <v>0.004155442813162852</v>
      </c>
      <c r="N527" t="n">
        <v>0.9530046995300471</v>
      </c>
      <c r="O527" t="n">
        <v>-378561.3691543364</v>
      </c>
      <c r="P527" t="n">
        <v>-39416.91796452459</v>
      </c>
      <c r="Q527">
        <f>'_live'!$C$23</f>
        <v/>
      </c>
      <c r="R527" t="inlineStr">
        <is>
          <t>shuffled: 21 of 10,000</t>
        </is>
      </c>
      <c r="S527" t="inlineStr">
        <is>
          <t>shuffled: 7,669 of 10,000</t>
        </is>
      </c>
      <c r="T527" t="n">
        <v>0.1265231466812107</v>
      </c>
      <c r="U527" t="n">
        <v>0.1622767125381133</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0.1664321553512761</v>
      </c>
      <c r="AI527">
        <f>IF($Y527="worse","Yes",IF($Y527="worse, not significant","Not sure",IF(OR($Y527="too few losses to test",$Y527="too few loans to test"),"Too few losses",IF($Y527="","","No"))))</f>
        <v/>
      </c>
      <c r="AJ527">
        <f>IF($AA527="yes","Yes",IF($AA527="","","No"))</f>
        <v/>
      </c>
      <c r="AK527" t="n">
        <v>0.001083410813254444</v>
      </c>
      <c r="AL527" t="n">
        <v>0.004048608769008777</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FICO x CHANNEL / SYS_FLAG</t>
        </is>
      </c>
      <c r="C528" t="inlineStr">
        <is>
          <t>654 - 685</t>
        </is>
      </c>
      <c r="D528" t="inlineStr">
        <is>
          <t>Broker / SYS_FLAG N</t>
        </is>
      </c>
      <c r="E528" t="inlineStr">
        <is>
          <t>contribution_rate</t>
        </is>
      </c>
      <c r="F528" t="inlineStr">
        <is>
          <t>Contribution before losses per booked dollar</t>
        </is>
      </c>
      <c r="G528" t="n">
        <v>287</v>
      </c>
      <c r="H528" t="n">
        <v>9485611.939999998</v>
      </c>
      <c r="I528" t="b">
        <v>0</v>
      </c>
      <c r="J528" t="b">
        <v>0</v>
      </c>
      <c r="K528" t="n">
        <v>0.03551685323753723</v>
      </c>
      <c r="L528" t="n">
        <v>0.000184981501849815</v>
      </c>
      <c r="M528" t="n">
        <v>-0.005553854738366171</v>
      </c>
      <c r="N528" t="n">
        <v>0.6529193234522701</v>
      </c>
      <c r="O528" t="n">
        <v>-336899.0871412107</v>
      </c>
      <c r="P528" t="n">
        <v>52681.71081927163</v>
      </c>
      <c r="Q528">
        <f>'_live'!$C$24</f>
        <v/>
      </c>
      <c r="R528" t="inlineStr">
        <is>
          <t>shuffled: 0 of 10,000</t>
        </is>
      </c>
      <c r="S528" t="inlineStr">
        <is>
          <t>shuffled: 4,715 of 10,000</t>
        </is>
      </c>
      <c r="T528" t="n">
        <v>0.1682867908740096</v>
      </c>
      <c r="U528" t="n">
        <v>0.209357498849913</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0.2038036441115468</v>
      </c>
      <c r="AI528">
        <f>IF($Y528="worse","Yes",IF($Y528="worse, not significant","Not sure",IF(OR($Y528="too few losses to test",$Y528="too few loans to test"),"Too few losses",IF($Y528="","","No"))))</f>
        <v/>
      </c>
      <c r="AJ528">
        <f>IF($AA528="yes","Yes",IF($AA528="","","No"))</f>
        <v/>
      </c>
      <c r="AK528" t="n">
        <v>0.000184981501849815</v>
      </c>
      <c r="AL528" t="n">
        <v>0.00691186297048279</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FICO x CHANNEL / SYS_FLAG</t>
        </is>
      </c>
      <c r="C529" t="inlineStr">
        <is>
          <t>(marked missing)</t>
        </is>
      </c>
      <c r="D529" t="inlineStr">
        <is>
          <t>Online / SYS_FLAG Y</t>
        </is>
      </c>
      <c r="E529" t="inlineStr">
        <is>
          <t>outcome_loans</t>
        </is>
      </c>
      <c r="F529" t="inlineStr">
        <is>
          <t>Outcome, share of loans</t>
        </is>
      </c>
      <c r="G529" t="n">
        <v>25</v>
      </c>
      <c r="H529" t="n">
        <v>25</v>
      </c>
      <c r="I529" t="b">
        <v>1</v>
      </c>
      <c r="J529" t="b">
        <v>0</v>
      </c>
      <c r="K529" t="n">
        <v>1.033905996758509</v>
      </c>
      <c r="M529" t="n">
        <v>1.35</v>
      </c>
      <c r="O529" t="n">
        <v>0.06558816152495606</v>
      </c>
      <c r="P529" t="n">
        <v>0.5185185185185184</v>
      </c>
      <c r="Q529">
        <f>'_live'!$C$20</f>
        <v/>
      </c>
      <c r="T529" t="n">
        <v>0.07737647353900176</v>
      </c>
      <c r="U529" t="n">
        <v>0.05925925925925926</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0.08</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FICO x CHANNEL / SYS_FLAG</t>
        </is>
      </c>
      <c r="C530" t="inlineStr">
        <is>
          <t>(marked missing)</t>
        </is>
      </c>
      <c r="D530" t="inlineStr">
        <is>
          <t>Online / SYS_FLAG Y</t>
        </is>
      </c>
      <c r="E530" t="inlineStr">
        <is>
          <t>outcome_booked</t>
        </is>
      </c>
      <c r="F530" t="inlineStr">
        <is>
          <t>Outcome, share of booked dollars</t>
        </is>
      </c>
      <c r="G530" t="n">
        <v>25</v>
      </c>
      <c r="H530" t="n">
        <v>869025.03</v>
      </c>
      <c r="I530" t="b">
        <v>1</v>
      </c>
      <c r="J530" t="b">
        <v>0</v>
      </c>
      <c r="K530" t="n">
        <v>0.8316771340635828</v>
      </c>
      <c r="M530" t="n">
        <v>1.372343233531356</v>
      </c>
      <c r="O530" t="n">
        <v>-10951.93481565196</v>
      </c>
      <c r="P530" t="n">
        <v>14681.93223206329</v>
      </c>
      <c r="Q530">
        <f>'_live'!$C$21</f>
        <v/>
      </c>
      <c r="T530" t="n">
        <v>0.07487131275799036</v>
      </c>
      <c r="U530" t="n">
        <v>0.04537404149099907</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0.06226875881814359</v>
      </c>
      <c r="AI530">
        <f>IF($Y530="worse","Yes",IF($Y530="worse, not significant","Not sure",IF(OR($Y530="too few losses to test",$Y530="too few loans to test"),"Too few losses",IF($Y530="","","No"))))</f>
        <v/>
      </c>
      <c r="AJ530">
        <f>IF($AA530="yes","Yes",IF($AA530="","","No"))</f>
        <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FICO x CHANNEL / SYS_FLAG</t>
        </is>
      </c>
      <c r="C531" t="inlineStr">
        <is>
          <t>(marked missing)</t>
        </is>
      </c>
      <c r="D531" t="inlineStr">
        <is>
          <t>Online / SYS_FLAG Y</t>
        </is>
      </c>
      <c r="E531" t="inlineStr">
        <is>
          <t>gco_rate</t>
        </is>
      </c>
      <c r="F531" t="inlineStr">
        <is>
          <t>GCO per booked dollar</t>
        </is>
      </c>
      <c r="G531" t="n">
        <v>25</v>
      </c>
      <c r="H531" t="n">
        <v>869025.03</v>
      </c>
      <c r="I531" t="b">
        <v>1</v>
      </c>
      <c r="J531" t="b">
        <v>0</v>
      </c>
      <c r="K531" t="n">
        <v>0.9461091971531108</v>
      </c>
      <c r="M531" t="n">
        <v>1.727664450391221</v>
      </c>
      <c r="O531" t="n">
        <v>-1948.830495941547</v>
      </c>
      <c r="P531" t="n">
        <v>14410.2806444475</v>
      </c>
      <c r="Q531">
        <f>'_live'!$C$22</f>
        <v/>
      </c>
      <c r="T531" t="n">
        <v>0.04161281809793389</v>
      </c>
      <c r="U531" t="n">
        <v>0.02278814610846422</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0.03937026992191468</v>
      </c>
      <c r="AI531">
        <f>IF($Y531="worse","Yes",IF($Y531="worse, not significant","Not sure",IF(OR($Y531="too few losses to test",$Y531="too few loans to test"),"Too few losses",IF($Y531="","","No"))))</f>
        <v/>
      </c>
      <c r="AJ531">
        <f>IF($AA531="yes","Yes",IF($AA531="","","No"))</f>
        <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FICO x CHANNEL / SYS_FLAG</t>
        </is>
      </c>
      <c r="C532" t="inlineStr">
        <is>
          <t>(marked missing)</t>
        </is>
      </c>
      <c r="D532" t="inlineStr">
        <is>
          <t>Online / SYS_FLAG Y</t>
        </is>
      </c>
      <c r="E532" t="inlineStr">
        <is>
          <t>ranr_rate</t>
        </is>
      </c>
      <c r="F532" t="inlineStr">
        <is>
          <t>Profit after losses: RANR per booked dollar</t>
        </is>
      </c>
      <c r="G532" t="n">
        <v>25</v>
      </c>
      <c r="H532" t="n">
        <v>869025.03</v>
      </c>
      <c r="I532" t="b">
        <v>0</v>
      </c>
      <c r="J532" t="b">
        <v>0</v>
      </c>
      <c r="K532" t="n">
        <v>0.01627529744909215</v>
      </c>
      <c r="L532" t="n">
        <v>0.8158280946098938</v>
      </c>
      <c r="M532" t="n">
        <v>-0.01311842904157465</v>
      </c>
      <c r="N532" t="n">
        <v>0.9530046995300471</v>
      </c>
      <c r="O532" t="n">
        <v>-14143.64085395623</v>
      </c>
      <c r="P532" t="n">
        <v>11400.24319140728</v>
      </c>
      <c r="Q532">
        <f>'_live'!$C$23</f>
        <v/>
      </c>
      <c r="R532" t="inlineStr">
        <is>
          <t>shuffled: 6,835 of 10,000</t>
        </is>
      </c>
      <c r="S532" t="inlineStr">
        <is>
          <t>shuffled: 7,133 of 10,000</t>
        </is>
      </c>
      <c r="T532" t="n">
        <v>0.1279352438744414</v>
      </c>
      <c r="U532" t="n">
        <v>0.1573289703651082</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0.1442105413235336</v>
      </c>
      <c r="AI532">
        <f>IF($Y532="worse","Yes",IF($Y532="worse, not significant","Not sure",IF(OR($Y532="too few losses to test",$Y532="too few loans to test"),"Too few losses",IF($Y532="","","No"))))</f>
        <v/>
      </c>
      <c r="AJ532">
        <f>IF($AA532="yes","Yes",IF($AA532="","","No"))</f>
        <v/>
      </c>
      <c r="AK532" t="n">
        <v>0.005551169485028028</v>
      </c>
      <c r="AL532" t="n">
        <v>0.004048608769008777</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FICO x CHANNEL / SYS_FLAG</t>
        </is>
      </c>
      <c r="C533" t="inlineStr">
        <is>
          <t>(marked missing)</t>
        </is>
      </c>
      <c r="D533" t="inlineStr">
        <is>
          <t>Online / SYS_FLAG Y</t>
        </is>
      </c>
      <c r="E533" t="inlineStr">
        <is>
          <t>contribution_rate</t>
        </is>
      </c>
      <c r="F533" t="inlineStr">
        <is>
          <t>Contribution before losses per booked dollar</t>
        </is>
      </c>
      <c r="G533" t="n">
        <v>25</v>
      </c>
      <c r="H533" t="n">
        <v>869025.03</v>
      </c>
      <c r="I533" t="b">
        <v>0</v>
      </c>
      <c r="J533" t="b">
        <v>0</v>
      </c>
      <c r="K533" t="n">
        <v>0.0140356266394128</v>
      </c>
      <c r="L533" t="n">
        <v>0.660859628322882</v>
      </c>
      <c r="M533" t="n">
        <v>0.00346369477187583</v>
      </c>
      <c r="N533" t="n">
        <v>0.9626037396260373</v>
      </c>
      <c r="O533" t="n">
        <v>-12197.3108613845</v>
      </c>
      <c r="P533" t="n">
        <v>-3010.037453040219</v>
      </c>
      <c r="Q533">
        <f>'_live'!$C$24</f>
        <v/>
      </c>
      <c r="R533" t="inlineStr">
        <is>
          <t>shuffled: 6,092 of 10,000</t>
        </is>
      </c>
      <c r="S533" t="inlineStr">
        <is>
          <t>shuffled: 9,049 of 10,000</t>
        </is>
      </c>
      <c r="T533" t="n">
        <v>0.1695451846060354</v>
      </c>
      <c r="U533" t="n">
        <v>0.1801171164735724</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0.1835808112454482</v>
      </c>
      <c r="AI533">
        <f>IF($Y533="worse","Yes",IF($Y533="worse, not significant","Not sure",IF(OR($Y533="too few losses to test",$Y533="too few loans to test"),"Too few losses",IF($Y533="","","No"))))</f>
        <v/>
      </c>
      <c r="AJ533">
        <f>IF($AA533="yes","Yes",IF($AA533="","","No"))</f>
        <v/>
      </c>
      <c r="AK533" t="n">
        <v>0.005117495357189496</v>
      </c>
      <c r="AL533" t="n">
        <v>0.001897308095276184</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FICO x CHANNEL / SYS_FLAG</t>
        </is>
      </c>
      <c r="C534" t="inlineStr">
        <is>
          <t>746 - 921</t>
        </is>
      </c>
      <c r="D534" t="inlineStr">
        <is>
          <t>Branch / SYS_FLAG N</t>
        </is>
      </c>
      <c r="E534" t="inlineStr">
        <is>
          <t>outcome_loans</t>
        </is>
      </c>
      <c r="F534" t="inlineStr">
        <is>
          <t>Outcome, share of loans</t>
        </is>
      </c>
      <c r="G534" t="n">
        <v>279</v>
      </c>
      <c r="H534" t="n">
        <v>279</v>
      </c>
      <c r="I534" t="b">
        <v>1</v>
      </c>
      <c r="J534" t="b">
        <v>0</v>
      </c>
      <c r="K534" t="n">
        <v>0.4082496033844527</v>
      </c>
      <c r="M534" t="n">
        <v>0.7863664029214851</v>
      </c>
      <c r="O534" t="n">
        <v>-13.04533678756477</v>
      </c>
      <c r="P534" t="n">
        <v>-2.445046439628484</v>
      </c>
      <c r="Q534">
        <f>'_live'!$C$20</f>
        <v/>
      </c>
      <c r="T534" t="n">
        <v>0.07901554404145078</v>
      </c>
      <c r="U534" t="n">
        <v>0.04102167182662539</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0.03225806451612903</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FICO x CHANNEL / SYS_FLAG</t>
        </is>
      </c>
      <c r="C535" t="inlineStr">
        <is>
          <t>746 - 921</t>
        </is>
      </c>
      <c r="D535" t="inlineStr">
        <is>
          <t>Branch / SYS_FLAG N</t>
        </is>
      </c>
      <c r="E535" t="inlineStr">
        <is>
          <t>outcome_booked</t>
        </is>
      </c>
      <c r="F535" t="inlineStr">
        <is>
          <t>Outcome, share of booked dollars</t>
        </is>
      </c>
      <c r="G535" t="n">
        <v>279</v>
      </c>
      <c r="H535" t="n">
        <v>9003882.69999999</v>
      </c>
      <c r="I535" t="b">
        <v>1</v>
      </c>
      <c r="J535" t="b">
        <v>0</v>
      </c>
      <c r="K535" t="n">
        <v>0.425764234305133</v>
      </c>
      <c r="M535" t="n">
        <v>0.8608402711941674</v>
      </c>
      <c r="O535" t="n">
        <v>-394802.4763213012</v>
      </c>
      <c r="P535" t="n">
        <v>-47320.55219670787</v>
      </c>
      <c r="Q535">
        <f>'_live'!$C$21</f>
        <v/>
      </c>
      <c r="T535" t="n">
        <v>0.07635892416960319</v>
      </c>
      <c r="U535" t="n">
        <v>0.03776647070232359</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0.03251089888143482</v>
      </c>
      <c r="AI535">
        <f>IF($Y535="worse","Yes",IF($Y535="worse, not significant","Not sure",IF(OR($Y535="too few losses to test",$Y535="too few loans to test"),"Too few losses",IF($Y535="","","No"))))</f>
        <v/>
      </c>
      <c r="AJ535">
        <f>IF($AA535="yes","Yes",IF($AA535="","","No"))</f>
        <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FICO x CHANNEL / SYS_FLAG</t>
        </is>
      </c>
      <c r="C536" t="inlineStr">
        <is>
          <t>746 - 921</t>
        </is>
      </c>
      <c r="D536" t="inlineStr">
        <is>
          <t>Branch / SYS_FLAG N</t>
        </is>
      </c>
      <c r="E536" t="inlineStr">
        <is>
          <t>gco_rate</t>
        </is>
      </c>
      <c r="F536" t="inlineStr">
        <is>
          <t>GCO per booked dollar</t>
        </is>
      </c>
      <c r="G536" t="n">
        <v>279</v>
      </c>
      <c r="H536" t="n">
        <v>9003882.69999999</v>
      </c>
      <c r="I536" t="b">
        <v>1</v>
      </c>
      <c r="J536" t="b">
        <v>0</v>
      </c>
      <c r="K536" t="n">
        <v>0.4880157612052794</v>
      </c>
      <c r="M536" t="n">
        <v>1.080450199624379</v>
      </c>
      <c r="O536" t="n">
        <v>-195282.7157154465</v>
      </c>
      <c r="P536" t="n">
        <v>13860.00652728259</v>
      </c>
      <c r="Q536">
        <f>'_live'!$C$22</f>
        <v/>
      </c>
      <c r="T536" t="n">
        <v>0.0423620907139813</v>
      </c>
      <c r="U536" t="n">
        <v>0.01913403130770657</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0.02067336794603068</v>
      </c>
      <c r="AI536">
        <f>IF($Y536="worse","Yes",IF($Y536="worse, not significant","Not sure",IF(OR($Y536="too few losses to test",$Y536="too few loans to test"),"Too few losses",IF($Y536="","","No"))))</f>
        <v/>
      </c>
      <c r="AJ536">
        <f>IF($AA536="yes","Yes",IF($AA536="","","No"))</f>
        <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FICO x CHANNEL / SYS_FLAG</t>
        </is>
      </c>
      <c r="C537" t="inlineStr">
        <is>
          <t>746 - 921</t>
        </is>
      </c>
      <c r="D537" t="inlineStr">
        <is>
          <t>Branch / SYS_FLAG N</t>
        </is>
      </c>
      <c r="E537" t="inlineStr">
        <is>
          <t>ranr_rate</t>
        </is>
      </c>
      <c r="F537" t="inlineStr">
        <is>
          <t>Profit after losses: RANR per booked dollar</t>
        </is>
      </c>
      <c r="G537" t="n">
        <v>279</v>
      </c>
      <c r="H537" t="n">
        <v>9003882.69999999</v>
      </c>
      <c r="I537" t="b">
        <v>0</v>
      </c>
      <c r="J537" t="b">
        <v>0</v>
      </c>
      <c r="K537" t="n">
        <v>-0.08348594199915171</v>
      </c>
      <c r="L537" t="n">
        <v>0.0002845869259227924</v>
      </c>
      <c r="M537" t="n">
        <v>0.0008195148250460735</v>
      </c>
      <c r="N537" t="n">
        <v>0.9953004699530046</v>
      </c>
      <c r="O537" t="n">
        <v>751697.6288593648</v>
      </c>
      <c r="P537" t="n">
        <v>-7378.815355625818</v>
      </c>
      <c r="Q537">
        <f>'_live'!$C$23</f>
        <v/>
      </c>
      <c r="R537" t="inlineStr">
        <is>
          <t>shuffled: 0 of 10,000</t>
        </is>
      </c>
      <c r="S537" t="inlineStr">
        <is>
          <t>shuffled: 9,148 of 10,000</t>
        </is>
      </c>
      <c r="T537" t="n">
        <v>0.1309028336030373</v>
      </c>
      <c r="U537" t="n">
        <v>0.04659737677883947</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0.04741689160388554</v>
      </c>
      <c r="AI537">
        <f>IF($Y537="worse","Yes",IF($Y537="worse, not significant","Not sure",IF(OR($Y537="too few losses to test",$Y537="too few loans to test"),"Too few losses",IF($Y537="","","No"))))</f>
        <v/>
      </c>
      <c r="AJ537">
        <f>IF($AA537="yes","Yes",IF($AA537="","","No"))</f>
        <v/>
      </c>
      <c r="AK537" t="n">
        <v>0.0002845869259227924</v>
      </c>
      <c r="AL537" t="n">
        <v>0.0006839184501336905</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FICO x CHANNEL / SYS_FLAG</t>
        </is>
      </c>
      <c r="C538" t="inlineStr">
        <is>
          <t>746 - 921</t>
        </is>
      </c>
      <c r="D538" t="inlineStr">
        <is>
          <t>Branch / SYS_FLAG N</t>
        </is>
      </c>
      <c r="E538" t="inlineStr">
        <is>
          <t>contribution_rate</t>
        </is>
      </c>
      <c r="F538" t="inlineStr">
        <is>
          <t>Contribution before losses per booked dollar</t>
        </is>
      </c>
      <c r="G538" t="n">
        <v>279</v>
      </c>
      <c r="H538" t="n">
        <v>9003882.69999999</v>
      </c>
      <c r="I538" t="b">
        <v>0</v>
      </c>
      <c r="J538" t="b">
        <v>0</v>
      </c>
      <c r="K538" t="n">
        <v>-0.1051721663192931</v>
      </c>
      <c r="L538" t="n">
        <v>0.000184981501849815</v>
      </c>
      <c r="M538" t="n">
        <v>0.002358851463370185</v>
      </c>
      <c r="N538" t="n">
        <v>0.5160983901609839</v>
      </c>
      <c r="O538" t="n">
        <v>946957.8488438051</v>
      </c>
      <c r="P538" t="n">
        <v>-21238.82188290847</v>
      </c>
      <c r="Q538">
        <f>'_live'!$C$24</f>
        <v/>
      </c>
      <c r="R538" t="inlineStr">
        <is>
          <t>shuffled: 0 of 10,000</t>
        </is>
      </c>
      <c r="S538" t="inlineStr">
        <is>
          <t>shuffled: 2,951 of 10,000</t>
        </is>
      </c>
      <c r="T538" t="n">
        <v>0.1732624258692094</v>
      </c>
      <c r="U538" t="n">
        <v>0.06573140808654604</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0.06809025954991622</v>
      </c>
      <c r="AI538">
        <f>IF($Y538="worse","Yes",IF($Y538="worse, not significant","Not sure",IF(OR($Y538="too few losses to test",$Y538="too few loans to test"),"Too few losses",IF($Y538="","","No"))))</f>
        <v/>
      </c>
      <c r="AJ538">
        <f>IF($AA538="yes","Yes",IF($AA538="","","No"))</f>
        <v/>
      </c>
      <c r="AK538" t="n">
        <v>0.000184981501849815</v>
      </c>
      <c r="AL538" t="n">
        <v>0.007125938793693898</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FICO x CHANNEL / SYS_FLAG</t>
        </is>
      </c>
      <c r="C539" t="inlineStr">
        <is>
          <t>496 - 653</t>
        </is>
      </c>
      <c r="D539" t="inlineStr">
        <is>
          <t>Broker / SYS_FLAG Y</t>
        </is>
      </c>
      <c r="E539" t="inlineStr">
        <is>
          <t>outcome_loans</t>
        </is>
      </c>
      <c r="F539" t="inlineStr">
        <is>
          <t>Outcome, share of loans</t>
        </is>
      </c>
      <c r="G539" t="n">
        <v>265</v>
      </c>
      <c r="H539" t="n">
        <v>265</v>
      </c>
      <c r="I539" t="b">
        <v>0</v>
      </c>
      <c r="J539" t="b">
        <v>0</v>
      </c>
      <c r="K539" t="n">
        <v>4.207805252327974</v>
      </c>
      <c r="L539" t="n">
        <v>8.552436027091215e-40</v>
      </c>
      <c r="M539" t="n">
        <v>2.433962264150944</v>
      </c>
      <c r="N539" t="n">
        <v>1.60660262847811e-11</v>
      </c>
      <c r="O539" t="n">
        <v>59.46302042927334</v>
      </c>
      <c r="P539" t="n">
        <v>45.95348837209303</v>
      </c>
      <c r="Q539">
        <f>'_live'!$C$20</f>
        <v/>
      </c>
      <c r="R539" t="inlineStr">
        <is>
          <t>z test</t>
        </is>
      </c>
      <c r="S539" t="inlineStr">
        <is>
          <t>z test</t>
        </is>
      </c>
      <c r="T539" t="n">
        <v>0.06995086630462891</v>
      </c>
      <c r="U539" t="n">
        <v>0.1209302325581395</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0.2943396226415094</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FICO x CHANNEL / SYS_FLAG</t>
        </is>
      </c>
      <c r="C540" t="inlineStr">
        <is>
          <t>496 - 653</t>
        </is>
      </c>
      <c r="D540" t="inlineStr">
        <is>
          <t>Broker / SYS_FLAG Y</t>
        </is>
      </c>
      <c r="E540" t="inlineStr">
        <is>
          <t>outcome_booked</t>
        </is>
      </c>
      <c r="F540" t="inlineStr">
        <is>
          <t>Outcome, share of booked dollars</t>
        </is>
      </c>
      <c r="G540" t="n">
        <v>265</v>
      </c>
      <c r="H540" t="n">
        <v>8533011.129999999</v>
      </c>
      <c r="I540" t="b">
        <v>0</v>
      </c>
      <c r="J540" t="b">
        <v>0</v>
      </c>
      <c r="K540" t="n">
        <v>4.498018640694982</v>
      </c>
      <c r="L540" t="n">
        <v>0.00124987501249875</v>
      </c>
      <c r="M540" t="n">
        <v>2.549946120035542</v>
      </c>
      <c r="N540" t="n">
        <v>0.00124987501249875</v>
      </c>
      <c r="O540" t="n">
        <v>2001956.501148333</v>
      </c>
      <c r="P540" t="n">
        <v>1564729.842790877</v>
      </c>
      <c r="Q540">
        <f>'_live'!$C$21</f>
        <v/>
      </c>
      <c r="R540" t="inlineStr">
        <is>
          <t>shuffled: 0 of 10,000</t>
        </is>
      </c>
      <c r="S540" t="inlineStr">
        <is>
          <t>shuffled: 0 of 10,000</t>
        </is>
      </c>
      <c r="T540" t="n">
        <v>0.06707029325668612</v>
      </c>
      <c r="U540" t="n">
        <v>0.1183097269918974</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0.3016834293054531</v>
      </c>
      <c r="AI540">
        <f>IF($Y540="worse","Yes",IF($Y540="worse, not significant","Not sure",IF(OR($Y540="too few losses to test",$Y540="too few loans to test"),"Too few losses",IF($Y540="","","No"))))</f>
        <v/>
      </c>
      <c r="AJ540">
        <f>IF($AA540="yes","Yes",IF($AA540="","","No"))</f>
        <v/>
      </c>
      <c r="AK540" t="n">
        <v>0.00124987501249875</v>
      </c>
      <c r="AL540" t="n">
        <v>0.00124987501249875</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FICO x CHANNEL / SYS_FLAG</t>
        </is>
      </c>
      <c r="C541" t="inlineStr">
        <is>
          <t>496 - 653</t>
        </is>
      </c>
      <c r="D541" t="inlineStr">
        <is>
          <t>Broker / SYS_FLAG Y</t>
        </is>
      </c>
      <c r="E541" t="inlineStr">
        <is>
          <t>gco_rate</t>
        </is>
      </c>
      <c r="F541" t="inlineStr">
        <is>
          <t>GCO per booked dollar</t>
        </is>
      </c>
      <c r="G541" t="n">
        <v>265</v>
      </c>
      <c r="H541" t="n">
        <v>8533011.129999999</v>
      </c>
      <c r="I541" t="b">
        <v>0</v>
      </c>
      <c r="J541" t="b">
        <v>0</v>
      </c>
      <c r="K541" t="n">
        <v>4.453874306550174</v>
      </c>
      <c r="L541" t="n">
        <v>0.00124987501249875</v>
      </c>
      <c r="M541" t="n">
        <v>2.493214468325908</v>
      </c>
      <c r="N541" t="n">
        <v>0.00124987501249875</v>
      </c>
      <c r="O541" t="n">
        <v>1100490.59164089</v>
      </c>
      <c r="P541" t="n">
        <v>849924.4302241174</v>
      </c>
      <c r="Q541">
        <f>'_live'!$C$22</f>
        <v/>
      </c>
      <c r="R541" t="inlineStr">
        <is>
          <t>shuffled: 0 of 10,000</t>
        </is>
      </c>
      <c r="S541" t="inlineStr">
        <is>
          <t>shuffled: 0 of 10,000</t>
        </is>
      </c>
      <c r="T541" t="n">
        <v>0.03734027338121022</v>
      </c>
      <c r="U541" t="n">
        <v>0.06670460416660473</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0.1663088842121316</v>
      </c>
      <c r="AI541">
        <f>IF($Y541="worse","Yes",IF($Y541="worse, not significant","Not sure",IF(OR($Y541="too few losses to test",$Y541="too few loans to test"),"Too few losses",IF($Y541="","","No"))))</f>
        <v/>
      </c>
      <c r="AJ541">
        <f>IF($AA541="yes","Yes",IF($AA541="","","No"))</f>
        <v/>
      </c>
      <c r="AK541" t="n">
        <v>0.00124987501249875</v>
      </c>
      <c r="AL541" t="n">
        <v>0.00124987501249875</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FICO x CHANNEL / SYS_FLAG</t>
        </is>
      </c>
      <c r="C542" t="inlineStr">
        <is>
          <t>496 - 653</t>
        </is>
      </c>
      <c r="D542" t="inlineStr">
        <is>
          <t>Broker / SYS_FLAG Y</t>
        </is>
      </c>
      <c r="E542" t="inlineStr">
        <is>
          <t>ranr_rate</t>
        </is>
      </c>
      <c r="F542" t="inlineStr">
        <is>
          <t>Profit after losses: RANR per booked dollar</t>
        </is>
      </c>
      <c r="G542" t="n">
        <v>265</v>
      </c>
      <c r="H542" t="n">
        <v>8533011.129999999</v>
      </c>
      <c r="I542" t="b">
        <v>0</v>
      </c>
      <c r="J542" t="b">
        <v>0</v>
      </c>
      <c r="K542" t="n">
        <v>-0.01398546556983693</v>
      </c>
      <c r="L542" t="n">
        <v>0.4005959404059594</v>
      </c>
      <c r="M542" t="n">
        <v>-0.09100711630705258</v>
      </c>
      <c r="N542" t="n">
        <v>0.0017998200179982</v>
      </c>
      <c r="O542" t="n">
        <v>119338.1333656503</v>
      </c>
      <c r="P542" t="n">
        <v>776564.7363572841</v>
      </c>
      <c r="Q542">
        <f>'_live'!$C$23</f>
        <v/>
      </c>
      <c r="R542" t="inlineStr">
        <is>
          <t>shuffled: 2,706 of 10,000</t>
        </is>
      </c>
      <c r="S542" t="inlineStr">
        <is>
          <t>shuffled: 0 of 10,000</t>
        </is>
      </c>
      <c r="T542" t="n">
        <v>0.1284524778729136</v>
      </c>
      <c r="U542" t="n">
        <v>0.2054741286101293</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0.1144670123030767</v>
      </c>
      <c r="AI542">
        <f>IF($Y542="worse","Yes",IF($Y542="worse, not significant","Not sure",IF(OR($Y542="too few losses to test",$Y542="too few loans to test"),"Too few losses",IF($Y542="","","No"))))</f>
        <v/>
      </c>
      <c r="AJ542">
        <f>IF($AA542="yes","Yes",IF($AA542="","","No"))</f>
        <v/>
      </c>
      <c r="AK542" t="n">
        <v>0.006575750028179939</v>
      </c>
      <c r="AL542" t="n">
        <v>0.0017998200179982</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FICO x CHANNEL / SYS_FLAG</t>
        </is>
      </c>
      <c r="C543" t="inlineStr">
        <is>
          <t>496 - 653</t>
        </is>
      </c>
      <c r="D543" t="inlineStr">
        <is>
          <t>Broker / SYS_FLAG Y</t>
        </is>
      </c>
      <c r="E543" t="inlineStr">
        <is>
          <t>contribution_rate</t>
        </is>
      </c>
      <c r="F543" t="inlineStr">
        <is>
          <t>Contribution before losses per booked dollar</t>
        </is>
      </c>
      <c r="G543" t="n">
        <v>265</v>
      </c>
      <c r="H543" t="n">
        <v>8533011.129999999</v>
      </c>
      <c r="I543" t="b">
        <v>0</v>
      </c>
      <c r="J543" t="b">
        <v>0</v>
      </c>
      <c r="K543" t="n">
        <v>0.1149860287435978</v>
      </c>
      <c r="L543" t="n">
        <v>0.000184981501849815</v>
      </c>
      <c r="M543" t="n">
        <v>0.008597163738474523</v>
      </c>
      <c r="N543" t="n">
        <v>0.6264813518648135</v>
      </c>
      <c r="O543" t="n">
        <v>-981177.0630636192</v>
      </c>
      <c r="P543" t="n">
        <v>-73359.69386683544</v>
      </c>
      <c r="Q543">
        <f>'_live'!$C$24</f>
        <v/>
      </c>
      <c r="R543" t="inlineStr">
        <is>
          <t>shuffled: 0 of 10,000</t>
        </is>
      </c>
      <c r="S543" t="inlineStr">
        <is>
          <t>shuffled: 4,350 of 10,000</t>
        </is>
      </c>
      <c r="T543" t="n">
        <v>0.1657898677716108</v>
      </c>
      <c r="U543" t="n">
        <v>0.272178732776734</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0.2807758965152085</v>
      </c>
      <c r="AI543">
        <f>IF($Y543="worse","Yes",IF($Y543="worse, not significant","Not sure",IF(OR($Y543="too few losses to test",$Y543="too few loans to test"),"Too few losses",IF($Y543="","","No"))))</f>
        <v/>
      </c>
      <c r="AJ543">
        <f>IF($AA543="yes","Yes",IF($AA543="","","No"))</f>
        <v/>
      </c>
      <c r="AK543" t="n">
        <v>0.000184981501849815</v>
      </c>
      <c r="AL543" t="n">
        <v>0.007139007371133379</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FICO x CHANNEL / SYS_FLAG</t>
        </is>
      </c>
      <c r="C544" t="inlineStr">
        <is>
          <t>496 - 653</t>
        </is>
      </c>
      <c r="D544" t="inlineStr">
        <is>
          <t>Online / SYS_FLAG Y</t>
        </is>
      </c>
      <c r="E544" t="inlineStr">
        <is>
          <t>outcome_loans</t>
        </is>
      </c>
      <c r="F544" t="inlineStr">
        <is>
          <t>Outcome, share of loans</t>
        </is>
      </c>
      <c r="G544" t="n">
        <v>226</v>
      </c>
      <c r="H544" t="n">
        <v>226</v>
      </c>
      <c r="I544" t="b">
        <v>0</v>
      </c>
      <c r="J544" t="b">
        <v>0</v>
      </c>
      <c r="K544" t="n">
        <v>1.874960425743619</v>
      </c>
      <c r="L544" t="n">
        <v>0.002064095339141564</v>
      </c>
      <c r="M544" t="n">
        <v>0.9315692631210024</v>
      </c>
      <c r="N544" t="n">
        <v>0.8166601988611752</v>
      </c>
      <c r="O544" t="n">
        <v>14.93297311205455</v>
      </c>
      <c r="P544" t="n">
        <v>-2.350639578630549</v>
      </c>
      <c r="Q544">
        <f>'_live'!$C$20</f>
        <v/>
      </c>
      <c r="R544" t="inlineStr">
        <is>
          <t>z test</t>
        </is>
      </c>
      <c r="S544" t="inlineStr">
        <is>
          <t>z test</t>
        </is>
      </c>
      <c r="T544" t="n">
        <v>0.07551781808825421</v>
      </c>
      <c r="U544" t="n">
        <v>0.1519939804364183</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0.1415929203539823</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FICO x CHANNEL / SYS_FLAG</t>
        </is>
      </c>
      <c r="C545" t="inlineStr">
        <is>
          <t>496 - 653</t>
        </is>
      </c>
      <c r="D545" t="inlineStr">
        <is>
          <t>Online / SYS_FLAG Y</t>
        </is>
      </c>
      <c r="E545" t="inlineStr">
        <is>
          <t>outcome_booked</t>
        </is>
      </c>
      <c r="F545" t="inlineStr">
        <is>
          <t>Outcome, share of booked dollars</t>
        </is>
      </c>
      <c r="G545" t="n">
        <v>226</v>
      </c>
      <c r="H545" t="n">
        <v>7441951.209999996</v>
      </c>
      <c r="I545" t="b">
        <v>0</v>
      </c>
      <c r="J545" t="b">
        <v>0</v>
      </c>
      <c r="K545" t="n">
        <v>1.998207211315246</v>
      </c>
      <c r="L545" t="n">
        <v>0.0024997500249975</v>
      </c>
      <c r="M545" t="n">
        <v>0.9700692769157516</v>
      </c>
      <c r="N545" t="n">
        <v>0.9156376029063761</v>
      </c>
      <c r="O545" t="n">
        <v>540318.8963216298</v>
      </c>
      <c r="P545" t="n">
        <v>-33372.16896723863</v>
      </c>
      <c r="Q545">
        <f>'_live'!$C$21</f>
        <v/>
      </c>
      <c r="R545" t="inlineStr">
        <is>
          <t>shuffled: 2 of 10,000</t>
        </is>
      </c>
      <c r="S545" t="inlineStr">
        <is>
          <t>shuffled: 8,747 of 10,000</t>
        </is>
      </c>
      <c r="T545" t="n">
        <v>0.07273486460795683</v>
      </c>
      <c r="U545" t="n">
        <v>0.1498236614974044</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0.1453393309736574</v>
      </c>
      <c r="AI545">
        <f>IF($Y545="worse","Yes",IF($Y545="worse, not significant","Not sure",IF(OR($Y545="too few losses to test",$Y545="too few loans to test"),"Too few losses",IF($Y545="","","No"))))</f>
        <v/>
      </c>
      <c r="AJ545">
        <f>IF($AA545="yes","Yes",IF($AA545="","","No"))</f>
        <v/>
      </c>
      <c r="AK545" t="n">
        <v>0.001443087019487218</v>
      </c>
      <c r="AL545" t="n">
        <v>0.003397012655819924</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FICO x CHANNEL / SYS_FLAG</t>
        </is>
      </c>
      <c r="C546" t="inlineStr">
        <is>
          <t>496 - 653</t>
        </is>
      </c>
      <c r="D546" t="inlineStr">
        <is>
          <t>Online / SYS_FLAG Y</t>
        </is>
      </c>
      <c r="E546" t="inlineStr">
        <is>
          <t>gco_rate</t>
        </is>
      </c>
      <c r="F546" t="inlineStr">
        <is>
          <t>GCO per booked dollar</t>
        </is>
      </c>
      <c r="G546" t="n">
        <v>226</v>
      </c>
      <c r="H546" t="n">
        <v>7441951.209999996</v>
      </c>
      <c r="I546" t="b">
        <v>0</v>
      </c>
      <c r="J546" t="b">
        <v>0</v>
      </c>
      <c r="K546" t="n">
        <v>1.915647824250216</v>
      </c>
      <c r="L546" t="n">
        <v>0.01666500016665</v>
      </c>
      <c r="M546" t="n">
        <v>0.9194875419412953</v>
      </c>
      <c r="N546" t="n">
        <v>0.8138471867099005</v>
      </c>
      <c r="O546" t="n">
        <v>276212.4524752767</v>
      </c>
      <c r="P546" t="n">
        <v>-50599.67104096105</v>
      </c>
      <c r="Q546">
        <f>'_live'!$C$22</f>
        <v/>
      </c>
      <c r="R546" t="inlineStr">
        <is>
          <t>shuffled: 19 of 10,000</t>
        </is>
      </c>
      <c r="S546" t="inlineStr">
        <is>
          <t>shuffled: 6,836 of 10,000</t>
        </is>
      </c>
      <c r="T546" t="n">
        <v>0.04053479376744306</v>
      </c>
      <c r="U546" t="n">
        <v>0.08444963737419629</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0.0776503894870335</v>
      </c>
      <c r="AI546">
        <f>IF($Y546="worse","Yes",IF($Y546="worse, not significant","Not sure",IF(OR($Y546="too few losses to test",$Y546="too few loans to test"),"Too few losses",IF($Y546="","","No"))))</f>
        <v/>
      </c>
      <c r="AJ546">
        <f>IF($AA546="yes","Yes",IF($AA546="","","No"))</f>
        <v/>
      </c>
      <c r="AK546" t="n">
        <v>0.003722865551671126</v>
      </c>
      <c r="AL546" t="n">
        <v>0.005536410887466243</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FICO x CHANNEL / SYS_FLAG</t>
        </is>
      </c>
      <c r="C547" t="inlineStr">
        <is>
          <t>496 - 653</t>
        </is>
      </c>
      <c r="D547" t="inlineStr">
        <is>
          <t>Online / SYS_FLAG Y</t>
        </is>
      </c>
      <c r="E547" t="inlineStr">
        <is>
          <t>ranr_rate</t>
        </is>
      </c>
      <c r="F547" t="inlineStr">
        <is>
          <t>Profit after losses: RANR per booked dollar</t>
        </is>
      </c>
      <c r="G547" t="n">
        <v>226</v>
      </c>
      <c r="H547" t="n">
        <v>7441951.209999996</v>
      </c>
      <c r="I547" t="b">
        <v>0</v>
      </c>
      <c r="J547" t="b">
        <v>0</v>
      </c>
      <c r="K547" t="n">
        <v>0.06774118935265613</v>
      </c>
      <c r="L547" t="n">
        <v>0.0002845869259227924</v>
      </c>
      <c r="M547" t="n">
        <v>0.004225716768341686</v>
      </c>
      <c r="N547" t="n">
        <v>0.9530046995300471</v>
      </c>
      <c r="O547" t="n">
        <v>-504126.6260698382</v>
      </c>
      <c r="P547" t="n">
        <v>-31447.57801727764</v>
      </c>
      <c r="Q547">
        <f>'_live'!$C$23</f>
        <v/>
      </c>
      <c r="R547" t="inlineStr">
        <is>
          <t>shuffled: 0 of 10,000</t>
        </is>
      </c>
      <c r="S547" t="inlineStr">
        <is>
          <t>shuffled: 8,318 of 10,000</t>
        </is>
      </c>
      <c r="T547" t="n">
        <v>0.1260365887201459</v>
      </c>
      <c r="U547" t="n">
        <v>0.1895520613044604</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0.1937777780728021</v>
      </c>
      <c r="AI547">
        <f>IF($Y547="worse","Yes",IF($Y547="worse, not significant","Not sure",IF(OR($Y547="too few losses to test",$Y547="too few loans to test"),"Too few losses",IF($Y547="","","No"))))</f>
        <v/>
      </c>
      <c r="AJ547">
        <f>IF($AA547="yes","Yes",IF($AA547="","","No"))</f>
        <v/>
      </c>
      <c r="AK547" t="n">
        <v>0.0002845869259227924</v>
      </c>
      <c r="AL547" t="n">
        <v>0.004048608769008777</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FICO x CHANNEL / SYS_FLAG</t>
        </is>
      </c>
      <c r="C548" t="inlineStr">
        <is>
          <t>496 - 653</t>
        </is>
      </c>
      <c r="D548" t="inlineStr">
        <is>
          <t>Online / SYS_FLAG Y</t>
        </is>
      </c>
      <c r="E548" t="inlineStr">
        <is>
          <t>contribution_rate</t>
        </is>
      </c>
      <c r="F548" t="inlineStr">
        <is>
          <t>Contribution before losses per booked dollar</t>
        </is>
      </c>
      <c r="G548" t="n">
        <v>226</v>
      </c>
      <c r="H548" t="n">
        <v>7441951.209999996</v>
      </c>
      <c r="I548" t="b">
        <v>0</v>
      </c>
      <c r="J548" t="b">
        <v>0</v>
      </c>
      <c r="K548" t="n">
        <v>0.1048600385947136</v>
      </c>
      <c r="L548" t="n">
        <v>0.000184981501849815</v>
      </c>
      <c r="M548" t="n">
        <v>-0.002573531118821193</v>
      </c>
      <c r="N548" t="n">
        <v>0.9233076692330766</v>
      </c>
      <c r="O548" t="n">
        <v>-780363.2911005749</v>
      </c>
      <c r="P548" t="n">
        <v>19152.09302368411</v>
      </c>
      <c r="Q548">
        <f>'_live'!$C$24</f>
        <v/>
      </c>
      <c r="R548" t="inlineStr">
        <is>
          <t>shuffled: 0 of 10,000</t>
        </is>
      </c>
      <c r="S548" t="inlineStr">
        <is>
          <t>shuffled: 8,207 of 10,000</t>
        </is>
      </c>
      <c r="T548" t="n">
        <v>0.166568128965122</v>
      </c>
      <c r="U548" t="n">
        <v>0.2740016986786568</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0.2714281675598356</v>
      </c>
      <c r="AI548">
        <f>IF($Y548="worse","Yes",IF($Y548="worse, not significant","Not sure",IF(OR($Y548="too few losses to test",$Y548="too few loans to test"),"Too few losses",IF($Y548="","","No"))))</f>
        <v/>
      </c>
      <c r="AJ548">
        <f>IF($AA548="yes","Yes",IF($AA548="","","No"))</f>
        <v/>
      </c>
      <c r="AK548" t="n">
        <v>0.000184981501849815</v>
      </c>
      <c r="AL548" t="n">
        <v>0.004315368765500751</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FICO x CHANNEL / SYS_FLAG</t>
        </is>
      </c>
      <c r="C549" t="inlineStr">
        <is>
          <t>746 - 921</t>
        </is>
      </c>
      <c r="D549" t="inlineStr">
        <is>
          <t>Broker / SYS_FLAG Y</t>
        </is>
      </c>
      <c r="E549" t="inlineStr">
        <is>
          <t>outcome_loans</t>
        </is>
      </c>
      <c r="F549" t="inlineStr">
        <is>
          <t>Outcome, share of loans</t>
        </is>
      </c>
      <c r="G549" t="n">
        <v>237</v>
      </c>
      <c r="H549" t="n">
        <v>237</v>
      </c>
      <c r="I549" t="b">
        <v>0</v>
      </c>
      <c r="J549" t="b">
        <v>0</v>
      </c>
      <c r="K549" t="n">
        <v>0.6474673117427481</v>
      </c>
      <c r="L549" t="n">
        <v>0.2037254218873222</v>
      </c>
      <c r="M549" t="n">
        <v>1.350886075949367</v>
      </c>
      <c r="N549" t="n">
        <v>0.4693546920434155</v>
      </c>
      <c r="O549" t="n">
        <v>-6.533754187065188</v>
      </c>
      <c r="P549" t="n">
        <v>3.116941529235381</v>
      </c>
      <c r="Q549">
        <f>'_live'!$C$20</f>
        <v/>
      </c>
      <c r="R549" t="inlineStr">
        <is>
          <t>z test</t>
        </is>
      </c>
      <c r="S549" t="inlineStr">
        <is>
          <t>z test</t>
        </is>
      </c>
      <c r="T549" t="n">
        <v>0.07820149446019067</v>
      </c>
      <c r="U549" t="n">
        <v>0.03748125937031484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0.05063291139240506</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FICO x CHANNEL / SYS_FLAG</t>
        </is>
      </c>
      <c r="C550" t="inlineStr">
        <is>
          <t>746 - 921</t>
        </is>
      </c>
      <c r="D550" t="inlineStr">
        <is>
          <t>Broker / SYS_FLAG Y</t>
        </is>
      </c>
      <c r="E550" t="inlineStr">
        <is>
          <t>outcome_booked</t>
        </is>
      </c>
      <c r="F550" t="inlineStr">
        <is>
          <t>Outcome, share of booked dollars</t>
        </is>
      </c>
      <c r="G550" t="n">
        <v>237</v>
      </c>
      <c r="H550" t="n">
        <v>7733806.240000006</v>
      </c>
      <c r="I550" t="b">
        <v>0</v>
      </c>
      <c r="J550" t="b">
        <v>0</v>
      </c>
      <c r="K550" t="n">
        <v>0.6404127588680679</v>
      </c>
      <c r="L550" t="n">
        <v>0.255641102556411</v>
      </c>
      <c r="M550" t="n">
        <v>1.39482000030846</v>
      </c>
      <c r="N550" t="n">
        <v>0.5509975318257648</v>
      </c>
      <c r="O550" t="n">
        <v>-210364.6821987869</v>
      </c>
      <c r="P550" t="n">
        <v>106049.7158049449</v>
      </c>
      <c r="Q550">
        <f>'_live'!$C$21</f>
        <v/>
      </c>
      <c r="R550" t="inlineStr">
        <is>
          <t>shuffled: 1,533 of 10,000</t>
        </is>
      </c>
      <c r="S550" t="inlineStr">
        <is>
          <t>shuffled: 3,427 of 10,000</t>
        </is>
      </c>
      <c r="T550" t="n">
        <v>0.0756441361529102</v>
      </c>
      <c r="U550" t="n">
        <v>0.03473098314848071</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0.04844346992587698</v>
      </c>
      <c r="AI550">
        <f>IF($Y550="worse","Yes",IF($Y550="worse, not significant","Not sure",IF(OR($Y550="too few losses to test",$Y550="too few loans to test"),"Too few losses",IF($Y550="","","No"))))</f>
        <v/>
      </c>
      <c r="AJ550">
        <f>IF($AA550="yes","Yes",IF($AA550="","","No"))</f>
        <v/>
      </c>
      <c r="AK550" t="n">
        <v>0.006005964792973962</v>
      </c>
      <c r="AL550" t="n">
        <v>0.006491521180156753</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FICO x CHANNEL / SYS_FLAG</t>
        </is>
      </c>
      <c r="C551" t="inlineStr">
        <is>
          <t>746 - 921</t>
        </is>
      </c>
      <c r="D551" t="inlineStr">
        <is>
          <t>Broker / SYS_FLAG Y</t>
        </is>
      </c>
      <c r="E551" t="inlineStr">
        <is>
          <t>gco_rate</t>
        </is>
      </c>
      <c r="F551" t="inlineStr">
        <is>
          <t>GCO per booked dollar</t>
        </is>
      </c>
      <c r="G551" t="n">
        <v>237</v>
      </c>
      <c r="H551" t="n">
        <v>7733806.240000006</v>
      </c>
      <c r="I551" t="b">
        <v>0</v>
      </c>
      <c r="J551" t="b">
        <v>0</v>
      </c>
      <c r="K551" t="n">
        <v>0.6368364462932679</v>
      </c>
      <c r="L551" t="n">
        <v>0.2398289582806425</v>
      </c>
      <c r="M551" t="n">
        <v>1.482031176631609</v>
      </c>
      <c r="N551" t="n">
        <v>0.454287904542879</v>
      </c>
      <c r="O551" t="n">
        <v>-118140.0203519526</v>
      </c>
      <c r="P551" t="n">
        <v>67381.47023849803</v>
      </c>
      <c r="Q551">
        <f>'_live'!$C$22</f>
        <v/>
      </c>
      <c r="R551" t="inlineStr">
        <is>
          <t>shuffled: 1,630 of 10,000</t>
        </is>
      </c>
      <c r="S551" t="inlineStr">
        <is>
          <t>shuffled: 2,566 of 10,000</t>
        </is>
      </c>
      <c r="T551" t="n">
        <v>0.04206312134760081</v>
      </c>
      <c r="U551" t="n">
        <v>0.01807474035727871</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0.02678732871900859</v>
      </c>
      <c r="AI551">
        <f>IF($Y551="worse","Yes",IF($Y551="worse, not significant","Not sure",IF(OR($Y551="too few losses to test",$Y551="too few loans to test"),"Too few losses",IF($Y551="","","No"))))</f>
        <v/>
      </c>
      <c r="AJ551">
        <f>IF($AA551="yes","Yes",IF($AA551="","","No"))</f>
        <v/>
      </c>
      <c r="AK551" t="n">
        <v>0.005432970783101806</v>
      </c>
      <c r="AL551" t="n">
        <v>0.007421381322621181</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FICO x CHANNEL / SYS_FLAG</t>
        </is>
      </c>
      <c r="C552" t="inlineStr">
        <is>
          <t>746 - 921</t>
        </is>
      </c>
      <c r="D552" t="inlineStr">
        <is>
          <t>Broker / SYS_FLAG Y</t>
        </is>
      </c>
      <c r="E552" t="inlineStr">
        <is>
          <t>ranr_rate</t>
        </is>
      </c>
      <c r="F552" t="inlineStr">
        <is>
          <t>Profit after losses: RANR per booked dollar</t>
        </is>
      </c>
      <c r="G552" t="n">
        <v>237</v>
      </c>
      <c r="H552" t="n">
        <v>7733806.240000006</v>
      </c>
      <c r="I552" t="b">
        <v>0</v>
      </c>
      <c r="J552" t="b">
        <v>0</v>
      </c>
      <c r="K552" t="n">
        <v>-0.09148849612904536</v>
      </c>
      <c r="L552" t="n">
        <v>0.0002845869259227924</v>
      </c>
      <c r="M552" t="n">
        <v>-0.008855635174494801</v>
      </c>
      <c r="N552" t="n">
        <v>0.5897057353088221</v>
      </c>
      <c r="O552" t="n">
        <v>707554.3022510274</v>
      </c>
      <c r="P552" t="n">
        <v>68487.76657167141</v>
      </c>
      <c r="Q552">
        <f>'_live'!$C$23</f>
        <v/>
      </c>
      <c r="R552" t="inlineStr">
        <is>
          <t>shuffled: 0 of 10,000</t>
        </is>
      </c>
      <c r="S552" t="inlineStr">
        <is>
          <t>shuffled: 2,765 of 10,000</t>
        </is>
      </c>
      <c r="T552" t="n">
        <v>0.1307317808172844</v>
      </c>
      <c r="U552" t="n">
        <v>0.04809891986273387</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0.03924328468823907</v>
      </c>
      <c r="AI552">
        <f>IF($Y552="worse","Yes",IF($Y552="worse, not significant","Not sure",IF(OR($Y552="too few losses to test",$Y552="too few loans to test"),"Too few losses",IF($Y552="","","No"))))</f>
        <v/>
      </c>
      <c r="AJ552">
        <f>IF($AA552="yes","Yes",IF($AA552="","","No"))</f>
        <v/>
      </c>
      <c r="AK552" t="n">
        <v>0.0002845869259227924</v>
      </c>
      <c r="AL552" t="n">
        <v>0.009492290354239988</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FICO x CHANNEL / SYS_FLAG</t>
        </is>
      </c>
      <c r="C553" t="inlineStr">
        <is>
          <t>746 - 921</t>
        </is>
      </c>
      <c r="D553" t="inlineStr">
        <is>
          <t>Broker / SYS_FLAG Y</t>
        </is>
      </c>
      <c r="E553" t="inlineStr">
        <is>
          <t>contribution_rate</t>
        </is>
      </c>
      <c r="F553" t="inlineStr">
        <is>
          <t>Contribution before losses per booked dollar</t>
        </is>
      </c>
      <c r="G553" t="n">
        <v>237</v>
      </c>
      <c r="H553" t="n">
        <v>7733806.240000006</v>
      </c>
      <c r="I553" t="b">
        <v>0</v>
      </c>
      <c r="J553" t="b">
        <v>0</v>
      </c>
      <c r="K553" t="n">
        <v>-0.1067617758672179</v>
      </c>
      <c r="L553" t="n">
        <v>0.000184981501849815</v>
      </c>
      <c r="M553" t="n">
        <v>-0.0001430468127649048</v>
      </c>
      <c r="N553" t="n">
        <v>0.9626037396260373</v>
      </c>
      <c r="O553" t="n">
        <v>825674.8883953718</v>
      </c>
      <c r="P553" t="n">
        <v>1106.296333173348</v>
      </c>
      <c r="Q553">
        <f>'_live'!$C$24</f>
        <v/>
      </c>
      <c r="R553" t="inlineStr">
        <is>
          <t>shuffled: 0 of 10,000</t>
        </is>
      </c>
      <c r="S553" t="inlineStr">
        <is>
          <t>shuffled: 9,580 of 10,000</t>
        </is>
      </c>
      <c r="T553" t="n">
        <v>0.1727923892744656</v>
      </c>
      <c r="U553" t="n">
        <v>0.06617366022001257</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0.06603061340724767</v>
      </c>
      <c r="AI553">
        <f>IF($Y553="worse","Yes",IF($Y553="worse, not significant","Not sure",IF(OR($Y553="too few losses to test",$Y553="too few loans to test"),"Too few losses",IF($Y553="","","No"))))</f>
        <v/>
      </c>
      <c r="AJ553">
        <f>IF($AA553="yes","Yes",IF($AA553="","","No"))</f>
        <v/>
      </c>
      <c r="AK553" t="n">
        <v>0.000184981501849815</v>
      </c>
      <c r="AL553" t="n">
        <v>0.001897308095276184</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row r="554">
      <c r="A554" t="inlineStr">
        <is>
          <t>three-way</t>
        </is>
      </c>
      <c r="B554" t="inlineStr">
        <is>
          <t>FICO x CHANNEL / SYS_FLAG</t>
        </is>
      </c>
      <c r="C554" t="inlineStr">
        <is>
          <t>686 - 711</t>
        </is>
      </c>
      <c r="D554" t="inlineStr">
        <is>
          <t>Branch / SYS_FLAG Y</t>
        </is>
      </c>
      <c r="E554" t="inlineStr">
        <is>
          <t>outcome_loans</t>
        </is>
      </c>
      <c r="F554" t="inlineStr">
        <is>
          <t>Outcome, share of loans</t>
        </is>
      </c>
      <c r="G554" t="n">
        <v>235</v>
      </c>
      <c r="H554" t="n">
        <v>235</v>
      </c>
      <c r="I554" t="b">
        <v>0</v>
      </c>
      <c r="J554" t="b">
        <v>0</v>
      </c>
      <c r="K554" t="n">
        <v>0.5977323628219484</v>
      </c>
      <c r="L554" t="n">
        <v>0.1704226974856417</v>
      </c>
      <c r="M554" t="n">
        <v>0.7307634543178974</v>
      </c>
      <c r="N554" t="n">
        <v>0.4563275159972116</v>
      </c>
      <c r="O554" t="n">
        <v>-7.402885110767645</v>
      </c>
      <c r="P554" t="n">
        <v>-4.052750565184628</v>
      </c>
      <c r="Q554">
        <f>'_live'!$C$20</f>
        <v/>
      </c>
      <c r="R554" t="inlineStr">
        <is>
          <t>z test</t>
        </is>
      </c>
      <c r="S554" t="inlineStr">
        <is>
          <t>z test</t>
        </is>
      </c>
      <c r="T554" t="n">
        <v>0.0783101494075219</v>
      </c>
      <c r="U554" t="n">
        <v>0.06405425772418991</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0.04680851063829787</v>
      </c>
      <c r="AI554">
        <f>IF($Y554="worse","Yes",IF($Y554="worse, not significant","Not sure",IF(OR($Y554="too few losses to test",$Y554="too few loans to test"),"Too few losses",IF($Y554="","","No"))))</f>
        <v/>
      </c>
      <c r="AJ554">
        <f>IF($AA554="yes","Yes",IF($AA554="","","No"))</f>
        <v/>
      </c>
      <c r="AM554">
        <f>IF(AND(ISNUMBER($AC554),ISNUMBER(IF($V554,IF($AL554="","",$AL554),IF($AK554="","",$AK554)))),IF(AND(ABS($AC554-significance_bar)&lt;=2.0*IF($V554,IF($AL554="","",$AL554),IF($AK554="","",$AK554)),OR($Y554="worse",$Y554="better",$Y554="worse, not significant",$Y554="better, not significant")),IF(ROUND($AC554,3)=ROUND(significance_bar,3),TEXT($AC554,"0.0000"),TEXT($AC554,"0.000")),""),"")</f>
        <v/>
      </c>
      <c r="AN554">
        <f>IF(AND(ISNUMBER($AC554),ISNUMBER(IF($V554,IF($AL554="","",$AL554),IF($AK554="","",$AK554)))),IF(AND(ABS($AC554-significance_bar)&lt;=2.0*IF($V554,IF($AL554="","",$AL554),IF($AK554="","",$AK554)),OR($Y554="worse",$Y554="worse, not significant")),IF(ROUND($AC554,3)=ROUND(significance_bar,3),TEXT($AC554,"0.0000"),TEXT($AC554,"0.000")),""),"")</f>
        <v/>
      </c>
      <c r="AO554">
        <f>IF(OR($AI554="",$AN554=""),$AI554,$AI554&amp;" · borderline (p "&amp;$AN554&amp;")")</f>
        <v/>
      </c>
    </row>
    <row r="555">
      <c r="A555" t="inlineStr">
        <is>
          <t>three-way</t>
        </is>
      </c>
      <c r="B555" t="inlineStr">
        <is>
          <t>FICO x CHANNEL / SYS_FLAG</t>
        </is>
      </c>
      <c r="C555" t="inlineStr">
        <is>
          <t>686 - 711</t>
        </is>
      </c>
      <c r="D555" t="inlineStr">
        <is>
          <t>Branch / SYS_FLAG Y</t>
        </is>
      </c>
      <c r="E555" t="inlineStr">
        <is>
          <t>outcome_booked</t>
        </is>
      </c>
      <c r="F555" t="inlineStr">
        <is>
          <t>Outcome, share of booked dollars</t>
        </is>
      </c>
      <c r="G555" t="n">
        <v>235</v>
      </c>
      <c r="H555" t="n">
        <v>7589760.98</v>
      </c>
      <c r="I555" t="b">
        <v>0</v>
      </c>
      <c r="J555" t="b">
        <v>0</v>
      </c>
      <c r="K555" t="n">
        <v>0.5689410122981519</v>
      </c>
      <c r="L555" t="n">
        <v>0.1678403588212607</v>
      </c>
      <c r="M555" t="n">
        <v>0.7275907255115405</v>
      </c>
      <c r="N555" t="n">
        <v>0.5509975318257648</v>
      </c>
      <c r="O555" t="n">
        <v>-247956.6155146936</v>
      </c>
      <c r="P555" t="n">
        <v>-122529.5874565162</v>
      </c>
      <c r="Q555">
        <f>'_live'!$C$21</f>
        <v/>
      </c>
      <c r="R555" t="inlineStr">
        <is>
          <t>shuffled: 910 of 10,000</t>
        </is>
      </c>
      <c r="S555" t="inlineStr">
        <is>
          <t>shuffled: 3,647 of 10,000</t>
        </is>
      </c>
      <c r="T555" t="n">
        <v>0.07578982355709094</v>
      </c>
      <c r="U555" t="n">
        <v>0.0592640029958514</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0.04311993893646963</v>
      </c>
      <c r="AI555">
        <f>IF($Y555="worse","Yes",IF($Y555="worse, not significant","Not sure",IF(OR($Y555="too few losses to test",$Y555="too few loans to test"),"Too few losses",IF($Y555="","","No"))))</f>
        <v/>
      </c>
      <c r="AJ555">
        <f>IF($AA555="yes","Yes",IF($AA555="","","No"))</f>
        <v/>
      </c>
      <c r="AK555" t="n">
        <v>0.005210993575291449</v>
      </c>
      <c r="AL555" t="n">
        <v>0.006491521180156753</v>
      </c>
      <c r="AM555">
        <f>IF(AND(ISNUMBER($AC555),ISNUMBER(IF($V555,IF($AL555="","",$AL555),IF($AK555="","",$AK555)))),IF(AND(ABS($AC555-significance_bar)&lt;=2.0*IF($V555,IF($AL555="","",$AL555),IF($AK555="","",$AK555)),OR($Y555="worse",$Y555="better",$Y555="worse, not significant",$Y555="better, not significant")),IF(ROUND($AC555,3)=ROUND(significance_bar,3),TEXT($AC555,"0.0000"),TEXT($AC555,"0.000")),""),"")</f>
        <v/>
      </c>
      <c r="AN555">
        <f>IF(AND(ISNUMBER($AC555),ISNUMBER(IF($V555,IF($AL555="","",$AL555),IF($AK555="","",$AK555)))),IF(AND(ABS($AC555-significance_bar)&lt;=2.0*IF($V555,IF($AL555="","",$AL555),IF($AK555="","",$AK555)),OR($Y555="worse",$Y555="worse, not significant")),IF(ROUND($AC555,3)=ROUND(significance_bar,3),TEXT($AC555,"0.0000"),TEXT($AC555,"0.000")),""),"")</f>
        <v/>
      </c>
      <c r="AO555">
        <f>IF(OR($AI555="",$AN555=""),$AI555,$AI555&amp;" · borderline (p "&amp;$AN555&amp;")")</f>
        <v/>
      </c>
    </row>
    <row r="556">
      <c r="A556" t="inlineStr">
        <is>
          <t>three-way</t>
        </is>
      </c>
      <c r="B556" t="inlineStr">
        <is>
          <t>FICO x CHANNEL / SYS_FLAG</t>
        </is>
      </c>
      <c r="C556" t="inlineStr">
        <is>
          <t>686 - 711</t>
        </is>
      </c>
      <c r="D556" t="inlineStr">
        <is>
          <t>Branch / SYS_FLAG Y</t>
        </is>
      </c>
      <c r="E556" t="inlineStr">
        <is>
          <t>gco_rate</t>
        </is>
      </c>
      <c r="F556" t="inlineStr">
        <is>
          <t>GCO per booked dollar</t>
        </is>
      </c>
      <c r="G556" t="n">
        <v>235</v>
      </c>
      <c r="H556" t="n">
        <v>7589760.98</v>
      </c>
      <c r="I556" t="b">
        <v>0</v>
      </c>
      <c r="J556" t="b">
        <v>0</v>
      </c>
      <c r="K556" t="n">
        <v>0.4929448166433723</v>
      </c>
      <c r="L556" t="n">
        <v>0.1118638136186381</v>
      </c>
      <c r="M556" t="n">
        <v>0.6236358076004213</v>
      </c>
      <c r="N556" t="n">
        <v>0.4211117349803482</v>
      </c>
      <c r="O556" t="n">
        <v>-162539.0787248789</v>
      </c>
      <c r="P556" t="n">
        <v>-95362.60932409967</v>
      </c>
      <c r="Q556">
        <f>'_live'!$C$22</f>
        <v/>
      </c>
      <c r="R556" t="inlineStr">
        <is>
          <t>shuffled: 506 of 10,000</t>
        </is>
      </c>
      <c r="S556" t="inlineStr">
        <is>
          <t>shuffled: 2,189 of 10,000</t>
        </is>
      </c>
      <c r="T556" t="n">
        <v>0.04223519153891443</v>
      </c>
      <c r="U556" t="n">
        <v>0.03338425808029855</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0.02081961874904788</v>
      </c>
      <c r="AI556">
        <f>IF($Y556="worse","Yes",IF($Y556="worse, not significant","Not sure",IF(OR($Y556="too few losses to test",$Y556="too few loans to test"),"Too few losses",IF($Y556="","","No"))))</f>
        <v/>
      </c>
      <c r="AJ556">
        <f>IF($AA556="yes","Yes",IF($AA556="","","No"))</f>
        <v/>
      </c>
      <c r="AK556" t="n">
        <v>0.00469612711612655</v>
      </c>
      <c r="AL556" t="n">
        <v>0.007952956470643063</v>
      </c>
      <c r="AM556">
        <f>IF(AND(ISNUMBER($AC556),ISNUMBER(IF($V556,IF($AL556="","",$AL556),IF($AK556="","",$AK556)))),IF(AND(ABS($AC556-significance_bar)&lt;=2.0*IF($V556,IF($AL556="","",$AL556),IF($AK556="","",$AK556)),OR($Y556="worse",$Y556="better",$Y556="worse, not significant",$Y556="better, not significant")),IF(ROUND($AC556,3)=ROUND(significance_bar,3),TEXT($AC556,"0.0000"),TEXT($AC556,"0.000")),""),"")</f>
        <v/>
      </c>
      <c r="AN556">
        <f>IF(AND(ISNUMBER($AC556),ISNUMBER(IF($V556,IF($AL556="","",$AL556),IF($AK556="","",$AK556)))),IF(AND(ABS($AC556-significance_bar)&lt;=2.0*IF($V556,IF($AL556="","",$AL556),IF($AK556="","",$AK556)),OR($Y556="worse",$Y556="worse, not significant")),IF(ROUND($AC556,3)=ROUND(significance_bar,3),TEXT($AC556,"0.0000"),TEXT($AC556,"0.000")),""),"")</f>
        <v/>
      </c>
      <c r="AO556">
        <f>IF(OR($AI556="",$AN556=""),$AI556,$AI556&amp;" · borderline (p "&amp;$AN556&amp;")")</f>
        <v/>
      </c>
    </row>
    <row r="557">
      <c r="A557" t="inlineStr">
        <is>
          <t>three-way</t>
        </is>
      </c>
      <c r="B557" t="inlineStr">
        <is>
          <t>FICO x CHANNEL / SYS_FLAG</t>
        </is>
      </c>
      <c r="C557" t="inlineStr">
        <is>
          <t>686 - 711</t>
        </is>
      </c>
      <c r="D557" t="inlineStr">
        <is>
          <t>Branch / SYS_FLAG Y</t>
        </is>
      </c>
      <c r="E557" t="inlineStr">
        <is>
          <t>ranr_rate</t>
        </is>
      </c>
      <c r="F557" t="inlineStr">
        <is>
          <t>Profit after losses: RANR per booked dollar</t>
        </is>
      </c>
      <c r="G557" t="n">
        <v>235</v>
      </c>
      <c r="H557" t="n">
        <v>7589760.98</v>
      </c>
      <c r="I557" t="b">
        <v>0</v>
      </c>
      <c r="J557" t="b">
        <v>0</v>
      </c>
      <c r="K557" t="n">
        <v>0.004003864381393413</v>
      </c>
      <c r="L557" t="n">
        <v>0.8837491250874913</v>
      </c>
      <c r="M557" t="n">
        <v>-0.01179724032027063</v>
      </c>
      <c r="N557" t="n">
        <v>0.6081677546531061</v>
      </c>
      <c r="O557" t="n">
        <v>-30388.3736511115</v>
      </c>
      <c r="P557" t="n">
        <v>89538.23425447277</v>
      </c>
      <c r="Q557">
        <f>'_live'!$C$23</f>
        <v/>
      </c>
      <c r="R557" t="inlineStr">
        <is>
          <t>shuffled: 7,643 of 10,000</t>
        </is>
      </c>
      <c r="S557" t="inlineStr">
        <is>
          <t>shuffled: 3,547 of 10,000</t>
        </is>
      </c>
      <c r="T557" t="n">
        <v>0.1278722964934382</v>
      </c>
      <c r="U557" t="n">
        <v>0.1436734011951022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0.1318761608748316</v>
      </c>
      <c r="AI557">
        <f>IF($Y557="worse","Yes",IF($Y557="worse, not significant","Not sure",IF(OR($Y557="too few losses to test",$Y557="too few loans to test"),"Too few losses",IF($Y557="","","No"))))</f>
        <v/>
      </c>
      <c r="AJ557">
        <f>IF($AA557="yes","Yes",IF($AA557="","","No"))</f>
        <v/>
      </c>
      <c r="AK557" t="n">
        <v>0.00490736599195032</v>
      </c>
      <c r="AL557" t="n">
        <v>0.008201861227131549</v>
      </c>
      <c r="AM557">
        <f>IF(AND(ISNUMBER($AC557),ISNUMBER(IF($V557,IF($AL557="","",$AL557),IF($AK557="","",$AK557)))),IF(AND(ABS($AC557-significance_bar)&lt;=2.0*IF($V557,IF($AL557="","",$AL557),IF($AK557="","",$AK557)),OR($Y557="worse",$Y557="better",$Y557="worse, not significant",$Y557="better, not significant",AND(profit_kind="test",$Y557="in line",ISNUMBER($AB557),$AB557&lt;&gt;0))),IF(ROUND($AC557,3)=ROUND(significance_bar,3),TEXT($AC557,"0.0000"),TEXT($AC557,"0.000")),""),"")</f>
        <v/>
      </c>
      <c r="AN557">
        <f>IF(AND(ISNUMBER($AC557),ISNUMBER(IF($V557,IF($AL557="","",$AL557),IF($AK557="","",$AK557)))),IF(AND(ABS($AC557-significance_bar)&lt;=2.0*IF($V557,IF($AL557="","",$AL557),IF($AK557="","",$AK557)),OR($Y557="worse",$Y557="worse, not significant",AND(profit_kind="test",$Y557="in line",ISNUMBER($AB557),$AB557&lt;0))),IF(ROUND($AC557,3)=ROUND(significance_bar,3),TEXT($AC557,"0.0000"),TEXT($AC557,"0.000")),""),"")</f>
        <v/>
      </c>
      <c r="AO557">
        <f>IF(OR($AI557="",$AN557=""),$AI557,$AI557&amp;" · borderline (p "&amp;$AN557&amp;")")</f>
        <v/>
      </c>
    </row>
    <row r="558">
      <c r="A558" t="inlineStr">
        <is>
          <t>three-way</t>
        </is>
      </c>
      <c r="B558" t="inlineStr">
        <is>
          <t>FICO x CHANNEL / SYS_FLAG</t>
        </is>
      </c>
      <c r="C558" t="inlineStr">
        <is>
          <t>686 - 711</t>
        </is>
      </c>
      <c r="D558" t="inlineStr">
        <is>
          <t>Branch / SYS_FLAG Y</t>
        </is>
      </c>
      <c r="E558" t="inlineStr">
        <is>
          <t>contribution_rate</t>
        </is>
      </c>
      <c r="F558" t="inlineStr">
        <is>
          <t>Contribution before losses per booked dollar</t>
        </is>
      </c>
      <c r="G558" t="n">
        <v>235</v>
      </c>
      <c r="H558" t="n">
        <v>7589760.98</v>
      </c>
      <c r="I558" t="b">
        <v>0</v>
      </c>
      <c r="J558" t="b">
        <v>0</v>
      </c>
      <c r="K558" t="n">
        <v>-0.0174087438510396</v>
      </c>
      <c r="L558" t="n">
        <v>0.06825179551010417</v>
      </c>
      <c r="M558" t="n">
        <v>-0.0243618796515212</v>
      </c>
      <c r="N558" t="n">
        <v>0.00287971202879712</v>
      </c>
      <c r="O558" t="n">
        <v>132128.2047914353</v>
      </c>
      <c r="P558" t="n">
        <v>184900.8435785717</v>
      </c>
      <c r="Q558">
        <f>'_live'!$C$24</f>
        <v/>
      </c>
      <c r="R558" t="inlineStr">
        <is>
          <t>shuffled: 508 of 10,000</t>
        </is>
      </c>
      <c r="S558" t="inlineStr">
        <is>
          <t>shuffled: 7 of 10,000</t>
        </is>
      </c>
      <c r="T558" t="n">
        <v>0.1701045234749192</v>
      </c>
      <c r="U558" t="n">
        <v>0.1770576592754008</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0.1526957796238796</v>
      </c>
      <c r="AI558">
        <f>IF($Y558="worse","Yes",IF($Y558="worse, not significant","Not sure",IF(OR($Y558="too few losses to test",$Y558="too few loans to test"),"Too few losses",IF($Y558="","","No"))))</f>
        <v/>
      </c>
      <c r="AJ558">
        <f>IF($AA558="yes","Yes",IF($AA558="","","No"))</f>
        <v/>
      </c>
      <c r="AK558" t="n">
        <v>0.002870915697818029</v>
      </c>
      <c r="AL558" t="n">
        <v>0.00101777554314794</v>
      </c>
      <c r="AM558">
        <f>IF(AND(ISNUMBER($AC558),ISNUMBER(IF($V558,IF($AL558="","",$AL558),IF($AK558="","",$AK558)))),IF(AND(ABS($AC558-significance_bar)&lt;=2.0*IF($V558,IF($AL558="","",$AL558),IF($AK558="","",$AK558)),OR($Y558="worse",$Y558="better",$Y558="worse, not significant",$Y558="better, not significant",AND(profit_kind="test",$Y558="in line",ISNUMBER($AB558),$AB558&lt;&gt;0))),IF(ROUND($AC558,3)=ROUND(significance_bar,3),TEXT($AC558,"0.0000"),TEXT($AC558,"0.000")),""),"")</f>
        <v/>
      </c>
      <c r="AN558">
        <f>IF(AND(ISNUMBER($AC558),ISNUMBER(IF($V558,IF($AL558="","",$AL558),IF($AK558="","",$AK558)))),IF(AND(ABS($AC558-significance_bar)&lt;=2.0*IF($V558,IF($AL558="","",$AL558),IF($AK558="","",$AK558)),OR($Y558="worse",$Y558="worse, not significant",AND(profit_kind="test",$Y558="in line",ISNUMBER($AB558),$AB558&lt;0))),IF(ROUND($AC558,3)=ROUND(significance_bar,3),TEXT($AC558,"0.0000"),TEXT($AC558,"0.000")),""),"")</f>
        <v/>
      </c>
      <c r="AO558">
        <f>IF(OR($AI558="",$AN558=""),$AI558,$AI558&amp;" · borderline (p "&amp;$AN558&amp;")")</f>
        <v/>
      </c>
    </row>
    <row r="559">
      <c r="A559" t="inlineStr">
        <is>
          <t>three-way</t>
        </is>
      </c>
      <c r="B559" t="inlineStr">
        <is>
          <t>FICO x CHANNEL / SYS_FLAG</t>
        </is>
      </c>
      <c r="C559" t="inlineStr">
        <is>
          <t>654 - 685</t>
        </is>
      </c>
      <c r="D559" t="inlineStr">
        <is>
          <t>Online / SYS_FLAG Y</t>
        </is>
      </c>
      <c r="E559" t="inlineStr">
        <is>
          <t>outcome_loans</t>
        </is>
      </c>
      <c r="F559" t="inlineStr">
        <is>
          <t>Outcome, share of loans</t>
        </is>
      </c>
      <c r="G559" t="n">
        <v>236</v>
      </c>
      <c r="H559" t="n">
        <v>236</v>
      </c>
      <c r="I559" t="b">
        <v>0</v>
      </c>
      <c r="J559" t="b">
        <v>0</v>
      </c>
      <c r="K559" t="n">
        <v>1.616827061189313</v>
      </c>
      <c r="L559" t="n">
        <v>0.03616756182014194</v>
      </c>
      <c r="M559" t="n">
        <v>1.585291156234268</v>
      </c>
      <c r="N559" t="n">
        <v>0.07538455842940572</v>
      </c>
      <c r="O559" t="n">
        <v>11.06363519258019</v>
      </c>
      <c r="P559" t="n">
        <v>10.70683039140445</v>
      </c>
      <c r="Q559">
        <f>'_live'!$C$20</f>
        <v/>
      </c>
      <c r="R559" t="inlineStr">
        <is>
          <t>z test</t>
        </is>
      </c>
      <c r="S559" t="inlineStr">
        <is>
          <t>z test</t>
        </is>
      </c>
      <c r="T559" t="n">
        <v>0.07600154579415175</v>
      </c>
      <c r="U559" t="n">
        <v>0.07751343054489639</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0.1228813559322034</v>
      </c>
      <c r="AI559">
        <f>IF($Y559="worse","Yes",IF($Y559="worse, not significant","Not sure",IF(OR($Y559="too few losses to test",$Y559="too few loans to test"),"Too few losses",IF($Y559="","","No"))))</f>
        <v/>
      </c>
      <c r="AJ559">
        <f>IF($AA559="yes","Yes",IF($AA559="","","No"))</f>
        <v/>
      </c>
      <c r="AM559">
        <f>IF(AND(ISNUMBER($AC559),ISNUMBER(IF($V559,IF($AL559="","",$AL559),IF($AK559="","",$AK559)))),IF(AND(ABS($AC559-significance_bar)&lt;=2.0*IF($V559,IF($AL559="","",$AL559),IF($AK559="","",$AK559)),OR($Y559="worse",$Y559="better",$Y559="worse, not significant",$Y559="better, not significant")),IF(ROUND($AC559,3)=ROUND(significance_bar,3),TEXT($AC559,"0.0000"),TEXT($AC559,"0.000")),""),"")</f>
        <v/>
      </c>
      <c r="AN559">
        <f>IF(AND(ISNUMBER($AC559),ISNUMBER(IF($V559,IF($AL559="","",$AL559),IF($AK559="","",$AK559)))),IF(AND(ABS($AC559-significance_bar)&lt;=2.0*IF($V559,IF($AL559="","",$AL559),IF($AK559="","",$AK559)),OR($Y559="worse",$Y559="worse, not significant")),IF(ROUND($AC559,3)=ROUND(significance_bar,3),TEXT($AC559,"0.0000"),TEXT($AC559,"0.000")),""),"")</f>
        <v/>
      </c>
      <c r="AO559">
        <f>IF(OR($AI559="",$AN559=""),$AI559,$AI559&amp;" · borderline (p "&amp;$AN559&amp;")")</f>
        <v/>
      </c>
    </row>
    <row r="560">
      <c r="A560" t="inlineStr">
        <is>
          <t>three-way</t>
        </is>
      </c>
      <c r="B560" t="inlineStr">
        <is>
          <t>FICO x CHANNEL / SYS_FLAG</t>
        </is>
      </c>
      <c r="C560" t="inlineStr">
        <is>
          <t>654 - 685</t>
        </is>
      </c>
      <c r="D560" t="inlineStr">
        <is>
          <t>Online / SYS_FLAG Y</t>
        </is>
      </c>
      <c r="E560" t="inlineStr">
        <is>
          <t>outcome_booked</t>
        </is>
      </c>
      <c r="F560" t="inlineStr">
        <is>
          <t>Outcome, share of booked dollars</t>
        </is>
      </c>
      <c r="G560" t="n">
        <v>236</v>
      </c>
      <c r="H560" t="n">
        <v>7157252.51</v>
      </c>
      <c r="I560" t="b">
        <v>0</v>
      </c>
      <c r="J560" t="b">
        <v>0</v>
      </c>
      <c r="K560" t="n">
        <v>1.780815831549528</v>
      </c>
      <c r="L560" t="n">
        <v>0.01937306269373063</v>
      </c>
      <c r="M560" t="n">
        <v>1.829878802677026</v>
      </c>
      <c r="N560" t="n">
        <v>0.01714114302855429</v>
      </c>
      <c r="O560" t="n">
        <v>409315.7959435924</v>
      </c>
      <c r="P560" t="n">
        <v>423371.1377864503</v>
      </c>
      <c r="Q560">
        <f>'_live'!$C$21</f>
        <v/>
      </c>
      <c r="R560" t="inlineStr">
        <is>
          <t>shuffled: 30 of 10,000</t>
        </is>
      </c>
      <c r="S560" t="inlineStr">
        <is>
          <t>shuffled: 47 of 10,000</t>
        </is>
      </c>
      <c r="T560" t="n">
        <v>0.073242566658642</v>
      </c>
      <c r="U560" t="n">
        <v>0.07127877652783134</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0.1304315222490313</v>
      </c>
      <c r="AI560">
        <f>IF($Y560="worse","Yes",IF($Y560="worse, not significant","Not sure",IF(OR($Y560="too few losses to test",$Y560="too few loans to test"),"Too few losses",IF($Y560="","","No"))))</f>
        <v/>
      </c>
      <c r="AJ560">
        <f>IF($AA560="yes","Yes",IF($AA560="","","No"))</f>
        <v/>
      </c>
      <c r="AK560" t="n">
        <v>0.003474281598801128</v>
      </c>
      <c r="AL560" t="n">
        <v>0.002468289877117294</v>
      </c>
      <c r="AM560">
        <f>IF(AND(ISNUMBER($AC560),ISNUMBER(IF($V560,IF($AL560="","",$AL560),IF($AK560="","",$AK560)))),IF(AND(ABS($AC560-significance_bar)&lt;=2.0*IF($V560,IF($AL560="","",$AL560),IF($AK560="","",$AK560)),OR($Y560="worse",$Y560="better",$Y560="worse, not significant",$Y560="better, not significant")),IF(ROUND($AC560,3)=ROUND(significance_bar,3),TEXT($AC560,"0.0000"),TEXT($AC560,"0.000")),""),"")</f>
        <v/>
      </c>
      <c r="AN560">
        <f>IF(AND(ISNUMBER($AC560),ISNUMBER(IF($V560,IF($AL560="","",$AL560),IF($AK560="","",$AK560)))),IF(AND(ABS($AC560-significance_bar)&lt;=2.0*IF($V560,IF($AL560="","",$AL560),IF($AK560="","",$AK560)),OR($Y560="worse",$Y560="worse, not significant")),IF(ROUND($AC560,3)=ROUND(significance_bar,3),TEXT($AC560,"0.0000"),TEXT($AC560,"0.000")),""),"")</f>
        <v/>
      </c>
      <c r="AO560">
        <f>IF(OR($AI560="",$AN560=""),$AI560,$AI560&amp;" · borderline (p "&amp;$AN560&amp;")")</f>
        <v/>
      </c>
    </row>
    <row r="561">
      <c r="A561" t="inlineStr">
        <is>
          <t>three-way</t>
        </is>
      </c>
      <c r="B561" t="inlineStr">
        <is>
          <t>FICO x CHANNEL / SYS_FLAG</t>
        </is>
      </c>
      <c r="C561" t="inlineStr">
        <is>
          <t>654 - 685</t>
        </is>
      </c>
      <c r="D561" t="inlineStr">
        <is>
          <t>Online / SYS_FLAG Y</t>
        </is>
      </c>
      <c r="E561" t="inlineStr">
        <is>
          <t>gco_rate</t>
        </is>
      </c>
      <c r="F561" t="inlineStr">
        <is>
          <t>GCO per booked dollar</t>
        </is>
      </c>
      <c r="G561" t="n">
        <v>236</v>
      </c>
      <c r="H561" t="n">
        <v>7157252.51</v>
      </c>
      <c r="I561" t="b">
        <v>0</v>
      </c>
      <c r="J561" t="b">
        <v>0</v>
      </c>
      <c r="K561" t="n">
        <v>1.780952542556523</v>
      </c>
      <c r="L561" t="n">
        <v>0.02333100023331</v>
      </c>
      <c r="M561" t="n">
        <v>1.787162976169975</v>
      </c>
      <c r="N561" t="n">
        <v>0.02812218778122188</v>
      </c>
      <c r="O561" t="n">
        <v>227620.8007792249</v>
      </c>
      <c r="P561" t="n">
        <v>228633.6506304707</v>
      </c>
      <c r="Q561">
        <f>'_live'!$C$22</f>
        <v/>
      </c>
      <c r="R561" t="inlineStr">
        <is>
          <t>shuffled: 48 of 10,000</t>
        </is>
      </c>
      <c r="S561" t="inlineStr">
        <is>
          <t>shuffled: 86 of 10,000</t>
        </is>
      </c>
      <c r="T561" t="n">
        <v>0.04072311250910093</v>
      </c>
      <c r="U561" t="n">
        <v>0.04058159872991952</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0.07252593076389867</v>
      </c>
      <c r="AI561">
        <f>IF($Y561="worse","Yes",IF($Y561="worse, not significant","Not sure",IF(OR($Y561="too few losses to test",$Y561="too few loans to test"),"Too few losses",IF($Y561="","","No"))))</f>
        <v/>
      </c>
      <c r="AJ561">
        <f>IF($AA561="yes","Yes",IF($AA561="","","No"))</f>
        <v/>
      </c>
      <c r="AK561" t="n">
        <v>0.003109150453101913</v>
      </c>
      <c r="AL561" t="n">
        <v>0.002951118082536109</v>
      </c>
      <c r="AM561">
        <f>IF(AND(ISNUMBER($AC561),ISNUMBER(IF($V561,IF($AL561="","",$AL561),IF($AK561="","",$AK561)))),IF(AND(ABS($AC561-significance_bar)&lt;=2.0*IF($V561,IF($AL561="","",$AL561),IF($AK561="","",$AK561)),OR($Y561="worse",$Y561="better",$Y561="worse, not significant",$Y561="better, not significant")),IF(ROUND($AC561,3)=ROUND(significance_bar,3),TEXT($AC561,"0.0000"),TEXT($AC561,"0.000")),""),"")</f>
        <v/>
      </c>
      <c r="AN561">
        <f>IF(AND(ISNUMBER($AC561),ISNUMBER(IF($V561,IF($AL561="","",$AL561),IF($AK561="","",$AK561)))),IF(AND(ABS($AC561-significance_bar)&lt;=2.0*IF($V561,IF($AL561="","",$AL561),IF($AK561="","",$AK561)),OR($Y561="worse",$Y561="worse, not significant")),IF(ROUND($AC561,3)=ROUND(significance_bar,3),TEXT($AC561,"0.0000"),TEXT($AC561,"0.000")),""),"")</f>
        <v/>
      </c>
      <c r="AO561">
        <f>IF(OR($AI561="",$AN561=""),$AI561,$AI561&amp;" · borderline (p "&amp;$AN561&amp;")")</f>
        <v/>
      </c>
    </row>
    <row r="562">
      <c r="A562" t="inlineStr">
        <is>
          <t>three-way</t>
        </is>
      </c>
      <c r="B562" t="inlineStr">
        <is>
          <t>FICO x CHANNEL / SYS_FLAG</t>
        </is>
      </c>
      <c r="C562" t="inlineStr">
        <is>
          <t>654 - 685</t>
        </is>
      </c>
      <c r="D562" t="inlineStr">
        <is>
          <t>Online / SYS_FLAG Y</t>
        </is>
      </c>
      <c r="E562" t="inlineStr">
        <is>
          <t>ranr_rate</t>
        </is>
      </c>
      <c r="F562" t="inlineStr">
        <is>
          <t>Profit after losses: RANR per booked dollar</t>
        </is>
      </c>
      <c r="G562" t="n">
        <v>236</v>
      </c>
      <c r="H562" t="n">
        <v>7157252.51</v>
      </c>
      <c r="I562" t="b">
        <v>0</v>
      </c>
      <c r="J562" t="b">
        <v>0</v>
      </c>
      <c r="K562" t="n">
        <v>0.0229630191512743</v>
      </c>
      <c r="L562" t="n">
        <v>0.1483215314832153</v>
      </c>
      <c r="M562" t="n">
        <v>-0.01492362446040879</v>
      </c>
      <c r="N562" t="n">
        <v>0.6081677546531061</v>
      </c>
      <c r="O562" t="n">
        <v>-164352.1264576361</v>
      </c>
      <c r="P562" t="n">
        <v>106812.1486275583</v>
      </c>
      <c r="Q562">
        <f>'_live'!$C$23</f>
        <v/>
      </c>
      <c r="R562" t="inlineStr">
        <is>
          <t>shuffled: 881 of 10,000</t>
        </is>
      </c>
      <c r="S562" t="inlineStr">
        <is>
          <t>shuffled: 3,165 of 10,000</t>
        </is>
      </c>
      <c r="T562" t="n">
        <v>0.1273531948563827</v>
      </c>
      <c r="U562" t="n">
        <v>0.1652398384680658</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0.150316214007657</v>
      </c>
      <c r="AI562">
        <f>IF($Y562="worse","Yes",IF($Y562="worse, not significant","Not sure",IF(OR($Y562="too few losses to test",$Y562="too few loans to test"),"Too few losses",IF($Y562="","","No"))))</f>
        <v/>
      </c>
      <c r="AJ562">
        <f>IF($AA562="yes","Yes",IF($AA562="","","No"))</f>
        <v/>
      </c>
      <c r="AK562" t="n">
        <v>0.004769177829585127</v>
      </c>
      <c r="AL562" t="n">
        <v>0.008201861227131549</v>
      </c>
      <c r="AM562">
        <f>IF(AND(ISNUMBER($AC562),ISNUMBER(IF($V562,IF($AL562="","",$AL562),IF($AK562="","",$AK562)))),IF(AND(ABS($AC562-significance_bar)&lt;=2.0*IF($V562,IF($AL562="","",$AL562),IF($AK562="","",$AK562)),OR($Y562="worse",$Y562="better",$Y562="worse, not significant",$Y562="better, not significant",AND(profit_kind="test",$Y562="in line",ISNUMBER($AB562),$AB562&lt;&gt;0))),IF(ROUND($AC562,3)=ROUND(significance_bar,3),TEXT($AC562,"0.0000"),TEXT($AC562,"0.000")),""),"")</f>
        <v/>
      </c>
      <c r="AN562">
        <f>IF(AND(ISNUMBER($AC562),ISNUMBER(IF($V562,IF($AL562="","",$AL562),IF($AK562="","",$AK562)))),IF(AND(ABS($AC562-significance_bar)&lt;=2.0*IF($V562,IF($AL562="","",$AL562),IF($AK562="","",$AK562)),OR($Y562="worse",$Y562="worse, not significant",AND(profit_kind="test",$Y562="in line",ISNUMBER($AB562),$AB562&lt;0))),IF(ROUND($AC562,3)=ROUND(significance_bar,3),TEXT($AC562,"0.0000"),TEXT($AC562,"0.000")),""),"")</f>
        <v/>
      </c>
      <c r="AO562">
        <f>IF(OR($AI562="",$AN562=""),$AI562,$AI562&amp;" · borderline (p "&amp;$AN562&amp;")")</f>
        <v/>
      </c>
    </row>
    <row r="563">
      <c r="A563" t="inlineStr">
        <is>
          <t>three-way</t>
        </is>
      </c>
      <c r="B563" t="inlineStr">
        <is>
          <t>FICO x CHANNEL / SYS_FLAG</t>
        </is>
      </c>
      <c r="C563" t="inlineStr">
        <is>
          <t>654 - 685</t>
        </is>
      </c>
      <c r="D563" t="inlineStr">
        <is>
          <t>Online / SYS_FLAG Y</t>
        </is>
      </c>
      <c r="E563" t="inlineStr">
        <is>
          <t>contribution_rate</t>
        </is>
      </c>
      <c r="F563" t="inlineStr">
        <is>
          <t>Contribution before losses per booked dollar</t>
        </is>
      </c>
      <c r="G563" t="n">
        <v>236</v>
      </c>
      <c r="H563" t="n">
        <v>7157252.51</v>
      </c>
      <c r="I563" t="b">
        <v>0</v>
      </c>
      <c r="J563" t="b">
        <v>0</v>
      </c>
      <c r="K563" t="n">
        <v>0.05476887896729296</v>
      </c>
      <c r="L563" t="n">
        <v>0.000184981501849815</v>
      </c>
      <c r="M563" t="n">
        <v>0.01702070757357041</v>
      </c>
      <c r="N563" t="n">
        <v>0.1067893210678932</v>
      </c>
      <c r="O563" t="n">
        <v>-391994.6964585437</v>
      </c>
      <c r="P563" t="n">
        <v>-121821.5020029128</v>
      </c>
      <c r="Q563">
        <f>'_live'!$C$24</f>
        <v/>
      </c>
      <c r="R563" t="inlineStr">
        <is>
          <t>shuffled: 0 of 10,000</t>
        </is>
      </c>
      <c r="S563" t="inlineStr">
        <is>
          <t>shuffled: 444 of 10,000</t>
        </is>
      </c>
      <c r="T563" t="n">
        <v>0.1680732658042628</v>
      </c>
      <c r="U563" t="n">
        <v>0.2058214371979853</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0.2228421447715557</v>
      </c>
      <c r="AI563">
        <f>IF($Y563="worse","Yes",IF($Y563="worse, not significant","Not sure",IF(OR($Y563="too few losses to test",$Y563="too few loans to test"),"Too few losses",IF($Y563="","","No"))))</f>
        <v/>
      </c>
      <c r="AJ563">
        <f>IF($AA563="yes","Yes",IF($AA563="","","No"))</f>
        <v/>
      </c>
      <c r="AK563" t="n">
        <v>0.000184981501849815</v>
      </c>
      <c r="AL563" t="n">
        <v>0.004948640333150128</v>
      </c>
      <c r="AM563">
        <f>IF(AND(ISNUMBER($AC563),ISNUMBER(IF($V563,IF($AL563="","",$AL563),IF($AK563="","",$AK563)))),IF(AND(ABS($AC563-significance_bar)&lt;=2.0*IF($V563,IF($AL563="","",$AL563),IF($AK563="","",$AK563)),OR($Y563="worse",$Y563="better",$Y563="worse, not significant",$Y563="better, not significant",AND(profit_kind="test",$Y563="in line",ISNUMBER($AB563),$AB563&lt;&gt;0))),IF(ROUND($AC563,3)=ROUND(significance_bar,3),TEXT($AC563,"0.0000"),TEXT($AC563,"0.000")),""),"")</f>
        <v/>
      </c>
      <c r="AN563">
        <f>IF(AND(ISNUMBER($AC563),ISNUMBER(IF($V563,IF($AL563="","",$AL563),IF($AK563="","",$AK563)))),IF(AND(ABS($AC563-significance_bar)&lt;=2.0*IF($V563,IF($AL563="","",$AL563),IF($AK563="","",$AK563)),OR($Y563="worse",$Y563="worse, not significant",AND(profit_kind="test",$Y563="in line",ISNUMBER($AB563),$AB563&lt;0))),IF(ROUND($AC563,3)=ROUND(significance_bar,3),TEXT($AC563,"0.0000"),TEXT($AC563,"0.000")),""),"")</f>
        <v/>
      </c>
      <c r="AO563">
        <f>IF(OR($AI563="",$AN563=""),$AI563,$AI563&amp;" · borderline (p "&amp;$AN563&amp;")")</f>
        <v/>
      </c>
    </row>
    <row r="564">
      <c r="A564" t="inlineStr">
        <is>
          <t>three-way</t>
        </is>
      </c>
      <c r="B564" t="inlineStr">
        <is>
          <t>FICO x CHANNEL / SYS_FLAG</t>
        </is>
      </c>
      <c r="C564" t="inlineStr">
        <is>
          <t>(marked missing)</t>
        </is>
      </c>
      <c r="D564" t="inlineStr">
        <is>
          <t>Branch / SYS_FLAG N</t>
        </is>
      </c>
      <c r="E564" t="inlineStr">
        <is>
          <t>outcome_loans</t>
        </is>
      </c>
      <c r="F564" t="inlineStr">
        <is>
          <t>Outcome, share of loans</t>
        </is>
      </c>
      <c r="G564" t="n">
        <v>29</v>
      </c>
      <c r="H564" t="n">
        <v>29</v>
      </c>
      <c r="I564" t="b">
        <v>1</v>
      </c>
      <c r="J564" t="b">
        <v>0</v>
      </c>
      <c r="K564" t="n">
        <v>0</v>
      </c>
      <c r="M564" t="n">
        <v>0</v>
      </c>
      <c r="O564" t="n">
        <v>-2.252321204516938</v>
      </c>
      <c r="P564" t="n">
        <v>-2.213740458015267</v>
      </c>
      <c r="Q564">
        <f>'_live'!$C$20</f>
        <v/>
      </c>
      <c r="T564" t="n">
        <v>0.07766624843161857</v>
      </c>
      <c r="U564" t="n">
        <v>0.07633587786259542</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v>
      </c>
      <c r="AI564">
        <f>IF($Y564="worse","Yes",IF($Y564="worse, not significant","Not sure",IF(OR($Y564="too few losses to test",$Y564="too few loans to test"),"Too few losses",IF($Y564="","","No"))))</f>
        <v/>
      </c>
      <c r="AJ564">
        <f>IF($AA564="yes","Yes",IF($AA564="","","No"))</f>
        <v/>
      </c>
      <c r="AM564">
        <f>IF(AND(ISNUMBER($AC564),ISNUMBER(IF($V564,IF($AL564="","",$AL564),IF($AK564="","",$AK564)))),IF(AND(ABS($AC564-significance_bar)&lt;=2.0*IF($V564,IF($AL564="","",$AL564),IF($AK564="","",$AK564)),OR($Y564="worse",$Y564="better",$Y564="worse, not significant",$Y564="better, not significant")),IF(ROUND($AC564,3)=ROUND(significance_bar,3),TEXT($AC564,"0.0000"),TEXT($AC564,"0.000")),""),"")</f>
        <v/>
      </c>
      <c r="AN564">
        <f>IF(AND(ISNUMBER($AC564),ISNUMBER(IF($V564,IF($AL564="","",$AL564),IF($AK564="","",$AK564)))),IF(AND(ABS($AC564-significance_bar)&lt;=2.0*IF($V564,IF($AL564="","",$AL564),IF($AK564="","",$AK564)),OR($Y564="worse",$Y564="worse, not significant")),IF(ROUND($AC564,3)=ROUND(significance_bar,3),TEXT($AC564,"0.0000"),TEXT($AC564,"0.000")),""),"")</f>
        <v/>
      </c>
      <c r="AO564">
        <f>IF(OR($AI564="",$AN564=""),$AI564,$AI564&amp;" · borderline (p "&amp;$AN564&amp;")")</f>
        <v/>
      </c>
    </row>
    <row r="565">
      <c r="A565" t="inlineStr">
        <is>
          <t>three-way</t>
        </is>
      </c>
      <c r="B565" t="inlineStr">
        <is>
          <t>FICO x CHANNEL / SYS_FLAG</t>
        </is>
      </c>
      <c r="C565" t="inlineStr">
        <is>
          <t>(marked missing)</t>
        </is>
      </c>
      <c r="D565" t="inlineStr">
        <is>
          <t>Branch / SYS_FLAG N</t>
        </is>
      </c>
      <c r="E565" t="inlineStr">
        <is>
          <t>outcome_booked</t>
        </is>
      </c>
      <c r="F565" t="inlineStr">
        <is>
          <t>Outcome, share of booked dollars</t>
        </is>
      </c>
      <c r="G565" t="n">
        <v>29</v>
      </c>
      <c r="H565" t="n">
        <v>1023717.84</v>
      </c>
      <c r="I565" t="b">
        <v>1</v>
      </c>
      <c r="J565" t="b">
        <v>0</v>
      </c>
      <c r="K565" t="n">
        <v>0</v>
      </c>
      <c r="M565" t="n">
        <v>0</v>
      </c>
      <c r="O565" t="n">
        <v>-76908.77672907127</v>
      </c>
      <c r="P565" t="n">
        <v>-61125.2548706273</v>
      </c>
      <c r="Q565">
        <f>'_live'!$C$21</f>
        <v/>
      </c>
      <c r="T565" t="n">
        <v>0.07512692826479538</v>
      </c>
      <c r="U565" t="n">
        <v>0.05970908436120181</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v>
      </c>
      <c r="AI565">
        <f>IF($Y565="worse","Yes",IF($Y565="worse, not significant","Not sure",IF(OR($Y565="too few losses to test",$Y565="too few loans to test"),"Too few losses",IF($Y565="","","No"))))</f>
        <v/>
      </c>
      <c r="AJ565">
        <f>IF($AA565="yes","Yes",IF($AA565="","","No"))</f>
        <v/>
      </c>
      <c r="AM565">
        <f>IF(AND(ISNUMBER($AC565),ISNUMBER(IF($V565,IF($AL565="","",$AL565),IF($AK565="","",$AK565)))),IF(AND(ABS($AC565-significance_bar)&lt;=2.0*IF($V565,IF($AL565="","",$AL565),IF($AK565="","",$AK565)),OR($Y565="worse",$Y565="better",$Y565="worse, not significant",$Y565="better, not significant")),IF(ROUND($AC565,3)=ROUND(significance_bar,3),TEXT($AC565,"0.0000"),TEXT($AC565,"0.000")),""),"")</f>
        <v/>
      </c>
      <c r="AN565">
        <f>IF(AND(ISNUMBER($AC565),ISNUMBER(IF($V565,IF($AL565="","",$AL565),IF($AK565="","",$AK565)))),IF(AND(ABS($AC565-significance_bar)&lt;=2.0*IF($V565,IF($AL565="","",$AL565),IF($AK565="","",$AK565)),OR($Y565="worse",$Y565="worse, not significant")),IF(ROUND($AC565,3)=ROUND(significance_bar,3),TEXT($AC565,"0.0000"),TEXT($AC565,"0.000")),""),"")</f>
        <v/>
      </c>
      <c r="AO565">
        <f>IF(OR($AI565="",$AN565=""),$AI565,$AI565&amp;" · borderline (p "&amp;$AN565&amp;")")</f>
        <v/>
      </c>
    </row>
    <row r="566">
      <c r="A566" t="inlineStr">
        <is>
          <t>three-way</t>
        </is>
      </c>
      <c r="B566" t="inlineStr">
        <is>
          <t>FICO x CHANNEL / SYS_FLAG</t>
        </is>
      </c>
      <c r="C566" t="inlineStr">
        <is>
          <t>(marked missing)</t>
        </is>
      </c>
      <c r="D566" t="inlineStr">
        <is>
          <t>Branch / SYS_FLAG N</t>
        </is>
      </c>
      <c r="E566" t="inlineStr">
        <is>
          <t>gco_rate</t>
        </is>
      </c>
      <c r="F566" t="inlineStr">
        <is>
          <t>GCO per booked dollar</t>
        </is>
      </c>
      <c r="G566" t="n">
        <v>29</v>
      </c>
      <c r="H566" t="n">
        <v>1023717.84</v>
      </c>
      <c r="I566" t="b">
        <v>1</v>
      </c>
      <c r="J566" t="b">
        <v>0</v>
      </c>
      <c r="K566" t="n">
        <v>0</v>
      </c>
      <c r="M566" t="n">
        <v>0</v>
      </c>
      <c r="O566" t="n">
        <v>-42761.70756645003</v>
      </c>
      <c r="P566" t="n">
        <v>-32388.0224514609</v>
      </c>
      <c r="Q566">
        <f>'_live'!$C$22</f>
        <v/>
      </c>
      <c r="T566" t="n">
        <v>0.04177098991109702</v>
      </c>
      <c r="U566" t="n">
        <v>0.03163764582969551</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v>
      </c>
      <c r="AI566">
        <f>IF($Y566="worse","Yes",IF($Y566="worse, not significant","Not sure",IF(OR($Y566="too few losses to test",$Y566="too few loans to test"),"Too few losses",IF($Y566="","","No"))))</f>
        <v/>
      </c>
      <c r="AJ566">
        <f>IF($AA566="yes","Yes",IF($AA566="","","No"))</f>
        <v/>
      </c>
      <c r="AM566">
        <f>IF(AND(ISNUMBER($AC566),ISNUMBER(IF($V566,IF($AL566="","",$AL566),IF($AK566="","",$AK566)))),IF(AND(ABS($AC566-significance_bar)&lt;=2.0*IF($V566,IF($AL566="","",$AL566),IF($AK566="","",$AK566)),OR($Y566="worse",$Y566="better",$Y566="worse, not significant",$Y566="better, not significant")),IF(ROUND($AC566,3)=ROUND(significance_bar,3),TEXT($AC566,"0.0000"),TEXT($AC566,"0.000")),""),"")</f>
        <v/>
      </c>
      <c r="AN566">
        <f>IF(AND(ISNUMBER($AC566),ISNUMBER(IF($V566,IF($AL566="","",$AL566),IF($AK566="","",$AK566)))),IF(AND(ABS($AC566-significance_bar)&lt;=2.0*IF($V566,IF($AL566="","",$AL566),IF($AK566="","",$AK566)),OR($Y566="worse",$Y566="worse, not significant")),IF(ROUND($AC566,3)=ROUND(significance_bar,3),TEXT($AC566,"0.0000"),TEXT($AC566,"0.000")),""),"")</f>
        <v/>
      </c>
      <c r="AO566">
        <f>IF(OR($AI566="",$AN566=""),$AI566,$AI566&amp;" · borderline (p "&amp;$AN566&amp;")")</f>
        <v/>
      </c>
    </row>
    <row r="567">
      <c r="A567" t="inlineStr">
        <is>
          <t>three-way</t>
        </is>
      </c>
      <c r="B567" t="inlineStr">
        <is>
          <t>FICO x CHANNEL / SYS_FLAG</t>
        </is>
      </c>
      <c r="C567" t="inlineStr">
        <is>
          <t>(marked missing)</t>
        </is>
      </c>
      <c r="D567" t="inlineStr">
        <is>
          <t>Branch / SYS_FLAG N</t>
        </is>
      </c>
      <c r="E567" t="inlineStr">
        <is>
          <t>ranr_rate</t>
        </is>
      </c>
      <c r="F567" t="inlineStr">
        <is>
          <t>Profit after losses: RANR per booked dollar</t>
        </is>
      </c>
      <c r="G567" t="n">
        <v>29</v>
      </c>
      <c r="H567" t="n">
        <v>1023717.84</v>
      </c>
      <c r="I567" t="b">
        <v>0</v>
      </c>
      <c r="J567" t="b">
        <v>0</v>
      </c>
      <c r="K567" t="n">
        <v>0.02714921322557076</v>
      </c>
      <c r="L567" t="n">
        <v>0.5874757351851021</v>
      </c>
      <c r="M567" t="n">
        <v>-0.0001756322810234356</v>
      </c>
      <c r="N567" t="n">
        <v>0.9953004699530046</v>
      </c>
      <c r="O567" t="n">
        <v>-27793.13392098073</v>
      </c>
      <c r="P567" t="n">
        <v>179.7978993635916</v>
      </c>
      <c r="Q567">
        <f>'_live'!$C$23</f>
        <v/>
      </c>
      <c r="R567" t="inlineStr">
        <is>
          <t>shuffled: 4,604 of 10,000</t>
        </is>
      </c>
      <c r="S567" t="inlineStr">
        <is>
          <t>shuffled: 9,953 of 10,000</t>
        </is>
      </c>
      <c r="T567" t="n">
        <v>0.1278823528942499</v>
      </c>
      <c r="U567" t="n">
        <v>0.1552071984008441</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0.1550315661198207</v>
      </c>
      <c r="AI567">
        <f>IF($Y567="worse","Yes",IF($Y567="worse, not significant","Not sure",IF(OR($Y567="too few losses to test",$Y567="too few loans to test"),"Too few losses",IF($Y567="","","No"))))</f>
        <v/>
      </c>
      <c r="AJ567">
        <f>IF($AA567="yes","Yes",IF($AA567="","","No"))</f>
        <v/>
      </c>
      <c r="AK567" t="n">
        <v>0.006359325966869654</v>
      </c>
      <c r="AL567" t="n">
        <v>0.0006839184501336905</v>
      </c>
      <c r="AM567">
        <f>IF(AND(ISNUMBER($AC567),ISNUMBER(IF($V567,IF($AL567="","",$AL567),IF($AK567="","",$AK567)))),IF(AND(ABS($AC567-significance_bar)&lt;=2.0*IF($V567,IF($AL567="","",$AL567),IF($AK567="","",$AK567)),OR($Y567="worse",$Y567="better",$Y567="worse, not significant",$Y567="better, not significant",AND(profit_kind="test",$Y567="in line",ISNUMBER($AB567),$AB567&lt;&gt;0))),IF(ROUND($AC567,3)=ROUND(significance_bar,3),TEXT($AC567,"0.0000"),TEXT($AC567,"0.000")),""),"")</f>
        <v/>
      </c>
      <c r="AN567">
        <f>IF(AND(ISNUMBER($AC567),ISNUMBER(IF($V567,IF($AL567="","",$AL567),IF($AK567="","",$AK567)))),IF(AND(ABS($AC567-significance_bar)&lt;=2.0*IF($V567,IF($AL567="","",$AL567),IF($AK567="","",$AK567)),OR($Y567="worse",$Y567="worse, not significant",AND(profit_kind="test",$Y567="in line",ISNUMBER($AB567),$AB567&lt;0))),IF(ROUND($AC567,3)=ROUND(significance_bar,3),TEXT($AC567,"0.0000"),TEXT($AC567,"0.000")),""),"")</f>
        <v/>
      </c>
      <c r="AO567">
        <f>IF(OR($AI567="",$AN567=""),$AI567,$AI567&amp;" · borderline (p "&amp;$AN567&amp;")")</f>
        <v/>
      </c>
    </row>
    <row r="568">
      <c r="A568" t="inlineStr">
        <is>
          <t>three-way</t>
        </is>
      </c>
      <c r="B568" t="inlineStr">
        <is>
          <t>FICO x CHANNEL / SYS_FLAG</t>
        </is>
      </c>
      <c r="C568" t="inlineStr">
        <is>
          <t>(marked missing)</t>
        </is>
      </c>
      <c r="D568" t="inlineStr">
        <is>
          <t>Branch / SYS_FLAG N</t>
        </is>
      </c>
      <c r="E568" t="inlineStr">
        <is>
          <t>contribution_rate</t>
        </is>
      </c>
      <c r="F568" t="inlineStr">
        <is>
          <t>Contribution before losses per booked dollar</t>
        </is>
      </c>
      <c r="G568" t="n">
        <v>29</v>
      </c>
      <c r="H568" t="n">
        <v>1023717.84</v>
      </c>
      <c r="I568" t="b">
        <v>0</v>
      </c>
      <c r="J568" t="b">
        <v>0</v>
      </c>
      <c r="K568" t="n">
        <v>-0.01461888942032899</v>
      </c>
      <c r="L568" t="n">
        <v>0.6472040295970404</v>
      </c>
      <c r="M568" t="n">
        <v>-0.03181327811071893</v>
      </c>
      <c r="N568" t="n">
        <v>0.4969397797062399</v>
      </c>
      <c r="O568" t="n">
        <v>14965.61790057804</v>
      </c>
      <c r="P568" t="n">
        <v>32567.82035082448</v>
      </c>
      <c r="Q568">
        <f>'_live'!$C$24</f>
        <v/>
      </c>
      <c r="R568" t="inlineStr">
        <is>
          <t>shuffled: 5,597 of 10,000</t>
        </is>
      </c>
      <c r="S568" t="inlineStr">
        <is>
          <t>shuffled: 2,622 of 10,000</t>
        </is>
      </c>
      <c r="T568" t="n">
        <v>0.1696504555401497</v>
      </c>
      <c r="U568" t="n">
        <v>0.1868448442305396</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0.1550315661198207</v>
      </c>
      <c r="AI568">
        <f>IF($Y568="worse","Yes",IF($Y568="worse, not significant","Not sure",IF(OR($Y568="too few losses to test",$Y568="too few loans to test"),"Too few losses",IF($Y568="","","No"))))</f>
        <v/>
      </c>
      <c r="AJ568">
        <f>IF($AA568="yes","Yes",IF($AA568="","","No"))</f>
        <v/>
      </c>
      <c r="AK568" t="n">
        <v>0.005739831036667641</v>
      </c>
      <c r="AL568" t="n">
        <v>0.008334392384946846</v>
      </c>
      <c r="AM568">
        <f>IF(AND(ISNUMBER($AC568),ISNUMBER(IF($V568,IF($AL568="","",$AL568),IF($AK568="","",$AK568)))),IF(AND(ABS($AC568-significance_bar)&lt;=2.0*IF($V568,IF($AL568="","",$AL568),IF($AK568="","",$AK568)),OR($Y568="worse",$Y568="better",$Y568="worse, not significant",$Y568="better, not significant",AND(profit_kind="test",$Y568="in line",ISNUMBER($AB568),$AB568&lt;&gt;0))),IF(ROUND($AC568,3)=ROUND(significance_bar,3),TEXT($AC568,"0.0000"),TEXT($AC568,"0.000")),""),"")</f>
        <v/>
      </c>
      <c r="AN568">
        <f>IF(AND(ISNUMBER($AC568),ISNUMBER(IF($V568,IF($AL568="","",$AL568),IF($AK568="","",$AK568)))),IF(AND(ABS($AC568-significance_bar)&lt;=2.0*IF($V568,IF($AL568="","",$AL568),IF($AK568="","",$AK568)),OR($Y568="worse",$Y568="worse, not significant",AND(profit_kind="test",$Y568="in line",ISNUMBER($AB568),$AB568&lt;0))),IF(ROUND($AC568,3)=ROUND(significance_bar,3),TEXT($AC568,"0.0000"),TEXT($AC568,"0.000")),""),"")</f>
        <v/>
      </c>
      <c r="AO568">
        <f>IF(OR($AI568="",$AN568=""),$AI568,$AI568&amp;" · borderline (p "&amp;$AN568&amp;")")</f>
        <v/>
      </c>
    </row>
    <row r="569">
      <c r="A569" t="inlineStr">
        <is>
          <t>three-way</t>
        </is>
      </c>
      <c r="B569" t="inlineStr">
        <is>
          <t>FICO x CHANNEL / SYS_FLAG</t>
        </is>
      </c>
      <c r="C569" t="inlineStr">
        <is>
          <t>496 - 653</t>
        </is>
      </c>
      <c r="D569" t="inlineStr">
        <is>
          <t>Online / SYS_FLAG N</t>
        </is>
      </c>
      <c r="E569" t="inlineStr">
        <is>
          <t>outcome_loans</t>
        </is>
      </c>
      <c r="F569" t="inlineStr">
        <is>
          <t>Outcome, share of loans</t>
        </is>
      </c>
      <c r="G569" t="n">
        <v>305</v>
      </c>
      <c r="H569" t="n">
        <v>305</v>
      </c>
      <c r="I569" t="b">
        <v>0</v>
      </c>
      <c r="J569" t="b">
        <v>0</v>
      </c>
      <c r="K569" t="n">
        <v>0.9734954340411487</v>
      </c>
      <c r="L569" t="n">
        <v>0.8952936770536116</v>
      </c>
      <c r="M569" t="n">
        <v>0.4467407349856266</v>
      </c>
      <c r="N569" t="n">
        <v>0.0003596438670985748</v>
      </c>
      <c r="O569" t="n">
        <v>-0.6262022355081882</v>
      </c>
      <c r="P569" t="n">
        <v>-28.484</v>
      </c>
      <c r="Q569">
        <f>'_live'!$C$20</f>
        <v/>
      </c>
      <c r="R569" t="inlineStr">
        <is>
          <t>z test</t>
        </is>
      </c>
      <c r="S569" t="inlineStr">
        <is>
          <t>z test</t>
        </is>
      </c>
      <c r="T569" t="n">
        <v>0.07746295814920717</v>
      </c>
      <c r="U569" t="n">
        <v>0.1688</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0.07540983606557378</v>
      </c>
      <c r="AI569">
        <f>IF($Y569="worse","Yes",IF($Y569="worse, not significant","Not sure",IF(OR($Y569="too few losses to test",$Y569="too few loans to test"),"Too few losses",IF($Y569="","","No"))))</f>
        <v/>
      </c>
      <c r="AJ569">
        <f>IF($AA569="yes","Yes",IF($AA569="","","No"))</f>
        <v/>
      </c>
      <c r="AM569">
        <f>IF(AND(ISNUMBER($AC569),ISNUMBER(IF($V569,IF($AL569="","",$AL569),IF($AK569="","",$AK569)))),IF(AND(ABS($AC569-significance_bar)&lt;=2.0*IF($V569,IF($AL569="","",$AL569),IF($AK569="","",$AK569)),OR($Y569="worse",$Y569="better",$Y569="worse, not significant",$Y569="better, not significant")),IF(ROUND($AC569,3)=ROUND(significance_bar,3),TEXT($AC569,"0.0000"),TEXT($AC569,"0.000")),""),"")</f>
        <v/>
      </c>
      <c r="AN569">
        <f>IF(AND(ISNUMBER($AC569),ISNUMBER(IF($V569,IF($AL569="","",$AL569),IF($AK569="","",$AK569)))),IF(AND(ABS($AC569-significance_bar)&lt;=2.0*IF($V569,IF($AL569="","",$AL569),IF($AK569="","",$AK569)),OR($Y569="worse",$Y569="worse, not significant")),IF(ROUND($AC569,3)=ROUND(significance_bar,3),TEXT($AC569,"0.0000"),TEXT($AC569,"0.000")),""),"")</f>
        <v/>
      </c>
      <c r="AO569">
        <f>IF(OR($AI569="",$AN569=""),$AI569,$AI569&amp;" · borderline (p "&amp;$AN569&amp;")")</f>
        <v/>
      </c>
    </row>
    <row r="570">
      <c r="A570" t="inlineStr">
        <is>
          <t>three-way</t>
        </is>
      </c>
      <c r="B570" t="inlineStr">
        <is>
          <t>FICO x CHANNEL / SYS_FLAG</t>
        </is>
      </c>
      <c r="C570" t="inlineStr">
        <is>
          <t>496 - 653</t>
        </is>
      </c>
      <c r="D570" t="inlineStr">
        <is>
          <t>Online / SYS_FLAG N</t>
        </is>
      </c>
      <c r="E570" t="inlineStr">
        <is>
          <t>outcome_booked</t>
        </is>
      </c>
      <c r="F570" t="inlineStr">
        <is>
          <t>Outcome, share of booked dollars</t>
        </is>
      </c>
      <c r="G570" t="n">
        <v>305</v>
      </c>
      <c r="H570" t="n">
        <v>9925227.060000001</v>
      </c>
      <c r="I570" t="b">
        <v>0</v>
      </c>
      <c r="J570" t="b">
        <v>0</v>
      </c>
      <c r="K570" t="n">
        <v>0.8308845090216782</v>
      </c>
      <c r="L570" t="n">
        <v>0.5117966464223143</v>
      </c>
      <c r="M570" t="n">
        <v>0.3676148114294099</v>
      </c>
      <c r="N570" t="n">
        <v>0.00124987501249875</v>
      </c>
      <c r="O570" t="n">
        <v>-126423.3691709336</v>
      </c>
      <c r="P570" t="n">
        <v>-1068497.031173754</v>
      </c>
      <c r="Q570">
        <f>'_live'!$C$21</f>
        <v/>
      </c>
      <c r="R570" t="inlineStr">
        <is>
          <t>shuffled: 4,593 of 10,000</t>
        </is>
      </c>
      <c r="S570" t="inlineStr">
        <is>
          <t>shuffled: 0 of 10,000</t>
        </is>
      </c>
      <c r="T570" t="n">
        <v>0.07531882189211435</v>
      </c>
      <c r="U570" t="n">
        <v>0.1702359110738323</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0.06258124234792066</v>
      </c>
      <c r="AI570">
        <f>IF($Y570="worse","Yes",IF($Y570="worse, not significant","Not sure",IF(OR($Y570="too few losses to test",$Y570="too few loans to test"),"Too few losses",IF($Y570="","","No"))))</f>
        <v/>
      </c>
      <c r="AJ570">
        <f>IF($AA570="yes","Yes",IF($AA570="","","No"))</f>
        <v/>
      </c>
      <c r="AK570" t="n">
        <v>0.005425540483157626</v>
      </c>
      <c r="AL570" t="n">
        <v>0.00124987501249875</v>
      </c>
      <c r="AM570">
        <f>IF(AND(ISNUMBER($AC570),ISNUMBER(IF($V570,IF($AL570="","",$AL570),IF($AK570="","",$AK570)))),IF(AND(ABS($AC570-significance_bar)&lt;=2.0*IF($V570,IF($AL570="","",$AL570),IF($AK570="","",$AK570)),OR($Y570="worse",$Y570="better",$Y570="worse, not significant",$Y570="better, not significant")),IF(ROUND($AC570,3)=ROUND(significance_bar,3),TEXT($AC570,"0.0000"),TEXT($AC570,"0.000")),""),"")</f>
        <v/>
      </c>
      <c r="AN570">
        <f>IF(AND(ISNUMBER($AC570),ISNUMBER(IF($V570,IF($AL570="","",$AL570),IF($AK570="","",$AK570)))),IF(AND(ABS($AC570-significance_bar)&lt;=2.0*IF($V570,IF($AL570="","",$AL570),IF($AK570="","",$AK570)),OR($Y570="worse",$Y570="worse, not significant")),IF(ROUND($AC570,3)=ROUND(significance_bar,3),TEXT($AC570,"0.0000"),TEXT($AC570,"0.000")),""),"")</f>
        <v/>
      </c>
      <c r="AO570">
        <f>IF(OR($AI570="",$AN570=""),$AI570,$AI570&amp;" · borderline (p "&amp;$AN570&amp;")")</f>
        <v/>
      </c>
    </row>
    <row r="571">
      <c r="A571" t="inlineStr">
        <is>
          <t>three-way</t>
        </is>
      </c>
      <c r="B571" t="inlineStr">
        <is>
          <t>FICO x CHANNEL / SYS_FLAG</t>
        </is>
      </c>
      <c r="C571" t="inlineStr">
        <is>
          <t>496 - 653</t>
        </is>
      </c>
      <c r="D571" t="inlineStr">
        <is>
          <t>Online / SYS_FLAG N</t>
        </is>
      </c>
      <c r="E571" t="inlineStr">
        <is>
          <t>gco_rate</t>
        </is>
      </c>
      <c r="F571" t="inlineStr">
        <is>
          <t>GCO per booked dollar</t>
        </is>
      </c>
      <c r="G571" t="n">
        <v>305</v>
      </c>
      <c r="H571" t="n">
        <v>9925227.060000001</v>
      </c>
      <c r="I571" t="b">
        <v>0</v>
      </c>
      <c r="J571" t="b">
        <v>0</v>
      </c>
      <c r="K571" t="n">
        <v>0.8753459401467693</v>
      </c>
      <c r="L571" t="n">
        <v>0.6492828977971767</v>
      </c>
      <c r="M571" t="n">
        <v>0.3858337599725619</v>
      </c>
      <c r="N571" t="n">
        <v>0.001666500016665</v>
      </c>
      <c r="O571" t="n">
        <v>-51722.86556634313</v>
      </c>
      <c r="P571" t="n">
        <v>-578151.4070945546</v>
      </c>
      <c r="Q571">
        <f>'_live'!$C$22</f>
        <v/>
      </c>
      <c r="R571" t="inlineStr">
        <is>
          <t>shuffled: 5,973 of 10,000</t>
        </is>
      </c>
      <c r="S571" t="inlineStr">
        <is>
          <t>shuffled: 1 of 10,000</t>
        </is>
      </c>
      <c r="T571" t="n">
        <v>0.0418057192100493</v>
      </c>
      <c r="U571" t="n">
        <v>0.09484516489183015</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0.03659446658543245</v>
      </c>
      <c r="AI571">
        <f>IF($Y571="worse","Yes",IF($Y571="worse, not significant","Not sure",IF(OR($Y571="too few losses to test",$Y571="too few loans to test"),"Too few losses",IF($Y571="","","No"))))</f>
        <v/>
      </c>
      <c r="AJ571">
        <f>IF($AA571="yes","Yes",IF($AA571="","","No"))</f>
        <v/>
      </c>
      <c r="AK571" t="n">
        <v>0.005330797302865899</v>
      </c>
      <c r="AL571" t="n">
        <v>0.001178334541485119</v>
      </c>
      <c r="AM571">
        <f>IF(AND(ISNUMBER($AC571),ISNUMBER(IF($V571,IF($AL571="","",$AL571),IF($AK571="","",$AK571)))),IF(AND(ABS($AC571-significance_bar)&lt;=2.0*IF($V571,IF($AL571="","",$AL571),IF($AK571="","",$AK571)),OR($Y571="worse",$Y571="better",$Y571="worse, not significant",$Y571="better, not significant")),IF(ROUND($AC571,3)=ROUND(significance_bar,3),TEXT($AC571,"0.0000"),TEXT($AC571,"0.000")),""),"")</f>
        <v/>
      </c>
      <c r="AN571">
        <f>IF(AND(ISNUMBER($AC571),ISNUMBER(IF($V571,IF($AL571="","",$AL571),IF($AK571="","",$AK571)))),IF(AND(ABS($AC571-significance_bar)&lt;=2.0*IF($V571,IF($AL571="","",$AL571),IF($AK571="","",$AK571)),OR($Y571="worse",$Y571="worse, not significant")),IF(ROUND($AC571,3)=ROUND(significance_bar,3),TEXT($AC571,"0.0000"),TEXT($AC571,"0.000")),""),"")</f>
        <v/>
      </c>
      <c r="AO571">
        <f>IF(OR($AI571="",$AN571=""),$AI571,$AI571&amp;" · borderline (p "&amp;$AN571&amp;")")</f>
        <v/>
      </c>
    </row>
    <row r="572">
      <c r="A572" t="inlineStr">
        <is>
          <t>three-way</t>
        </is>
      </c>
      <c r="B572" t="inlineStr">
        <is>
          <t>FICO x CHANNEL / SYS_FLAG</t>
        </is>
      </c>
      <c r="C572" t="inlineStr">
        <is>
          <t>496 - 653</t>
        </is>
      </c>
      <c r="D572" t="inlineStr">
        <is>
          <t>Online / SYS_FLAG N</t>
        </is>
      </c>
      <c r="E572" t="inlineStr">
        <is>
          <t>ranr_rate</t>
        </is>
      </c>
      <c r="F572" t="inlineStr">
        <is>
          <t>Profit after losses: RANR per booked dollar</t>
        </is>
      </c>
      <c r="G572" t="n">
        <v>305</v>
      </c>
      <c r="H572" t="n">
        <v>9925227.060000001</v>
      </c>
      <c r="I572" t="b">
        <v>0</v>
      </c>
      <c r="J572" t="b">
        <v>0</v>
      </c>
      <c r="K572" t="n">
        <v>0.1090478775562636</v>
      </c>
      <c r="L572" t="n">
        <v>0.0002845869259227924</v>
      </c>
      <c r="M572" t="n">
        <v>0.0530471380755034</v>
      </c>
      <c r="N572" t="n">
        <v>0.01583841615838416</v>
      </c>
      <c r="O572" t="n">
        <v>-1082324.945156994</v>
      </c>
      <c r="P572" t="n">
        <v>-526504.8902825427</v>
      </c>
      <c r="Q572">
        <f>'_live'!$C$23</f>
        <v/>
      </c>
      <c r="R572" t="inlineStr">
        <is>
          <t>shuffled: 0 of 10,000</t>
        </is>
      </c>
      <c r="S572" t="inlineStr">
        <is>
          <t>shuffled: 21 of 10,000</t>
        </is>
      </c>
      <c r="T572" t="n">
        <v>0.1237961043525997</v>
      </c>
      <c r="U572" t="n">
        <v>0.1797968438333599</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0.2328439819088634</v>
      </c>
      <c r="AI572">
        <f>IF($Y572="worse","Yes",IF($Y572="worse, not significant","Not sure",IF(OR($Y572="too few losses to test",$Y572="too few loans to test"),"Too few losses",IF($Y572="","","No"))))</f>
        <v/>
      </c>
      <c r="AJ572">
        <f>IF($AA572="yes","Yes",IF($AA572="","","No"))</f>
        <v/>
      </c>
      <c r="AK572" t="n">
        <v>0.0002845869259227924</v>
      </c>
      <c r="AL572" t="n">
        <v>0.003373214207754376</v>
      </c>
      <c r="AM572">
        <f>IF(AND(ISNUMBER($AC572),ISNUMBER(IF($V572,IF($AL572="","",$AL572),IF($AK572="","",$AK572)))),IF(AND(ABS($AC572-significance_bar)&lt;=2.0*IF($V572,IF($AL572="","",$AL572),IF($AK572="","",$AK572)),OR($Y572="worse",$Y572="better",$Y572="worse, not significant",$Y572="better, not significant",AND(profit_kind="test",$Y572="in line",ISNUMBER($AB572),$AB572&lt;&gt;0))),IF(ROUND($AC572,3)=ROUND(significance_bar,3),TEXT($AC572,"0.0000"),TEXT($AC572,"0.000")),""),"")</f>
        <v/>
      </c>
      <c r="AN572">
        <f>IF(AND(ISNUMBER($AC572),ISNUMBER(IF($V572,IF($AL572="","",$AL572),IF($AK572="","",$AK572)))),IF(AND(ABS($AC572-significance_bar)&lt;=2.0*IF($V572,IF($AL572="","",$AL572),IF($AK572="","",$AK572)),OR($Y572="worse",$Y572="worse, not significant",AND(profit_kind="test",$Y572="in line",ISNUMBER($AB572),$AB572&lt;0))),IF(ROUND($AC572,3)=ROUND(significance_bar,3),TEXT($AC572,"0.0000"),TEXT($AC572,"0.000")),""),"")</f>
        <v/>
      </c>
      <c r="AO572">
        <f>IF(OR($AI572="",$AN572=""),$AI572,$AI572&amp;" · borderline (p "&amp;$AN572&amp;")")</f>
        <v/>
      </c>
    </row>
    <row r="573">
      <c r="A573" t="inlineStr">
        <is>
          <t>three-way</t>
        </is>
      </c>
      <c r="B573" t="inlineStr">
        <is>
          <t>FICO x CHANNEL / SYS_FLAG</t>
        </is>
      </c>
      <c r="C573" t="inlineStr">
        <is>
          <t>496 - 653</t>
        </is>
      </c>
      <c r="D573" t="inlineStr">
        <is>
          <t>Online / SYS_FLAG N</t>
        </is>
      </c>
      <c r="E573" t="inlineStr">
        <is>
          <t>contribution_rate</t>
        </is>
      </c>
      <c r="F573" t="inlineStr">
        <is>
          <t>Contribution before losses per booked dollar</t>
        </is>
      </c>
      <c r="G573" t="n">
        <v>305</v>
      </c>
      <c r="H573" t="n">
        <v>9925227.060000001</v>
      </c>
      <c r="I573" t="b">
        <v>0</v>
      </c>
      <c r="J573" t="b">
        <v>0</v>
      </c>
      <c r="K573" t="n">
        <v>0.103840269386629</v>
      </c>
      <c r="L573" t="n">
        <v>0.000184981501849815</v>
      </c>
      <c r="M573" t="n">
        <v>-0.005203560230894411</v>
      </c>
      <c r="N573" t="n">
        <v>0.7649855704084764</v>
      </c>
      <c r="O573" t="n">
        <v>-1030638.25163386</v>
      </c>
      <c r="P573" t="n">
        <v>51646.516812013</v>
      </c>
      <c r="Q573">
        <f>'_live'!$C$24</f>
        <v/>
      </c>
      <c r="R573" t="inlineStr">
        <is>
          <t>shuffled: 0 of 10,000</t>
        </is>
      </c>
      <c r="S573" t="inlineStr">
        <is>
          <t>shuffled: 6,162 of 10,000</t>
        </is>
      </c>
      <c r="T573" t="n">
        <v>0.1655981791076667</v>
      </c>
      <c r="U573" t="n">
        <v>0.2746420087251901</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0.2694384484942957</v>
      </c>
      <c r="AI573">
        <f>IF($Y573="worse","Yes",IF($Y573="worse, not significant","Not sure",IF(OR($Y573="too few losses to test",$Y573="too few loans to test"),"Too few losses",IF($Y573="","","No"))))</f>
        <v/>
      </c>
      <c r="AJ573">
        <f>IF($AA573="yes","Yes",IF($AA573="","","No"))</f>
        <v/>
      </c>
      <c r="AK573" t="n">
        <v>0.000184981501849815</v>
      </c>
      <c r="AL573" t="n">
        <v>0.006036839710347104</v>
      </c>
      <c r="AM573">
        <f>IF(AND(ISNUMBER($AC573),ISNUMBER(IF($V573,IF($AL573="","",$AL573),IF($AK573="","",$AK573)))),IF(AND(ABS($AC573-significance_bar)&lt;=2.0*IF($V573,IF($AL573="","",$AL573),IF($AK573="","",$AK573)),OR($Y573="worse",$Y573="better",$Y573="worse, not significant",$Y573="better, not significant",AND(profit_kind="test",$Y573="in line",ISNUMBER($AB573),$AB573&lt;&gt;0))),IF(ROUND($AC573,3)=ROUND(significance_bar,3),TEXT($AC573,"0.0000"),TEXT($AC573,"0.000")),""),"")</f>
        <v/>
      </c>
      <c r="AN573">
        <f>IF(AND(ISNUMBER($AC573),ISNUMBER(IF($V573,IF($AL573="","",$AL573),IF($AK573="","",$AK573)))),IF(AND(ABS($AC573-significance_bar)&lt;=2.0*IF($V573,IF($AL573="","",$AL573),IF($AK573="","",$AK573)),OR($Y573="worse",$Y573="worse, not significant",AND(profit_kind="test",$Y573="in line",ISNUMBER($AB573),$AB573&lt;0))),IF(ROUND($AC573,3)=ROUND(significance_bar,3),TEXT($AC573,"0.0000"),TEXT($AC573,"0.000")),""),"")</f>
        <v/>
      </c>
      <c r="AO573">
        <f>IF(OR($AI573="",$AN573=""),$AI573,$AI573&amp;" · borderline (p "&amp;$AN573&amp;")")</f>
        <v/>
      </c>
    </row>
    <row r="574">
      <c r="A574" t="inlineStr">
        <is>
          <t>three-way</t>
        </is>
      </c>
      <c r="B574" t="inlineStr">
        <is>
          <t>FICO x CHANNEL / SYS_FLAG</t>
        </is>
      </c>
      <c r="C574" t="inlineStr">
        <is>
          <t>686 - 711</t>
        </is>
      </c>
      <c r="D574" t="inlineStr">
        <is>
          <t>Branch / SYS_FLAG N</t>
        </is>
      </c>
      <c r="E574" t="inlineStr">
        <is>
          <t>outcome_loans</t>
        </is>
      </c>
      <c r="F574" t="inlineStr">
        <is>
          <t>Outcome, share of loans</t>
        </is>
      </c>
      <c r="G574" t="n">
        <v>280</v>
      </c>
      <c r="H574" t="n">
        <v>280</v>
      </c>
      <c r="I574" t="b">
        <v>0</v>
      </c>
      <c r="J574" t="b">
        <v>0</v>
      </c>
      <c r="K574" t="n">
        <v>0.7784943046986236</v>
      </c>
      <c r="L574" t="n">
        <v>0.3598787304750263</v>
      </c>
      <c r="M574" t="n">
        <v>0.9852622061482821</v>
      </c>
      <c r="N574" t="n">
        <v>0.954287523372503</v>
      </c>
      <c r="O574" t="n">
        <v>-4.837025521440601</v>
      </c>
      <c r="P574" t="n">
        <v>-0.2542901716068648</v>
      </c>
      <c r="Q574">
        <f>'_live'!$C$20</f>
        <v/>
      </c>
      <c r="R574" t="inlineStr">
        <is>
          <t>z test</t>
        </is>
      </c>
      <c r="S574" t="inlineStr">
        <is>
          <t>z test</t>
        </is>
      </c>
      <c r="T574" t="n">
        <v>0.07798937686228787</v>
      </c>
      <c r="U574" t="n">
        <v>0.06162246489859594</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0.06071428571428571</v>
      </c>
      <c r="AI574">
        <f>IF($Y574="worse","Yes",IF($Y574="worse, not significant","Not sure",IF(OR($Y574="too few losses to test",$Y574="too few loans to test"),"Too few losses",IF($Y574="","","No"))))</f>
        <v/>
      </c>
      <c r="AJ574">
        <f>IF($AA574="yes","Yes",IF($AA574="","","No"))</f>
        <v/>
      </c>
      <c r="AM574">
        <f>IF(AND(ISNUMBER($AC574),ISNUMBER(IF($V574,IF($AL574="","",$AL574),IF($AK574="","",$AK574)))),IF(AND(ABS($AC574-significance_bar)&lt;=2.0*IF($V574,IF($AL574="","",$AL574),IF($AK574="","",$AK574)),OR($Y574="worse",$Y574="better",$Y574="worse, not significant",$Y574="better, not significant")),IF(ROUND($AC574,3)=ROUND(significance_bar,3),TEXT($AC574,"0.0000"),TEXT($AC574,"0.000")),""),"")</f>
        <v/>
      </c>
      <c r="AN574">
        <f>IF(AND(ISNUMBER($AC574),ISNUMBER(IF($V574,IF($AL574="","",$AL574),IF($AK574="","",$AK574)))),IF(AND(ABS($AC574-significance_bar)&lt;=2.0*IF($V574,IF($AL574="","",$AL574),IF($AK574="","",$AK574)),OR($Y574="worse",$Y574="worse, not significant")),IF(ROUND($AC574,3)=ROUND(significance_bar,3),TEXT($AC574,"0.0000"),TEXT($AC574,"0.000")),""),"")</f>
        <v/>
      </c>
      <c r="AO574">
        <f>IF(OR($AI574="",$AN574=""),$AI574,$AI574&amp;" · borderline (p "&amp;$AN574&amp;")")</f>
        <v/>
      </c>
    </row>
    <row r="575">
      <c r="A575" t="inlineStr">
        <is>
          <t>three-way</t>
        </is>
      </c>
      <c r="B575" t="inlineStr">
        <is>
          <t>FICO x CHANNEL / SYS_FLAG</t>
        </is>
      </c>
      <c r="C575" t="inlineStr">
        <is>
          <t>686 - 711</t>
        </is>
      </c>
      <c r="D575" t="inlineStr">
        <is>
          <t>Branch / SYS_FLAG N</t>
        </is>
      </c>
      <c r="E575" t="inlineStr">
        <is>
          <t>outcome_booked</t>
        </is>
      </c>
      <c r="F575" t="inlineStr">
        <is>
          <t>Outcome, share of booked dollars</t>
        </is>
      </c>
      <c r="G575" t="n">
        <v>280</v>
      </c>
      <c r="H575" t="n">
        <v>9250034.289999995</v>
      </c>
      <c r="I575" t="b">
        <v>0</v>
      </c>
      <c r="J575" t="b">
        <v>0</v>
      </c>
      <c r="K575" t="n">
        <v>0.613945781095691</v>
      </c>
      <c r="L575" t="n">
        <v>0.1678403588212607</v>
      </c>
      <c r="M575" t="n">
        <v>0.787740873303767</v>
      </c>
      <c r="N575" t="n">
        <v>0.5644435556444356</v>
      </c>
      <c r="O575" t="n">
        <v>-270965.0023168078</v>
      </c>
      <c r="P575" t="n">
        <v>-116112.2151839539</v>
      </c>
      <c r="Q575">
        <f>'_live'!$C$21</f>
        <v/>
      </c>
      <c r="R575" t="inlineStr">
        <is>
          <t>shuffled: 939 of 10,000</t>
        </is>
      </c>
      <c r="S575" t="inlineStr">
        <is>
          <t>shuffled: 4,515 of 10,000</t>
        </is>
      </c>
      <c r="T575" t="n">
        <v>0.07587899247850335</v>
      </c>
      <c r="U575" t="n">
        <v>0.05913821268482608</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0.0465855873059688</v>
      </c>
      <c r="AI575">
        <f>IF($Y575="worse","Yes",IF($Y575="worse, not significant","Not sure",IF(OR($Y575="too few losses to test",$Y575="too few loans to test"),"Too few losses",IF($Y575="","","No"))))</f>
        <v/>
      </c>
      <c r="AJ575">
        <f>IF($AA575="yes","Yes",IF($AA575="","","No"))</f>
        <v/>
      </c>
      <c r="AK575" t="n">
        <v>0.005210993575291449</v>
      </c>
      <c r="AL575" t="n">
        <v>0.006220594160102486</v>
      </c>
      <c r="AM575">
        <f>IF(AND(ISNUMBER($AC575),ISNUMBER(IF($V575,IF($AL575="","",$AL575),IF($AK575="","",$AK575)))),IF(AND(ABS($AC575-significance_bar)&lt;=2.0*IF($V575,IF($AL575="","",$AL575),IF($AK575="","",$AK575)),OR($Y575="worse",$Y575="better",$Y575="worse, not significant",$Y575="better, not significant")),IF(ROUND($AC575,3)=ROUND(significance_bar,3),TEXT($AC575,"0.0000"),TEXT($AC575,"0.000")),""),"")</f>
        <v/>
      </c>
      <c r="AN575">
        <f>IF(AND(ISNUMBER($AC575),ISNUMBER(IF($V575,IF($AL575="","",$AL575),IF($AK575="","",$AK575)))),IF(AND(ABS($AC575-significance_bar)&lt;=2.0*IF($V575,IF($AL575="","",$AL575),IF($AK575="","",$AK575)),OR($Y575="worse",$Y575="worse, not significant")),IF(ROUND($AC575,3)=ROUND(significance_bar,3),TEXT($AC575,"0.0000"),TEXT($AC575,"0.000")),""),"")</f>
        <v/>
      </c>
      <c r="AO575">
        <f>IF(OR($AI575="",$AN575=""),$AI575,$AI575&amp;" · borderline (p "&amp;$AN575&amp;")")</f>
        <v/>
      </c>
    </row>
    <row r="576">
      <c r="A576" t="inlineStr">
        <is>
          <t>three-way</t>
        </is>
      </c>
      <c r="B576" t="inlineStr">
        <is>
          <t>FICO x CHANNEL / SYS_FLAG</t>
        </is>
      </c>
      <c r="C576" t="inlineStr">
        <is>
          <t>686 - 711</t>
        </is>
      </c>
      <c r="D576" t="inlineStr">
        <is>
          <t>Branch / SYS_FLAG N</t>
        </is>
      </c>
      <c r="E576" t="inlineStr">
        <is>
          <t>gco_rate</t>
        </is>
      </c>
      <c r="F576" t="inlineStr">
        <is>
          <t>GCO per booked dollar</t>
        </is>
      </c>
      <c r="G576" t="n">
        <v>280</v>
      </c>
      <c r="H576" t="n">
        <v>9250034.289999995</v>
      </c>
      <c r="I576" t="b">
        <v>0</v>
      </c>
      <c r="J576" t="b">
        <v>0</v>
      </c>
      <c r="K576" t="n">
        <v>0.6385850942077971</v>
      </c>
      <c r="L576" t="n">
        <v>0.2027922207779222</v>
      </c>
      <c r="M576" t="n">
        <v>0.827376030923355</v>
      </c>
      <c r="N576" t="n">
        <v>0.7008049195080492</v>
      </c>
      <c r="O576" t="n">
        <v>-140916.3292851516</v>
      </c>
      <c r="P576" t="n">
        <v>-51948.40304755562</v>
      </c>
      <c r="Q576">
        <f>'_live'!$C$22</f>
        <v/>
      </c>
      <c r="R576" t="inlineStr">
        <is>
          <t>shuffled: 1,297 of 10,000</t>
        </is>
      </c>
      <c r="S576" t="inlineStr">
        <is>
          <t>shuffled: 5,606 of 10,000</t>
        </is>
      </c>
      <c r="T576" t="n">
        <v>0.04215139177447868</v>
      </c>
      <c r="U576" t="n">
        <v>0.03253327324125582</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0.02691725048729523</v>
      </c>
      <c r="AI576">
        <f>IF($Y576="worse","Yes",IF($Y576="worse, not significant","Not sure",IF(OR($Y576="too few losses to test",$Y576="too few loans to test"),"Too few losses",IF($Y576="","","No"))))</f>
        <v/>
      </c>
      <c r="AJ576">
        <f>IF($AA576="yes","Yes",IF($AA576="","","No"))</f>
        <v/>
      </c>
      <c r="AK576" t="n">
        <v>0.005251077605191738</v>
      </c>
      <c r="AL576" t="n">
        <v>0.00620385859105749</v>
      </c>
      <c r="AM576">
        <f>IF(AND(ISNUMBER($AC576),ISNUMBER(IF($V576,IF($AL576="","",$AL576),IF($AK576="","",$AK576)))),IF(AND(ABS($AC576-significance_bar)&lt;=2.0*IF($V576,IF($AL576="","",$AL576),IF($AK576="","",$AK576)),OR($Y576="worse",$Y576="better",$Y576="worse, not significant",$Y576="better, not significant")),IF(ROUND($AC576,3)=ROUND(significance_bar,3),TEXT($AC576,"0.0000"),TEXT($AC576,"0.000")),""),"")</f>
        <v/>
      </c>
      <c r="AN576">
        <f>IF(AND(ISNUMBER($AC576),ISNUMBER(IF($V576,IF($AL576="","",$AL576),IF($AK576="","",$AK576)))),IF(AND(ABS($AC576-significance_bar)&lt;=2.0*IF($V576,IF($AL576="","",$AL576),IF($AK576="","",$AK576)),OR($Y576="worse",$Y576="worse, not significant")),IF(ROUND($AC576,3)=ROUND(significance_bar,3),TEXT($AC576,"0.0000"),TEXT($AC576,"0.000")),""),"")</f>
        <v/>
      </c>
      <c r="AO576">
        <f>IF(OR($AI576="",$AN576=""),$AI576,$AI576&amp;" · borderline (p "&amp;$AN576&amp;")")</f>
        <v/>
      </c>
    </row>
    <row r="577">
      <c r="A577" t="inlineStr">
        <is>
          <t>three-way</t>
        </is>
      </c>
      <c r="B577" t="inlineStr">
        <is>
          <t>FICO x CHANNEL / SYS_FLAG</t>
        </is>
      </c>
      <c r="C577" t="inlineStr">
        <is>
          <t>686 - 711</t>
        </is>
      </c>
      <c r="D577" t="inlineStr">
        <is>
          <t>Branch / SYS_FLAG N</t>
        </is>
      </c>
      <c r="E577" t="inlineStr">
        <is>
          <t>ranr_rate</t>
        </is>
      </c>
      <c r="F577" t="inlineStr">
        <is>
          <t>Profit after losses: RANR per booked dollar</t>
        </is>
      </c>
      <c r="G577" t="n">
        <v>280</v>
      </c>
      <c r="H577" t="n">
        <v>9250034.289999995</v>
      </c>
      <c r="I577" t="b">
        <v>0</v>
      </c>
      <c r="J577" t="b">
        <v>0</v>
      </c>
      <c r="K577" t="n">
        <v>0.0001167555143640475</v>
      </c>
      <c r="L577" t="n">
        <v>0.9932006799320068</v>
      </c>
      <c r="M577" t="n">
        <v>-0.01687546681950516</v>
      </c>
      <c r="N577" t="n">
        <v>0.3846472495607582</v>
      </c>
      <c r="O577" t="n">
        <v>-1079.992511413991</v>
      </c>
      <c r="P577" t="n">
        <v>156098.64674018</v>
      </c>
      <c r="Q577">
        <f>'_live'!$C$23</f>
        <v/>
      </c>
      <c r="R577" t="inlineStr">
        <is>
          <t>shuffled: 9,932 of 10,000</t>
        </is>
      </c>
      <c r="S577" t="inlineStr">
        <is>
          <t>shuffled: 1,495 of 10,000</t>
        </is>
      </c>
      <c r="T577" t="n">
        <v>0.1279858647408957</v>
      </c>
      <c r="U577" t="n">
        <v>0.1449780870747649</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0.1281026202552597</v>
      </c>
      <c r="AI577">
        <f>IF($Y577="worse","Yes",IF($Y577="worse, not significant","Not sure",IF(OR($Y577="too few losses to test",$Y577="too few loans to test"),"Too few losses",IF($Y577="","","No"))))</f>
        <v/>
      </c>
      <c r="AJ577">
        <f>IF($AA577="yes","Yes",IF($AA577="","","No"))</f>
        <v/>
      </c>
      <c r="AK577" t="n">
        <v>0.0008217718244504495</v>
      </c>
      <c r="AL577" t="n">
        <v>0.00917136533372918</v>
      </c>
      <c r="AM577">
        <f>IF(AND(ISNUMBER($AC577),ISNUMBER(IF($V577,IF($AL577="","",$AL577),IF($AK577="","",$AK577)))),IF(AND(ABS($AC577-significance_bar)&lt;=2.0*IF($V577,IF($AL577="","",$AL577),IF($AK577="","",$AK577)),OR($Y577="worse",$Y577="better",$Y577="worse, not significant",$Y577="better, not significant",AND(profit_kind="test",$Y577="in line",ISNUMBER($AB577),$AB577&lt;&gt;0))),IF(ROUND($AC577,3)=ROUND(significance_bar,3),TEXT($AC577,"0.0000"),TEXT($AC577,"0.000")),""),"")</f>
        <v/>
      </c>
      <c r="AN577">
        <f>IF(AND(ISNUMBER($AC577),ISNUMBER(IF($V577,IF($AL577="","",$AL577),IF($AK577="","",$AK577)))),IF(AND(ABS($AC577-significance_bar)&lt;=2.0*IF($V577,IF($AL577="","",$AL577),IF($AK577="","",$AK577)),OR($Y577="worse",$Y577="worse, not significant",AND(profit_kind="test",$Y577="in line",ISNUMBER($AB577),$AB577&lt;0))),IF(ROUND($AC577,3)=ROUND(significance_bar,3),TEXT($AC577,"0.0000"),TEXT($AC577,"0.000")),""),"")</f>
        <v/>
      </c>
      <c r="AO577">
        <f>IF(OR($AI577="",$AN577=""),$AI577,$AI577&amp;" · borderline (p "&amp;$AN577&amp;")")</f>
        <v/>
      </c>
    </row>
    <row r="578">
      <c r="A578" t="inlineStr">
        <is>
          <t>three-way</t>
        </is>
      </c>
      <c r="B578" t="inlineStr">
        <is>
          <t>FICO x CHANNEL / SYS_FLAG</t>
        </is>
      </c>
      <c r="C578" t="inlineStr">
        <is>
          <t>686 - 711</t>
        </is>
      </c>
      <c r="D578" t="inlineStr">
        <is>
          <t>Branch / SYS_FLAG N</t>
        </is>
      </c>
      <c r="E578" t="inlineStr">
        <is>
          <t>contribution_rate</t>
        </is>
      </c>
      <c r="F578" t="inlineStr">
        <is>
          <t>Contribution before losses per booked dollar</t>
        </is>
      </c>
      <c r="G578" t="n">
        <v>280</v>
      </c>
      <c r="H578" t="n">
        <v>9250034.289999995</v>
      </c>
      <c r="I578" t="b">
        <v>0</v>
      </c>
      <c r="J578" t="b">
        <v>0</v>
      </c>
      <c r="K578" t="n">
        <v>-0.01511441954689752</v>
      </c>
      <c r="L578" t="n">
        <v>0.07411592174115923</v>
      </c>
      <c r="M578" t="n">
        <v>-0.02249148957346564</v>
      </c>
      <c r="N578" t="n">
        <v>0.001999800019998</v>
      </c>
      <c r="O578" t="n">
        <v>139808.8990822481</v>
      </c>
      <c r="P578" t="n">
        <v>208047.0497877344</v>
      </c>
      <c r="Q578">
        <f>'_live'!$C$24</f>
        <v/>
      </c>
      <c r="R578" t="inlineStr">
        <is>
          <t>shuffled: 600 of 10,000</t>
        </is>
      </c>
      <c r="S578" t="inlineStr">
        <is>
          <t>shuffled: 4 of 10,000</t>
        </is>
      </c>
      <c r="T578" t="n">
        <v>0.1701342902894525</v>
      </c>
      <c r="U578" t="n">
        <v>0.1775113603160207</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0.155019870742555</v>
      </c>
      <c r="AI578">
        <f>IF($Y578="worse","Yes",IF($Y578="worse, not significant","Not sure",IF(OR($Y578="too few losses to test",$Y578="too few loans to test"),"Too few losses",IF($Y578="","","No"))))</f>
        <v/>
      </c>
      <c r="AJ578">
        <f>IF($AA578="yes","Yes",IF($AA578="","","No"))</f>
        <v/>
      </c>
      <c r="AK578" t="n">
        <v>0.002931151087176414</v>
      </c>
      <c r="AL578" t="n">
        <v>0.0008941588717824152</v>
      </c>
      <c r="AM578">
        <f>IF(AND(ISNUMBER($AC578),ISNUMBER(IF($V578,IF($AL578="","",$AL578),IF($AK578="","",$AK578)))),IF(AND(ABS($AC578-significance_bar)&lt;=2.0*IF($V578,IF($AL578="","",$AL578),IF($AK578="","",$AK578)),OR($Y578="worse",$Y578="better",$Y578="worse, not significant",$Y578="better, not significant",AND(profit_kind="test",$Y578="in line",ISNUMBER($AB578),$AB578&lt;&gt;0))),IF(ROUND($AC578,3)=ROUND(significance_bar,3),TEXT($AC578,"0.0000"),TEXT($AC578,"0.000")),""),"")</f>
        <v/>
      </c>
      <c r="AN578">
        <f>IF(AND(ISNUMBER($AC578),ISNUMBER(IF($V578,IF($AL578="","",$AL578),IF($AK578="","",$AK578)))),IF(AND(ABS($AC578-significance_bar)&lt;=2.0*IF($V578,IF($AL578="","",$AL578),IF($AK578="","",$AK578)),OR($Y578="worse",$Y578="worse, not significant",AND(profit_kind="test",$Y578="in line",ISNUMBER($AB578),$AB578&lt;0))),IF(ROUND($AC578,3)=ROUND(significance_bar,3),TEXT($AC578,"0.0000"),TEXT($AC578,"0.000")),""),"")</f>
        <v/>
      </c>
      <c r="AO578">
        <f>IF(OR($AI578="",$AN578=""),$AI578,$AI578&amp;" · borderline (p "&amp;$AN578&amp;")")</f>
        <v/>
      </c>
    </row>
    <row r="579">
      <c r="A579" t="inlineStr">
        <is>
          <t>three-way</t>
        </is>
      </c>
      <c r="B579" t="inlineStr">
        <is>
          <t>FICO x CHANNEL / SYS_FLAG</t>
        </is>
      </c>
      <c r="C579" t="inlineStr">
        <is>
          <t>(marked missing)</t>
        </is>
      </c>
      <c r="D579" t="inlineStr">
        <is>
          <t>Branch / SYS_FLAG Y</t>
        </is>
      </c>
      <c r="E579" t="inlineStr">
        <is>
          <t>outcome_loans</t>
        </is>
      </c>
      <c r="F579" t="inlineStr">
        <is>
          <t>Outcome, share of loans</t>
        </is>
      </c>
      <c r="G579" t="n">
        <v>22</v>
      </c>
      <c r="H579" t="n">
        <v>22</v>
      </c>
      <c r="I579" t="b">
        <v>1</v>
      </c>
      <c r="J579" t="b">
        <v>0</v>
      </c>
      <c r="K579" t="n">
        <v>0.5867166813768756</v>
      </c>
      <c r="M579" t="n">
        <v>0.696969696969697</v>
      </c>
      <c r="O579" t="n">
        <v>-0.7044001504324933</v>
      </c>
      <c r="P579" t="n">
        <v>-0.4347826086956521</v>
      </c>
      <c r="Q579">
        <f>'_live'!$C$20</f>
        <v/>
      </c>
      <c r="T579" t="n">
        <v>0.07747273411056788</v>
      </c>
      <c r="U579" t="n">
        <v>0.06521739130434782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0.04545454545454546</v>
      </c>
      <c r="AI579">
        <f>IF($Y579="worse","Yes",IF($Y579="worse, not significant","Not sure",IF(OR($Y579="too few losses to test",$Y579="too few loans to test"),"Too few losses",IF($Y579="","","No"))))</f>
        <v/>
      </c>
      <c r="AJ579">
        <f>IF($AA579="yes","Yes",IF($AA579="","","No"))</f>
        <v/>
      </c>
      <c r="AM579">
        <f>IF(AND(ISNUMBER($AC579),ISNUMBER(IF($V579,IF($AL579="","",$AL579),IF($AK579="","",$AK579)))),IF(AND(ABS($AC579-significance_bar)&lt;=2.0*IF($V579,IF($AL579="","",$AL579),IF($AK579="","",$AK579)),OR($Y579="worse",$Y579="better",$Y579="worse, not significant",$Y579="better, not significant")),IF(ROUND($AC579,3)=ROUND(significance_bar,3),TEXT($AC579,"0.0000"),TEXT($AC579,"0.000")),""),"")</f>
        <v/>
      </c>
      <c r="AN579">
        <f>IF(AND(ISNUMBER($AC579),ISNUMBER(IF($V579,IF($AL579="","",$AL579),IF($AK579="","",$AK579)))),IF(AND(ABS($AC579-significance_bar)&lt;=2.0*IF($V579,IF($AL579="","",$AL579),IF($AK579="","",$AK579)),OR($Y579="worse",$Y579="worse, not significant")),IF(ROUND($AC579,3)=ROUND(significance_bar,3),TEXT($AC579,"0.0000"),TEXT($AC579,"0.000")),""),"")</f>
        <v/>
      </c>
      <c r="AO579">
        <f>IF(OR($AI579="",$AN579=""),$AI579,$AI579&amp;" · borderline (p "&amp;$AN579&amp;")")</f>
        <v/>
      </c>
    </row>
    <row r="580">
      <c r="A580" t="inlineStr">
        <is>
          <t>three-way</t>
        </is>
      </c>
      <c r="B580" t="inlineStr">
        <is>
          <t>FICO x CHANNEL / SYS_FLAG</t>
        </is>
      </c>
      <c r="C580" t="inlineStr">
        <is>
          <t>(marked missing)</t>
        </is>
      </c>
      <c r="D580" t="inlineStr">
        <is>
          <t>Branch / SYS_FLAG Y</t>
        </is>
      </c>
      <c r="E580" t="inlineStr">
        <is>
          <t>outcome_booked</t>
        </is>
      </c>
      <c r="F580" t="inlineStr">
        <is>
          <t>Outcome, share of booked dollars</t>
        </is>
      </c>
      <c r="G580" t="n">
        <v>22</v>
      </c>
      <c r="H580" t="n">
        <v>747285.7</v>
      </c>
      <c r="I580" t="b">
        <v>1</v>
      </c>
      <c r="J580" t="b">
        <v>0</v>
      </c>
      <c r="K580" t="n">
        <v>0.5061498376331425</v>
      </c>
      <c r="M580" t="n">
        <v>0.7611273337144023</v>
      </c>
      <c r="O580" t="n">
        <v>-27654.93497445894</v>
      </c>
      <c r="P580" t="n">
        <v>-8895.404082202625</v>
      </c>
      <c r="Q580">
        <f>'_live'!$C$21</f>
        <v/>
      </c>
      <c r="T580" t="n">
        <v>0.07493604517583963</v>
      </c>
      <c r="U580" t="n">
        <v>0.04983248586478053</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0.03792886709862105</v>
      </c>
      <c r="AI580">
        <f>IF($Y580="worse","Yes",IF($Y580="worse, not significant","Not sure",IF(OR($Y580="too few losses to test",$Y580="too few loans to test"),"Too few losses",IF($Y580="","","No"))))</f>
        <v/>
      </c>
      <c r="AJ580">
        <f>IF($AA580="yes","Yes",IF($AA580="","","No"))</f>
        <v/>
      </c>
      <c r="AM580">
        <f>IF(AND(ISNUMBER($AC580),ISNUMBER(IF($V580,IF($AL580="","",$AL580),IF($AK580="","",$AK580)))),IF(AND(ABS($AC580-significance_bar)&lt;=2.0*IF($V580,IF($AL580="","",$AL580),IF($AK580="","",$AK580)),OR($Y580="worse",$Y580="better",$Y580="worse, not significant",$Y580="better, not significant")),IF(ROUND($AC580,3)=ROUND(significance_bar,3),TEXT($AC580,"0.0000"),TEXT($AC580,"0.000")),""),"")</f>
        <v/>
      </c>
      <c r="AN580">
        <f>IF(AND(ISNUMBER($AC580),ISNUMBER(IF($V580,IF($AL580="","",$AL580),IF($AK580="","",$AK580)))),IF(AND(ABS($AC580-significance_bar)&lt;=2.0*IF($V580,IF($AL580="","",$AL580),IF($AK580="","",$AK580)),OR($Y580="worse",$Y580="worse, not significant")),IF(ROUND($AC580,3)=ROUND(significance_bar,3),TEXT($AC580,"0.0000"),TEXT($AC580,"0.000")),""),"")</f>
        <v/>
      </c>
      <c r="AO580">
        <f>IF(OR($AI580="",$AN580=""),$AI580,$AI580&amp;" · borderline (p "&amp;$AN580&amp;")")</f>
        <v/>
      </c>
    </row>
    <row r="581">
      <c r="A581" t="inlineStr">
        <is>
          <t>three-way</t>
        </is>
      </c>
      <c r="B581" t="inlineStr">
        <is>
          <t>FICO x CHANNEL / SYS_FLAG</t>
        </is>
      </c>
      <c r="C581" t="inlineStr">
        <is>
          <t>(marked missing)</t>
        </is>
      </c>
      <c r="D581" t="inlineStr">
        <is>
          <t>Branch / SYS_FLAG Y</t>
        </is>
      </c>
      <c r="E581" t="inlineStr">
        <is>
          <t>gco_rate</t>
        </is>
      </c>
      <c r="F581" t="inlineStr">
        <is>
          <t>GCO per booked dollar</t>
        </is>
      </c>
      <c r="G581" t="n">
        <v>22</v>
      </c>
      <c r="H581" t="n">
        <v>747285.7</v>
      </c>
      <c r="I581" t="b">
        <v>1</v>
      </c>
      <c r="J581" t="b">
        <v>0</v>
      </c>
      <c r="K581" t="n">
        <v>0.4423255565651406</v>
      </c>
      <c r="M581" t="n">
        <v>0.6909306828229884</v>
      </c>
      <c r="O581" t="n">
        <v>-17366.71615402475</v>
      </c>
      <c r="P581" t="n">
        <v>-6161.698014324766</v>
      </c>
      <c r="Q581">
        <f>'_live'!$C$22</f>
        <v/>
      </c>
      <c r="T581" t="n">
        <v>0.04167257068350799</v>
      </c>
      <c r="U581" t="n">
        <v>0.02667828116385041</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0.01843284302108283</v>
      </c>
      <c r="AI581">
        <f>IF($Y581="worse","Yes",IF($Y581="worse, not significant","Not sure",IF(OR($Y581="too few losses to test",$Y581="too few loans to test"),"Too few losses",IF($Y581="","","No"))))</f>
        <v/>
      </c>
      <c r="AJ581">
        <f>IF($AA581="yes","Yes",IF($AA581="","","No"))</f>
        <v/>
      </c>
      <c r="AM581">
        <f>IF(AND(ISNUMBER($AC581),ISNUMBER(IF($V581,IF($AL581="","",$AL581),IF($AK581="","",$AK581)))),IF(AND(ABS($AC581-significance_bar)&lt;=2.0*IF($V581,IF($AL581="","",$AL581),IF($AK581="","",$AK581)),OR($Y581="worse",$Y581="better",$Y581="worse, not significant",$Y581="better, not significant")),IF(ROUND($AC581,3)=ROUND(significance_bar,3),TEXT($AC581,"0.0000"),TEXT($AC581,"0.000")),""),"")</f>
        <v/>
      </c>
      <c r="AN581">
        <f>IF(AND(ISNUMBER($AC581),ISNUMBER(IF($V581,IF($AL581="","",$AL581),IF($AK581="","",$AK581)))),IF(AND(ABS($AC581-significance_bar)&lt;=2.0*IF($V581,IF($AL581="","",$AL581),IF($AK581="","",$AK581)),OR($Y581="worse",$Y581="worse, not significant")),IF(ROUND($AC581,3)=ROUND(significance_bar,3),TEXT($AC581,"0.0000"),TEXT($AC581,"0.000")),""),"")</f>
        <v/>
      </c>
      <c r="AO581">
        <f>IF(OR($AI581="",$AN581=""),$AI581,$AI581&amp;" · borderline (p "&amp;$AN581&amp;")")</f>
        <v/>
      </c>
    </row>
    <row r="582">
      <c r="A582" t="inlineStr">
        <is>
          <t>three-way</t>
        </is>
      </c>
      <c r="B582" t="inlineStr">
        <is>
          <t>FICO x CHANNEL / SYS_FLAG</t>
        </is>
      </c>
      <c r="C582" t="inlineStr">
        <is>
          <t>(marked missing)</t>
        </is>
      </c>
      <c r="D582" t="inlineStr">
        <is>
          <t>Branch / SYS_FLAG Y</t>
        </is>
      </c>
      <c r="E582" t="inlineStr">
        <is>
          <t>ranr_rate</t>
        </is>
      </c>
      <c r="F582" t="inlineStr">
        <is>
          <t>Profit after losses: RANR per booked dollar</t>
        </is>
      </c>
      <c r="G582" t="n">
        <v>22</v>
      </c>
      <c r="H582" t="n">
        <v>747285.7</v>
      </c>
      <c r="I582" t="b">
        <v>0</v>
      </c>
      <c r="J582" t="b">
        <v>0</v>
      </c>
      <c r="K582" t="n">
        <v>0.007900985053517995</v>
      </c>
      <c r="L582" t="n">
        <v>0.9039781736112104</v>
      </c>
      <c r="M582" t="n">
        <v>-0.02248199048639421</v>
      </c>
      <c r="N582" t="n">
        <v>0.85342770070819</v>
      </c>
      <c r="O582" t="n">
        <v>-5904.293146407726</v>
      </c>
      <c r="P582" t="n">
        <v>16800.46999801844</v>
      </c>
      <c r="Q582">
        <f>'_live'!$C$23</f>
        <v/>
      </c>
      <c r="R582" t="inlineStr">
        <is>
          <t>shuffled: 8,551 of 10,000</t>
        </is>
      </c>
      <c r="S582" t="inlineStr">
        <is>
          <t>shuffled: 5,452 of 10,000</t>
        </is>
      </c>
      <c r="T582" t="n">
        <v>0.1279671708606123</v>
      </c>
      <c r="U582" t="n">
        <v>0.1583501464005245</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0.1358681559141303</v>
      </c>
      <c r="AI582">
        <f>IF($Y582="worse","Yes",IF($Y582="worse, not significant","Not sure",IF(OR($Y582="too few losses to test",$Y582="too few loans to test"),"Too few losses",IF($Y582="","","No"))))</f>
        <v/>
      </c>
      <c r="AJ582">
        <f>IF($AA582="yes","Yes",IF($AA582="","","No"))</f>
        <v/>
      </c>
      <c r="AK582" t="n">
        <v>0.003720988187036841</v>
      </c>
      <c r="AL582" t="n">
        <v>0.007793978695334451</v>
      </c>
      <c r="AM582">
        <f>IF(AND(ISNUMBER($AC582),ISNUMBER(IF($V582,IF($AL582="","",$AL582),IF($AK582="","",$AK582)))),IF(AND(ABS($AC582-significance_bar)&lt;=2.0*IF($V582,IF($AL582="","",$AL582),IF($AK582="","",$AK582)),OR($Y582="worse",$Y582="better",$Y582="worse, not significant",$Y582="better, not significant",AND(profit_kind="test",$Y582="in line",ISNUMBER($AB582),$AB582&lt;&gt;0))),IF(ROUND($AC582,3)=ROUND(significance_bar,3),TEXT($AC582,"0.0000"),TEXT($AC582,"0.000")),""),"")</f>
        <v/>
      </c>
      <c r="AN582">
        <f>IF(AND(ISNUMBER($AC582),ISNUMBER(IF($V582,IF($AL582="","",$AL582),IF($AK582="","",$AK582)))),IF(AND(ABS($AC582-significance_bar)&lt;=2.0*IF($V582,IF($AL582="","",$AL582),IF($AK582="","",$AK582)),OR($Y582="worse",$Y582="worse, not significant",AND(profit_kind="test",$Y582="in line",ISNUMBER($AB582),$AB582&lt;0))),IF(ROUND($AC582,3)=ROUND(significance_bar,3),TEXT($AC582,"0.0000"),TEXT($AC582,"0.000")),""),"")</f>
        <v/>
      </c>
      <c r="AO582">
        <f>IF(OR($AI582="",$AN582=""),$AI582,$AI582&amp;" · borderline (p "&amp;$AN582&amp;")")</f>
        <v/>
      </c>
    </row>
    <row r="583">
      <c r="A583" t="inlineStr">
        <is>
          <t>three-way</t>
        </is>
      </c>
      <c r="B583" t="inlineStr">
        <is>
          <t>FICO x CHANNEL / SYS_FLAG</t>
        </is>
      </c>
      <c r="C583" t="inlineStr">
        <is>
          <t>(marked missing)</t>
        </is>
      </c>
      <c r="D583" t="inlineStr">
        <is>
          <t>Branch / SYS_FLAG Y</t>
        </is>
      </c>
      <c r="E583" t="inlineStr">
        <is>
          <t>contribution_rate</t>
        </is>
      </c>
      <c r="F583" t="inlineStr">
        <is>
          <t>Contribution before losses per booked dollar</t>
        </is>
      </c>
      <c r="G583" t="n">
        <v>22</v>
      </c>
      <c r="H583" t="n">
        <v>747285.7</v>
      </c>
      <c r="I583" t="b">
        <v>0</v>
      </c>
      <c r="J583" t="b">
        <v>0</v>
      </c>
      <c r="K583" t="n">
        <v>-0.01533587152865104</v>
      </c>
      <c r="L583" t="n">
        <v>0.660859628322882</v>
      </c>
      <c r="M583" t="n">
        <v>-0.03072742862916181</v>
      </c>
      <c r="N583" t="n">
        <v>0.5160983901609839</v>
      </c>
      <c r="O583" t="n">
        <v>11460.27749039806</v>
      </c>
      <c r="P583" t="n">
        <v>22962.1680123432</v>
      </c>
      <c r="Q583">
        <f>'_live'!$C$24</f>
        <v/>
      </c>
      <c r="R583" t="inlineStr">
        <is>
          <t>shuffled: 5,935 of 10,000</t>
        </is>
      </c>
      <c r="S583" t="inlineStr">
        <is>
          <t>shuffled: 3,310 of 10,000</t>
        </is>
      </c>
      <c r="T583" t="n">
        <v>0.1696368704638642</v>
      </c>
      <c r="U583" t="n">
        <v>0.1850284275643749</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0.1543009989352131</v>
      </c>
      <c r="AI583">
        <f>IF($Y583="worse","Yes",IF($Y583="worse, not significant","Not sure",IF(OR($Y583="too few losses to test",$Y583="too few loans to test"),"Too few losses",IF($Y583="","","No"))))</f>
        <v/>
      </c>
      <c r="AJ583">
        <f>IF($AA583="yes","Yes",IF($AA583="","","No"))</f>
        <v/>
      </c>
      <c r="AK583" t="n">
        <v>0.005117495357189496</v>
      </c>
      <c r="AL583" t="n">
        <v>0.007125938793693898</v>
      </c>
      <c r="AM583">
        <f>IF(AND(ISNUMBER($AC583),ISNUMBER(IF($V583,IF($AL583="","",$AL583),IF($AK583="","",$AK583)))),IF(AND(ABS($AC583-significance_bar)&lt;=2.0*IF($V583,IF($AL583="","",$AL583),IF($AK583="","",$AK583)),OR($Y583="worse",$Y583="better",$Y583="worse, not significant",$Y583="better, not significant",AND(profit_kind="test",$Y583="in line",ISNUMBER($AB583),$AB583&lt;&gt;0))),IF(ROUND($AC583,3)=ROUND(significance_bar,3),TEXT($AC583,"0.0000"),TEXT($AC583,"0.000")),""),"")</f>
        <v/>
      </c>
      <c r="AN583">
        <f>IF(AND(ISNUMBER($AC583),ISNUMBER(IF($V583,IF($AL583="","",$AL583),IF($AK583="","",$AK583)))),IF(AND(ABS($AC583-significance_bar)&lt;=2.0*IF($V583,IF($AL583="","",$AL583),IF($AK583="","",$AK583)),OR($Y583="worse",$Y583="worse, not significant",AND(profit_kind="test",$Y583="in line",ISNUMBER($AB583),$AB583&lt;0))),IF(ROUND($AC583,3)=ROUND(significance_bar,3),TEXT($AC583,"0.0000"),TEXT($AC583,"0.000")),""),"")</f>
        <v/>
      </c>
      <c r="AO583">
        <f>IF(OR($AI583="",$AN583=""),$AI583,$AI583&amp;" · borderline (p "&amp;$AN583&amp;")")</f>
        <v/>
      </c>
    </row>
    <row r="584">
      <c r="A584" t="inlineStr">
        <is>
          <t>three-way</t>
        </is>
      </c>
      <c r="B584" t="inlineStr">
        <is>
          <t>FICO x CHANNEL / SYS_FLAG</t>
        </is>
      </c>
      <c r="C584" t="inlineStr">
        <is>
          <t>(marked missing)</t>
        </is>
      </c>
      <c r="D584" t="inlineStr">
        <is>
          <t>Broker / SYS_FLAG N</t>
        </is>
      </c>
      <c r="E584" t="inlineStr">
        <is>
          <t>outcome_loans</t>
        </is>
      </c>
      <c r="F584" t="inlineStr">
        <is>
          <t>Outcome, share of loans</t>
        </is>
      </c>
      <c r="G584" t="n">
        <v>29</v>
      </c>
      <c r="H584" t="n">
        <v>29</v>
      </c>
      <c r="I584" t="b">
        <v>1</v>
      </c>
      <c r="J584" t="b">
        <v>0</v>
      </c>
      <c r="K584" t="n">
        <v>0.8908511708489353</v>
      </c>
      <c r="M584" t="n">
        <v>1.129310344827586</v>
      </c>
      <c r="O584" t="n">
        <v>-0.2450439146800503</v>
      </c>
      <c r="P584" t="n">
        <v>0.2290076335877864</v>
      </c>
      <c r="Q584">
        <f>'_live'!$C$20</f>
        <v/>
      </c>
      <c r="T584" t="n">
        <v>0.07741530740276036</v>
      </c>
      <c r="U584" t="n">
        <v>0.06106870229007633</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0.06896551724137931</v>
      </c>
      <c r="AI584">
        <f>IF($Y584="worse","Yes",IF($Y584="worse, not significant","Not sure",IF(OR($Y584="too few losses to test",$Y584="too few loans to test"),"Too few losses",IF($Y584="","","No"))))</f>
        <v/>
      </c>
      <c r="AJ584">
        <f>IF($AA584="yes","Yes",IF($AA584="","","No"))</f>
        <v/>
      </c>
      <c r="AM584">
        <f>IF(AND(ISNUMBER($AC584),ISNUMBER(IF($V584,IF($AL584="","",$AL584),IF($AK584="","",$AK584)))),IF(AND(ABS($AC584-significance_bar)&lt;=2.0*IF($V584,IF($AL584="","",$AL584),IF($AK584="","",$AK584)),OR($Y584="worse",$Y584="better",$Y584="worse, not significant",$Y584="better, not significant")),IF(ROUND($AC584,3)=ROUND(significance_bar,3),TEXT($AC584,"0.0000"),TEXT($AC584,"0.000")),""),"")</f>
        <v/>
      </c>
      <c r="AN584">
        <f>IF(AND(ISNUMBER($AC584),ISNUMBER(IF($V584,IF($AL584="","",$AL584),IF($AK584="","",$AK584)))),IF(AND(ABS($AC584-significance_bar)&lt;=2.0*IF($V584,IF($AL584="","",$AL584),IF($AK584="","",$AK584)),OR($Y584="worse",$Y584="worse, not significant")),IF(ROUND($AC584,3)=ROUND(significance_bar,3),TEXT($AC584,"0.0000"),TEXT($AC584,"0.000")),""),"")</f>
        <v/>
      </c>
      <c r="AO584">
        <f>IF(OR($AI584="",$AN584=""),$AI584,$AI584&amp;" · borderline (p "&amp;$AN584&amp;")")</f>
        <v/>
      </c>
    </row>
    <row r="585">
      <c r="A585" t="inlineStr">
        <is>
          <t>three-way</t>
        </is>
      </c>
      <c r="B585" t="inlineStr">
        <is>
          <t>FICO x CHANNEL / SYS_FLAG</t>
        </is>
      </c>
      <c r="C585" t="inlineStr">
        <is>
          <t>(marked missing)</t>
        </is>
      </c>
      <c r="D585" t="inlineStr">
        <is>
          <t>Broker / SYS_FLAG N</t>
        </is>
      </c>
      <c r="E585" t="inlineStr">
        <is>
          <t>outcome_booked</t>
        </is>
      </c>
      <c r="F585" t="inlineStr">
        <is>
          <t>Outcome, share of booked dollars</t>
        </is>
      </c>
      <c r="G585" t="n">
        <v>29</v>
      </c>
      <c r="H585" t="n">
        <v>853273.7799999998</v>
      </c>
      <c r="I585" t="b">
        <v>1</v>
      </c>
      <c r="J585" t="b">
        <v>0</v>
      </c>
      <c r="K585" t="n">
        <v>0.7274779641826773</v>
      </c>
      <c r="M585" t="n">
        <v>1.160956349584394</v>
      </c>
      <c r="O585" t="n">
        <v>-17416.0941172123</v>
      </c>
      <c r="P585" t="n">
        <v>6445.568139379531</v>
      </c>
      <c r="Q585">
        <f>'_live'!$C$21</f>
        <v/>
      </c>
      <c r="T585" t="n">
        <v>0.07489636458442718</v>
      </c>
      <c r="U585" t="n">
        <v>0.04693152748771968</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0.05448545483256266</v>
      </c>
      <c r="AI585">
        <f>IF($Y585="worse","Yes",IF($Y585="worse, not significant","Not sure",IF(OR($Y585="too few losses to test",$Y585="too few loans to test"),"Too few losses",IF($Y585="","","No"))))</f>
        <v/>
      </c>
      <c r="AJ585">
        <f>IF($AA585="yes","Yes",IF($AA585="","","No"))</f>
        <v/>
      </c>
      <c r="AM585">
        <f>IF(AND(ISNUMBER($AC585),ISNUMBER(IF($V585,IF($AL585="","",$AL585),IF($AK585="","",$AK585)))),IF(AND(ABS($AC585-significance_bar)&lt;=2.0*IF($V585,IF($AL585="","",$AL585),IF($AK585="","",$AK585)),OR($Y585="worse",$Y585="better",$Y585="worse, not significant",$Y585="better, not significant")),IF(ROUND($AC585,3)=ROUND(significance_bar,3),TEXT($AC585,"0.0000"),TEXT($AC585,"0.000")),""),"")</f>
        <v/>
      </c>
      <c r="AN585">
        <f>IF(AND(ISNUMBER($AC585),ISNUMBER(IF($V585,IF($AL585="","",$AL585),IF($AK585="","",$AK585)))),IF(AND(ABS($AC585-significance_bar)&lt;=2.0*IF($V585,IF($AL585="","",$AL585),IF($AK585="","",$AK585)),OR($Y585="worse",$Y585="worse, not significant")),IF(ROUND($AC585,3)=ROUND(significance_bar,3),TEXT($AC585,"0.0000"),TEXT($AC585,"0.000")),""),"")</f>
        <v/>
      </c>
      <c r="AO585">
        <f>IF(OR($AI585="",$AN585=""),$AI585,$AI585&amp;" · borderline (p "&amp;$AN585&amp;")")</f>
        <v/>
      </c>
    </row>
    <row r="586">
      <c r="A586" t="inlineStr">
        <is>
          <t>three-way</t>
        </is>
      </c>
      <c r="B586" t="inlineStr">
        <is>
          <t>FICO x CHANNEL / SYS_FLAG</t>
        </is>
      </c>
      <c r="C586" t="inlineStr">
        <is>
          <t>(marked missing)</t>
        </is>
      </c>
      <c r="D586" t="inlineStr">
        <is>
          <t>Broker / SYS_FLAG N</t>
        </is>
      </c>
      <c r="E586" t="inlineStr">
        <is>
          <t>gco_rate</t>
        </is>
      </c>
      <c r="F586" t="inlineStr">
        <is>
          <t>GCO per booked dollar</t>
        </is>
      </c>
      <c r="G586" t="n">
        <v>29</v>
      </c>
      <c r="H586" t="n">
        <v>853273.7799999998</v>
      </c>
      <c r="I586" t="b">
        <v>1</v>
      </c>
      <c r="J586" t="b">
        <v>0</v>
      </c>
      <c r="K586" t="n">
        <v>0.669903222730614</v>
      </c>
      <c r="M586" t="n">
        <v>1.113694811767579</v>
      </c>
      <c r="O586" t="n">
        <v>-11731.46673658802</v>
      </c>
      <c r="P586" t="n">
        <v>2430.510752954411</v>
      </c>
      <c r="Q586">
        <f>'_live'!$C$22</f>
        <v/>
      </c>
      <c r="T586" t="n">
        <v>0.04165073106616265</v>
      </c>
      <c r="U586" t="n">
        <v>0.02505350539078512</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0.02790195897030846</v>
      </c>
      <c r="AI586">
        <f>IF($Y586="worse","Yes",IF($Y586="worse, not significant","Not sure",IF(OR($Y586="too few losses to test",$Y586="too few loans to test"),"Too few losses",IF($Y586="","","No"))))</f>
        <v/>
      </c>
      <c r="AJ586">
        <f>IF($AA586="yes","Yes",IF($AA586="","","No"))</f>
        <v/>
      </c>
      <c r="AM586">
        <f>IF(AND(ISNUMBER($AC586),ISNUMBER(IF($V586,IF($AL586="","",$AL586),IF($AK586="","",$AK586)))),IF(AND(ABS($AC586-significance_bar)&lt;=2.0*IF($V586,IF($AL586="","",$AL586),IF($AK586="","",$AK586)),OR($Y586="worse",$Y586="better",$Y586="worse, not significant",$Y586="better, not significant")),IF(ROUND($AC586,3)=ROUND(significance_bar,3),TEXT($AC586,"0.0000"),TEXT($AC586,"0.000")),""),"")</f>
        <v/>
      </c>
      <c r="AN586">
        <f>IF(AND(ISNUMBER($AC586),ISNUMBER(IF($V586,IF($AL586="","",$AL586),IF($AK586="","",$AK586)))),IF(AND(ABS($AC586-significance_bar)&lt;=2.0*IF($V586,IF($AL586="","",$AL586),IF($AK586="","",$AK586)),OR($Y586="worse",$Y586="worse, not significant")),IF(ROUND($AC586,3)=ROUND(significance_bar,3),TEXT($AC586,"0.0000"),TEXT($AC586,"0.000")),""),"")</f>
        <v/>
      </c>
      <c r="AO586">
        <f>IF(OR($AI586="",$AN586=""),$AI586,$AI586&amp;" · borderline (p "&amp;$AN586&amp;")")</f>
        <v/>
      </c>
    </row>
    <row r="587">
      <c r="A587" t="inlineStr">
        <is>
          <t>three-way</t>
        </is>
      </c>
      <c r="B587" t="inlineStr">
        <is>
          <t>FICO x CHANNEL / SYS_FLAG</t>
        </is>
      </c>
      <c r="C587" t="inlineStr">
        <is>
          <t>(marked missing)</t>
        </is>
      </c>
      <c r="D587" t="inlineStr">
        <is>
          <t>Broker / SYS_FLAG N</t>
        </is>
      </c>
      <c r="E587" t="inlineStr">
        <is>
          <t>ranr_rate</t>
        </is>
      </c>
      <c r="F587" t="inlineStr">
        <is>
          <t>Profit after losses: RANR per booked dollar</t>
        </is>
      </c>
      <c r="G587" t="n">
        <v>29</v>
      </c>
      <c r="H587" t="n">
        <v>853273.7799999998</v>
      </c>
      <c r="I587" t="b">
        <v>0</v>
      </c>
      <c r="J587" t="b">
        <v>0</v>
      </c>
      <c r="K587" t="n">
        <v>0.02601746224307819</v>
      </c>
      <c r="L587" t="n">
        <v>0.5967503249675032</v>
      </c>
      <c r="M587" t="n">
        <v>-0.001492535833953895</v>
      </c>
      <c r="N587" t="n">
        <v>0.9953004699530046</v>
      </c>
      <c r="O587" t="n">
        <v>-22200.0183541586</v>
      </c>
      <c r="P587" t="n">
        <v>1273.541692823288</v>
      </c>
      <c r="Q587">
        <f>'_live'!$C$23</f>
        <v/>
      </c>
      <c r="R587" t="inlineStr">
        <is>
          <t>shuffled: 4,838 of 10,000</t>
        </is>
      </c>
      <c r="S587" t="inlineStr">
        <is>
          <t>shuffled: 9,636 of 10,000</t>
        </is>
      </c>
      <c r="T587" t="n">
        <v>0.1279040258870271</v>
      </c>
      <c r="U587" t="n">
        <v>0.1554140239640592</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0.1539214881301053</v>
      </c>
      <c r="AI587">
        <f>IF($Y587="worse","Yes",IF($Y587="worse, not significant","Not sure",IF(OR($Y587="too few losses to test",$Y587="too few loans to test"),"Too few losses",IF($Y587="","","No"))))</f>
        <v/>
      </c>
      <c r="AJ587">
        <f>IF($AA587="yes","Yes",IF($AA587="","","No"))</f>
        <v/>
      </c>
      <c r="AK587" t="n">
        <v>0.006163449659980196</v>
      </c>
      <c r="AL587" t="n">
        <v>0.0006839184501336905</v>
      </c>
      <c r="AM587">
        <f>IF(AND(ISNUMBER($AC587),ISNUMBER(IF($V587,IF($AL587="","",$AL587),IF($AK587="","",$AK587)))),IF(AND(ABS($AC587-significance_bar)&lt;=2.0*IF($V587,IF($AL587="","",$AL587),IF($AK587="","",$AK587)),OR($Y587="worse",$Y587="better",$Y587="worse, not significant",$Y587="better, not significant",AND(profit_kind="test",$Y587="in line",ISNUMBER($AB587),$AB587&lt;&gt;0))),IF(ROUND($AC587,3)=ROUND(significance_bar,3),TEXT($AC587,"0.0000"),TEXT($AC587,"0.000")),""),"")</f>
        <v/>
      </c>
      <c r="AN587">
        <f>IF(AND(ISNUMBER($AC587),ISNUMBER(IF($V587,IF($AL587="","",$AL587),IF($AK587="","",$AK587)))),IF(AND(ABS($AC587-significance_bar)&lt;=2.0*IF($V587,IF($AL587="","",$AL587),IF($AK587="","",$AK587)),OR($Y587="worse",$Y587="worse, not significant",AND(profit_kind="test",$Y587="in line",ISNUMBER($AB587),$AB587&lt;0))),IF(ROUND($AC587,3)=ROUND(significance_bar,3),TEXT($AC587,"0.0000"),TEXT($AC587,"0.000")),""),"")</f>
        <v/>
      </c>
      <c r="AO587">
        <f>IF(OR($AI587="",$AN587=""),$AI587,$AI587&amp;" · borderline (p "&amp;$AN587&amp;")")</f>
        <v/>
      </c>
    </row>
    <row r="588">
      <c r="A588" t="inlineStr">
        <is>
          <t>three-way</t>
        </is>
      </c>
      <c r="B588" t="inlineStr">
        <is>
          <t>FICO x CHANNEL / SYS_FLAG</t>
        </is>
      </c>
      <c r="C588" t="inlineStr">
        <is>
          <t>(marked missing)</t>
        </is>
      </c>
      <c r="D588" t="inlineStr">
        <is>
          <t>Broker / SYS_FLAG N</t>
        </is>
      </c>
      <c r="E588" t="inlineStr">
        <is>
          <t>contribution_rate</t>
        </is>
      </c>
      <c r="F588" t="inlineStr">
        <is>
          <t>Contribution before losses per booked dollar</t>
        </is>
      </c>
      <c r="G588" t="n">
        <v>29</v>
      </c>
      <c r="H588" t="n">
        <v>853273.7799999998</v>
      </c>
      <c r="I588" t="b">
        <v>0</v>
      </c>
      <c r="J588" t="b">
        <v>0</v>
      </c>
      <c r="K588" t="n">
        <v>0.01227157215454242</v>
      </c>
      <c r="L588" t="n">
        <v>0.660859628322882</v>
      </c>
      <c r="M588" t="n">
        <v>0.001355917745569479</v>
      </c>
      <c r="N588" t="n">
        <v>0.9626037396260373</v>
      </c>
      <c r="O588" t="n">
        <v>-10471.01075884915</v>
      </c>
      <c r="P588" t="n">
        <v>-1156.969060131145</v>
      </c>
      <c r="Q588">
        <f>'_live'!$C$24</f>
        <v/>
      </c>
      <c r="R588" t="inlineStr">
        <is>
          <t>shuffled: 6,251 of 10,000</t>
        </is>
      </c>
      <c r="S588" t="inlineStr">
        <is>
          <t>shuffled: 9,596 of 10,000</t>
        </is>
      </c>
      <c r="T588" t="n">
        <v>0.1695518749458713</v>
      </c>
      <c r="U588" t="n">
        <v>0.1804675293548443</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0.1818234471004137</v>
      </c>
      <c r="AI588">
        <f>IF($Y588="worse","Yes",IF($Y588="worse, not significant","Not sure",IF(OR($Y588="too few losses to test",$Y588="too few loans to test"),"Too few losses",IF($Y588="","","No"))))</f>
        <v/>
      </c>
      <c r="AJ588">
        <f>IF($AA588="yes","Yes",IF($AA588="","","No"))</f>
        <v/>
      </c>
      <c r="AK588" t="n">
        <v>0.005117495357189496</v>
      </c>
      <c r="AL588" t="n">
        <v>0.001897308095276184</v>
      </c>
      <c r="AM588">
        <f>IF(AND(ISNUMBER($AC588),ISNUMBER(IF($V588,IF($AL588="","",$AL588),IF($AK588="","",$AK588)))),IF(AND(ABS($AC588-significance_bar)&lt;=2.0*IF($V588,IF($AL588="","",$AL588),IF($AK588="","",$AK588)),OR($Y588="worse",$Y588="better",$Y588="worse, not significant",$Y588="better, not significant",AND(profit_kind="test",$Y588="in line",ISNUMBER($AB588),$AB588&lt;&gt;0))),IF(ROUND($AC588,3)=ROUND(significance_bar,3),TEXT($AC588,"0.0000"),TEXT($AC588,"0.000")),""),"")</f>
        <v/>
      </c>
      <c r="AN588">
        <f>IF(AND(ISNUMBER($AC588),ISNUMBER(IF($V588,IF($AL588="","",$AL588),IF($AK588="","",$AK588)))),IF(AND(ABS($AC588-significance_bar)&lt;=2.0*IF($V588,IF($AL588="","",$AL588),IF($AK588="","",$AK588)),OR($Y588="worse",$Y588="worse, not significant",AND(profit_kind="test",$Y588="in line",ISNUMBER($AB588),$AB588&lt;0))),IF(ROUND($AC588,3)=ROUND(significance_bar,3),TEXT($AC588,"0.0000"),TEXT($AC588,"0.000")),""),"")</f>
        <v/>
      </c>
      <c r="AO588">
        <f>IF(OR($AI588="",$AN588=""),$AI588,$AI588&amp;" · borderline (p "&amp;$AN588&amp;")")</f>
        <v/>
      </c>
    </row>
    <row r="589">
      <c r="A589" t="inlineStr">
        <is>
          <t>three-way</t>
        </is>
      </c>
      <c r="B589" t="inlineStr">
        <is>
          <t>FICO x CHANNEL / SYS_FLAG</t>
        </is>
      </c>
      <c r="C589" t="inlineStr">
        <is>
          <t>(marked missing)</t>
        </is>
      </c>
      <c r="D589" t="inlineStr">
        <is>
          <t>Broker / SYS_FLAG Y</t>
        </is>
      </c>
      <c r="E589" t="inlineStr">
        <is>
          <t>outcome_loans</t>
        </is>
      </c>
      <c r="F589" t="inlineStr">
        <is>
          <t>Outcome, share of loans</t>
        </is>
      </c>
      <c r="G589" t="n">
        <v>25</v>
      </c>
      <c r="H589" t="n">
        <v>25</v>
      </c>
      <c r="I589" t="b">
        <v>1</v>
      </c>
      <c r="J589" t="b">
        <v>0</v>
      </c>
      <c r="K589" t="n">
        <v>2.597394136807818</v>
      </c>
      <c r="M589" t="n">
        <v>5.4</v>
      </c>
      <c r="O589" t="n">
        <v>3.074993729621269</v>
      </c>
      <c r="P589" t="n">
        <v>4.074074074074074</v>
      </c>
      <c r="Q589">
        <f>'_live'!$C$20</f>
        <v/>
      </c>
      <c r="T589" t="n">
        <v>0.07700025081514923</v>
      </c>
      <c r="U589" t="n">
        <v>0.03703703703703703</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0.2</v>
      </c>
      <c r="AI589">
        <f>IF($Y589="worse","Yes",IF($Y589="worse, not significant","Not sure",IF(OR($Y589="too few losses to test",$Y589="too few loans to test"),"Too few losses",IF($Y589="","","No"))))</f>
        <v/>
      </c>
      <c r="AJ589">
        <f>IF($AA589="yes","Yes",IF($AA589="","","No"))</f>
        <v/>
      </c>
      <c r="AM589">
        <f>IF(AND(ISNUMBER($AC589),ISNUMBER(IF($V589,IF($AL589="","",$AL589),IF($AK589="","",$AK589)))),IF(AND(ABS($AC589-significance_bar)&lt;=2.0*IF($V589,IF($AL589="","",$AL589),IF($AK589="","",$AK589)),OR($Y589="worse",$Y589="better",$Y589="worse, not significant",$Y589="better, not significant")),IF(ROUND($AC589,3)=ROUND(significance_bar,3),TEXT($AC589,"0.0000"),TEXT($AC589,"0.000")),""),"")</f>
        <v/>
      </c>
      <c r="AN589">
        <f>IF(AND(ISNUMBER($AC589),ISNUMBER(IF($V589,IF($AL589="","",$AL589),IF($AK589="","",$AK589)))),IF(AND(ABS($AC589-significance_bar)&lt;=2.0*IF($V589,IF($AL589="","",$AL589),IF($AK589="","",$AK589)),OR($Y589="worse",$Y589="worse, not significant")),IF(ROUND($AC589,3)=ROUND(significance_bar,3),TEXT($AC589,"0.0000"),TEXT($AC589,"0.000")),""),"")</f>
        <v/>
      </c>
      <c r="AO589">
        <f>IF(OR($AI589="",$AN589=""),$AI589,$AI589&amp;" · borderline (p "&amp;$AN589&amp;")")</f>
        <v/>
      </c>
    </row>
    <row r="590">
      <c r="A590" t="inlineStr">
        <is>
          <t>three-way</t>
        </is>
      </c>
      <c r="B590" t="inlineStr">
        <is>
          <t>FICO x CHANNEL / SYS_FLAG</t>
        </is>
      </c>
      <c r="C590" t="inlineStr">
        <is>
          <t>(marked missing)</t>
        </is>
      </c>
      <c r="D590" t="inlineStr">
        <is>
          <t>Broker / SYS_FLAG Y</t>
        </is>
      </c>
      <c r="E590" t="inlineStr">
        <is>
          <t>outcome_booked</t>
        </is>
      </c>
      <c r="F590" t="inlineStr">
        <is>
          <t>Outcome, share of booked dollars</t>
        </is>
      </c>
      <c r="G590" t="n">
        <v>25</v>
      </c>
      <c r="H590" t="n">
        <v>815236.2300000002</v>
      </c>
      <c r="I590" t="b">
        <v>1</v>
      </c>
      <c r="J590" t="b">
        <v>0</v>
      </c>
      <c r="K590" t="n">
        <v>2.067216637169967</v>
      </c>
      <c r="M590" t="n">
        <v>5.34784491859251</v>
      </c>
      <c r="O590" t="n">
        <v>64884.85542862962</v>
      </c>
      <c r="P590" t="n">
        <v>102181.4323512539</v>
      </c>
      <c r="Q590">
        <f>'_live'!$C$21</f>
        <v/>
      </c>
      <c r="T590" t="n">
        <v>0.07457740754648547</v>
      </c>
      <c r="U590" t="n">
        <v>0.02882799706870987</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0.1541676576370998</v>
      </c>
      <c r="AI590">
        <f>IF($Y590="worse","Yes",IF($Y590="worse, not significant","Not sure",IF(OR($Y590="too few losses to test",$Y590="too few loans to test"),"Too few losses",IF($Y590="","","No"))))</f>
        <v/>
      </c>
      <c r="AJ590">
        <f>IF($AA590="yes","Yes",IF($AA590="","","No"))</f>
        <v/>
      </c>
      <c r="AM590">
        <f>IF(AND(ISNUMBER($AC590),ISNUMBER(IF($V590,IF($AL590="","",$AL590),IF($AK590="","",$AK590)))),IF(AND(ABS($AC590-significance_bar)&lt;=2.0*IF($V590,IF($AL590="","",$AL590),IF($AK590="","",$AK590)),OR($Y590="worse",$Y590="better",$Y590="worse, not significant",$Y590="better, not significant")),IF(ROUND($AC590,3)=ROUND(significance_bar,3),TEXT($AC590,"0.0000"),TEXT($AC590,"0.000")),""),"")</f>
        <v/>
      </c>
      <c r="AN590">
        <f>IF(AND(ISNUMBER($AC590),ISNUMBER(IF($V590,IF($AL590="","",$AL590),IF($AK590="","",$AK590)))),IF(AND(ABS($AC590-significance_bar)&lt;=2.0*IF($V590,IF($AL590="","",$AL590),IF($AK590="","",$AK590)),OR($Y590="worse",$Y590="worse, not significant")),IF(ROUND($AC590,3)=ROUND(significance_bar,3),TEXT($AC590,"0.0000"),TEXT($AC590,"0.000")),""),"")</f>
        <v/>
      </c>
      <c r="AO590">
        <f>IF(OR($AI590="",$AN590=""),$AI590,$AI590&amp;" · borderline (p "&amp;$AN590&amp;")")</f>
        <v/>
      </c>
    </row>
    <row r="591">
      <c r="A591" t="inlineStr">
        <is>
          <t>three-way</t>
        </is>
      </c>
      <c r="B591" t="inlineStr">
        <is>
          <t>FICO x CHANNEL / SYS_FLAG</t>
        </is>
      </c>
      <c r="C591" t="inlineStr">
        <is>
          <t>(marked missing)</t>
        </is>
      </c>
      <c r="D591" t="inlineStr">
        <is>
          <t>Broker / SYS_FLAG Y</t>
        </is>
      </c>
      <c r="E591" t="inlineStr">
        <is>
          <t>gco_rate</t>
        </is>
      </c>
      <c r="F591" t="inlineStr">
        <is>
          <t>GCO per booked dollar</t>
        </is>
      </c>
      <c r="G591" t="n">
        <v>25</v>
      </c>
      <c r="H591" t="n">
        <v>815236.2300000002</v>
      </c>
      <c r="I591" t="b">
        <v>1</v>
      </c>
      <c r="J591" t="b">
        <v>0</v>
      </c>
      <c r="K591" t="n">
        <v>1.866138514651001</v>
      </c>
      <c r="M591" t="n">
        <v>4.823945996914026</v>
      </c>
      <c r="O591" t="n">
        <v>29297.61551708152</v>
      </c>
      <c r="P591" t="n">
        <v>50037.78926804713</v>
      </c>
      <c r="Q591">
        <f>'_live'!$C$22</f>
        <v/>
      </c>
      <c r="T591" t="n">
        <v>0.04149172134182318</v>
      </c>
      <c r="U591" t="n">
        <v>0.01605102944449963</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0.07742929923514315</v>
      </c>
      <c r="AI591">
        <f>IF($Y591="worse","Yes",IF($Y591="worse, not significant","Not sure",IF(OR($Y591="too few losses to test",$Y591="too few loans to test"),"Too few losses",IF($Y591="","","No"))))</f>
        <v/>
      </c>
      <c r="AJ591">
        <f>IF($AA591="yes","Yes",IF($AA591="","","No"))</f>
        <v/>
      </c>
      <c r="AM591">
        <f>IF(AND(ISNUMBER($AC591),ISNUMBER(IF($V591,IF($AL591="","",$AL591),IF($AK591="","",$AK591)))),IF(AND(ABS($AC591-significance_bar)&lt;=2.0*IF($V591,IF($AL591="","",$AL591),IF($AK591="","",$AK591)),OR($Y591="worse",$Y591="better",$Y591="worse, not significant",$Y591="better, not significant")),IF(ROUND($AC591,3)=ROUND(significance_bar,3),TEXT($AC591,"0.0000"),TEXT($AC591,"0.000")),""),"")</f>
        <v/>
      </c>
      <c r="AN591">
        <f>IF(AND(ISNUMBER($AC591),ISNUMBER(IF($V591,IF($AL591="","",$AL591),IF($AK591="","",$AK591)))),IF(AND(ABS($AC591-significance_bar)&lt;=2.0*IF($V591,IF($AL591="","",$AL591),IF($AK591="","",$AK591)),OR($Y591="worse",$Y591="worse, not significant")),IF(ROUND($AC591,3)=ROUND(significance_bar,3),TEXT($AC591,"0.0000"),TEXT($AC591,"0.000")),""),"")</f>
        <v/>
      </c>
      <c r="AO591">
        <f>IF(OR($AI591="",$AN591=""),$AI591,$AI591&amp;" · borderline (p "&amp;$AN591&amp;")")</f>
        <v/>
      </c>
    </row>
    <row r="592">
      <c r="A592" t="inlineStr">
        <is>
          <t>three-way</t>
        </is>
      </c>
      <c r="B592" t="inlineStr">
        <is>
          <t>FICO x CHANNEL / SYS_FLAG</t>
        </is>
      </c>
      <c r="C592" t="inlineStr">
        <is>
          <t>(marked missing)</t>
        </is>
      </c>
      <c r="D592" t="inlineStr">
        <is>
          <t>Broker / SYS_FLAG Y</t>
        </is>
      </c>
      <c r="E592" t="inlineStr">
        <is>
          <t>ranr_rate</t>
        </is>
      </c>
      <c r="F592" t="inlineStr">
        <is>
          <t>Profit after losses: RANR per booked dollar</t>
        </is>
      </c>
      <c r="G592" t="n">
        <v>25</v>
      </c>
      <c r="H592" t="n">
        <v>815236.2300000002</v>
      </c>
      <c r="I592" t="b">
        <v>0</v>
      </c>
      <c r="J592" t="b">
        <v>0</v>
      </c>
      <c r="K592" t="n">
        <v>-0.03195262057231928</v>
      </c>
      <c r="L592" t="n">
        <v>0.5548123759052667</v>
      </c>
      <c r="M592" t="n">
        <v>-0.06979433605747155</v>
      </c>
      <c r="N592" t="n">
        <v>0.185981401859814</v>
      </c>
      <c r="O592" t="n">
        <v>26048.93393399802</v>
      </c>
      <c r="P592" t="n">
        <v>56898.87140284618</v>
      </c>
      <c r="Q592">
        <f>'_live'!$C$23</f>
        <v/>
      </c>
      <c r="R592" t="inlineStr">
        <is>
          <t>shuffled: 4,198 of 10,000</t>
        </is>
      </c>
      <c r="S592" t="inlineStr">
        <is>
          <t>shuffled: 590 of 10,000</t>
        </is>
      </c>
      <c r="T592" t="n">
        <v>0.1280909877300203</v>
      </c>
      <c r="U592" t="n">
        <v>0.1659327032151725</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0.09613836715770098</v>
      </c>
      <c r="AI592">
        <f>IF($Y592="worse","Yes",IF($Y592="worse, not significant","Not sure",IF(OR($Y592="too few losses to test",$Y592="too few loans to test"),"Too few losses",IF($Y592="","","No"))))</f>
        <v/>
      </c>
      <c r="AJ592">
        <f>IF($AA592="yes","Yes",IF($AA592="","","No"))</f>
        <v/>
      </c>
      <c r="AK592" t="n">
        <v>0.006521718737002856</v>
      </c>
      <c r="AL592" t="n">
        <v>0.007234328743855233</v>
      </c>
      <c r="AM592">
        <f>IF(AND(ISNUMBER($AC592),ISNUMBER(IF($V592,IF($AL592="","",$AL592),IF($AK592="","",$AK592)))),IF(AND(ABS($AC592-significance_bar)&lt;=2.0*IF($V592,IF($AL592="","",$AL592),IF($AK592="","",$AK592)),OR($Y592="worse",$Y592="better",$Y592="worse, not significant",$Y592="better, not significant",AND(profit_kind="test",$Y592="in line",ISNUMBER($AB592),$AB592&lt;&gt;0))),IF(ROUND($AC592,3)=ROUND(significance_bar,3),TEXT($AC592,"0.0000"),TEXT($AC592,"0.000")),""),"")</f>
        <v/>
      </c>
      <c r="AN592">
        <f>IF(AND(ISNUMBER($AC592),ISNUMBER(IF($V592,IF($AL592="","",$AL592),IF($AK592="","",$AK592)))),IF(AND(ABS($AC592-significance_bar)&lt;=2.0*IF($V592,IF($AL592="","",$AL592),IF($AK592="","",$AK592)),OR($Y592="worse",$Y592="worse, not significant",AND(profit_kind="test",$Y592="in line",ISNUMBER($AB592),$AB592&lt;0))),IF(ROUND($AC592,3)=ROUND(significance_bar,3),TEXT($AC592,"0.0000"),TEXT($AC592,"0.000")),""),"")</f>
        <v/>
      </c>
      <c r="AO592">
        <f>IF(OR($AI592="",$AN592=""),$AI592,$AI592&amp;" · borderline (p "&amp;$AN592&amp;")")</f>
        <v/>
      </c>
    </row>
    <row r="593">
      <c r="A593" t="inlineStr">
        <is>
          <t>three-way</t>
        </is>
      </c>
      <c r="B593" t="inlineStr">
        <is>
          <t>FICO x CHANNEL / SYS_FLAG</t>
        </is>
      </c>
      <c r="C593" t="inlineStr">
        <is>
          <t>(marked missing)</t>
        </is>
      </c>
      <c r="D593" t="inlineStr">
        <is>
          <t>Broker / SYS_FLAG Y</t>
        </is>
      </c>
      <c r="E593" t="inlineStr">
        <is>
          <t>contribution_rate</t>
        </is>
      </c>
      <c r="F593" t="inlineStr">
        <is>
          <t>Contribution before losses per booked dollar</t>
        </is>
      </c>
      <c r="G593" t="n">
        <v>25</v>
      </c>
      <c r="H593" t="n">
        <v>815236.2300000002</v>
      </c>
      <c r="I593" t="b">
        <v>0</v>
      </c>
      <c r="J593" t="b">
        <v>0</v>
      </c>
      <c r="K593" t="n">
        <v>0.003987810056535451</v>
      </c>
      <c r="L593" t="n">
        <v>0.8813118688131187</v>
      </c>
      <c r="M593" t="n">
        <v>-0.008416066266827976</v>
      </c>
      <c r="N593" t="n">
        <v>0.9072254064916089</v>
      </c>
      <c r="O593" t="n">
        <v>-3251.00723644605</v>
      </c>
      <c r="P593" t="n">
        <v>6861.082134799013</v>
      </c>
      <c r="Q593">
        <f>'_live'!$C$24</f>
        <v/>
      </c>
      <c r="R593" t="inlineStr">
        <is>
          <t>shuffled: 8,813 of 10,000</t>
        </is>
      </c>
      <c r="S593" t="inlineStr">
        <is>
          <t>shuffled: 7,812 of 10,000</t>
        </is>
      </c>
      <c r="T593" t="n">
        <v>0.1695798563363087</v>
      </c>
      <c r="U593" t="n">
        <v>0.1819837326596721</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0.1735676663928442</v>
      </c>
      <c r="AI593">
        <f>IF($Y593="worse","Yes",IF($Y593="worse, not significant","Not sure",IF(OR($Y593="too few losses to test",$Y593="too few loans to test"),"Too few losses",IF($Y593="","","No"))))</f>
        <v/>
      </c>
      <c r="AJ593">
        <f>IF($AA593="yes","Yes",IF($AA593="","","No"))</f>
        <v/>
      </c>
      <c r="AK593" t="n">
        <v>0.003234211784998733</v>
      </c>
      <c r="AL593" t="n">
        <v>0.004800980595400616</v>
      </c>
      <c r="AM593">
        <f>IF(AND(ISNUMBER($AC593),ISNUMBER(IF($V593,IF($AL593="","",$AL593),IF($AK593="","",$AK593)))),IF(AND(ABS($AC593-significance_bar)&lt;=2.0*IF($V593,IF($AL593="","",$AL593),IF($AK593="","",$AK593)),OR($Y593="worse",$Y593="better",$Y593="worse, not significant",$Y593="better, not significant",AND(profit_kind="test",$Y593="in line",ISNUMBER($AB593),$AB593&lt;&gt;0))),IF(ROUND($AC593,3)=ROUND(significance_bar,3),TEXT($AC593,"0.0000"),TEXT($AC593,"0.000")),""),"")</f>
        <v/>
      </c>
      <c r="AN593">
        <f>IF(AND(ISNUMBER($AC593),ISNUMBER(IF($V593,IF($AL593="","",$AL593),IF($AK593="","",$AK593)))),IF(AND(ABS($AC593-significance_bar)&lt;=2.0*IF($V593,IF($AL593="","",$AL593),IF($AK593="","",$AK593)),OR($Y593="worse",$Y593="worse, not significant",AND(profit_kind="test",$Y593="in line",ISNUMBER($AB593),$AB593&lt;0))),IF(ROUND($AC593,3)=ROUND(significance_bar,3),TEXT($AC593,"0.0000"),TEXT($AC593,"0.000")),""),"")</f>
        <v/>
      </c>
      <c r="AO593">
        <f>IF(OR($AI593="",$AN593=""),$AI593,$AI593&amp;" · borderline (p "&amp;$AN593&amp;")")</f>
        <v/>
      </c>
    </row>
    <row r="594">
      <c r="A594" t="inlineStr">
        <is>
          <t>three-way</t>
        </is>
      </c>
      <c r="B594" t="inlineStr">
        <is>
          <t>FICO x ASSET_CLASS / SYS_FLAG</t>
        </is>
      </c>
      <c r="C594" t="inlineStr">
        <is>
          <t>(marked missing)</t>
        </is>
      </c>
      <c r="D594" t="inlineStr">
        <is>
          <t>1 / SYS_FLAG N</t>
        </is>
      </c>
      <c r="E594" t="inlineStr">
        <is>
          <t>outcome_loans</t>
        </is>
      </c>
      <c r="F594" t="inlineStr">
        <is>
          <t>Outcome, share of loans</t>
        </is>
      </c>
      <c r="G594" t="n">
        <v>27</v>
      </c>
      <c r="H594" t="n">
        <v>27</v>
      </c>
      <c r="I594" t="b">
        <v>1</v>
      </c>
      <c r="J594" t="b">
        <v>0</v>
      </c>
      <c r="K594" t="n">
        <v>0</v>
      </c>
      <c r="M594" t="n">
        <v>0</v>
      </c>
      <c r="O594" t="n">
        <v>-2.096462619167085</v>
      </c>
      <c r="P594" t="n">
        <v>-2.030075187969925</v>
      </c>
      <c r="Q594">
        <f>'_live'!$C$20</f>
        <v/>
      </c>
      <c r="T594" t="n">
        <v>0.07764676367285499</v>
      </c>
      <c r="U594" t="n">
        <v>0.07518796992481203</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v>
      </c>
      <c r="AI594">
        <f>IF($Y594="worse","Yes",IF($Y594="worse, not significant","Not sure",IF(OR($Y594="too few losses to test",$Y594="too few loans to test"),"Too few losses",IF($Y594="","","No"))))</f>
        <v/>
      </c>
      <c r="AJ594">
        <f>IF($AA594="yes","Yes",IF($AA594="","","No"))</f>
        <v/>
      </c>
      <c r="AM594">
        <f>IF(AND(ISNUMBER($AC594),ISNUMBER(IF($V594,IF($AL594="","",$AL594),IF($AK594="","",$AK594)))),IF(AND(ABS($AC594-significance_bar)&lt;=2.0*IF($V594,IF($AL594="","",$AL594),IF($AK594="","",$AK594)),OR($Y594="worse",$Y594="better",$Y594="worse, not significant",$Y594="better, not significant")),IF(ROUND($AC594,3)=ROUND(significance_bar,3),TEXT($AC594,"0.0000"),TEXT($AC594,"0.000")),""),"")</f>
        <v/>
      </c>
      <c r="AN594">
        <f>IF(AND(ISNUMBER($AC594),ISNUMBER(IF($V594,IF($AL594="","",$AL594),IF($AK594="","",$AK594)))),IF(AND(ABS($AC594-significance_bar)&lt;=2.0*IF($V594,IF($AL594="","",$AL594),IF($AK594="","",$AK594)),OR($Y594="worse",$Y594="worse, not significant")),IF(ROUND($AC594,3)=ROUND(significance_bar,3),TEXT($AC594,"0.0000"),TEXT($AC594,"0.000")),""),"")</f>
        <v/>
      </c>
      <c r="AO594">
        <f>IF(OR($AI594="",$AN594=""),$AI594,$AI594&amp;" · borderline (p "&amp;$AN594&amp;")")</f>
        <v/>
      </c>
    </row>
    <row r="595">
      <c r="A595" t="inlineStr">
        <is>
          <t>three-way</t>
        </is>
      </c>
      <c r="B595" t="inlineStr">
        <is>
          <t>FICO x ASSET_CLASS / SYS_FLAG</t>
        </is>
      </c>
      <c r="C595" t="inlineStr">
        <is>
          <t>(marked missing)</t>
        </is>
      </c>
      <c r="D595" t="inlineStr">
        <is>
          <t>1 / SYS_FLAG N</t>
        </is>
      </c>
      <c r="E595" t="inlineStr">
        <is>
          <t>outcome_booked</t>
        </is>
      </c>
      <c r="F595" t="inlineStr">
        <is>
          <t>Outcome, share of booked dollars</t>
        </is>
      </c>
      <c r="G595" t="n">
        <v>27</v>
      </c>
      <c r="H595" t="n">
        <v>990549.4400000001</v>
      </c>
      <c r="I595" t="b">
        <v>1</v>
      </c>
      <c r="J595" t="b">
        <v>0</v>
      </c>
      <c r="K595" t="n">
        <v>0</v>
      </c>
      <c r="M595" t="n">
        <v>0</v>
      </c>
      <c r="O595" t="n">
        <v>-74407.33400608599</v>
      </c>
      <c r="P595" t="n">
        <v>-58688.33698679482</v>
      </c>
      <c r="Q595">
        <f>'_live'!$C$21</f>
        <v/>
      </c>
      <c r="T595" t="n">
        <v>0.07511723393239815</v>
      </c>
      <c r="U595" t="n">
        <v>0.05924826628219064</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v>
      </c>
      <c r="AI595">
        <f>IF($Y595="worse","Yes",IF($Y595="worse, not significant","Not sure",IF(OR($Y595="too few losses to test",$Y595="too few loans to test"),"Too few losses",IF($Y595="","","No"))))</f>
        <v/>
      </c>
      <c r="AJ595">
        <f>IF($AA595="yes","Yes",IF($AA595="","","No"))</f>
        <v/>
      </c>
      <c r="AM595">
        <f>IF(AND(ISNUMBER($AC595),ISNUMBER(IF($V595,IF($AL595="","",$AL595),IF($AK595="","",$AK595)))),IF(AND(ABS($AC595-significance_bar)&lt;=2.0*IF($V595,IF($AL595="","",$AL595),IF($AK595="","",$AK595)),OR($Y595="worse",$Y595="better",$Y595="worse, not significant",$Y595="better, not significant")),IF(ROUND($AC595,3)=ROUND(significance_bar,3),TEXT($AC595,"0.0000"),TEXT($AC595,"0.000")),""),"")</f>
        <v/>
      </c>
      <c r="AN595">
        <f>IF(AND(ISNUMBER($AC595),ISNUMBER(IF($V595,IF($AL595="","",$AL595),IF($AK595="","",$AK595)))),IF(AND(ABS($AC595-significance_bar)&lt;=2.0*IF($V595,IF($AL595="","",$AL595),IF($AK595="","",$AK595)),OR($Y595="worse",$Y595="worse, not significant")),IF(ROUND($AC595,3)=ROUND(significance_bar,3),TEXT($AC595,"0.0000"),TEXT($AC595,"0.000")),""),"")</f>
        <v/>
      </c>
      <c r="AO595">
        <f>IF(OR($AI595="",$AN595=""),$AI595,$AI595&amp;" · borderline (p "&amp;$AN595&amp;")")</f>
        <v/>
      </c>
    </row>
    <row r="596">
      <c r="A596" t="inlineStr">
        <is>
          <t>three-way</t>
        </is>
      </c>
      <c r="B596" t="inlineStr">
        <is>
          <t>FICO x ASSET_CLASS / SYS_FLAG</t>
        </is>
      </c>
      <c r="C596" t="inlineStr">
        <is>
          <t>(marked missing)</t>
        </is>
      </c>
      <c r="D596" t="inlineStr">
        <is>
          <t>1 / SYS_FLAG N</t>
        </is>
      </c>
      <c r="E596" t="inlineStr">
        <is>
          <t>gco_rate</t>
        </is>
      </c>
      <c r="F596" t="inlineStr">
        <is>
          <t>GCO per booked dollar</t>
        </is>
      </c>
      <c r="G596" t="n">
        <v>27</v>
      </c>
      <c r="H596" t="n">
        <v>990549.4400000001</v>
      </c>
      <c r="I596" t="b">
        <v>1</v>
      </c>
      <c r="J596" t="b">
        <v>0</v>
      </c>
      <c r="K596" t="n">
        <v>0</v>
      </c>
      <c r="M596" t="n">
        <v>0</v>
      </c>
      <c r="O596" t="n">
        <v>-41370.89144543737</v>
      </c>
      <c r="P596" t="n">
        <v>-31096.78937110839</v>
      </c>
      <c r="Q596">
        <f>'_live'!$C$22</f>
        <v/>
      </c>
      <c r="T596" t="n">
        <v>0.041765599751828</v>
      </c>
      <c r="U596" t="n">
        <v>0.03139347529297314</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v>
      </c>
      <c r="AI596">
        <f>IF($Y596="worse","Yes",IF($Y596="worse, not significant","Not sure",IF(OR($Y596="too few losses to test",$Y596="too few loans to test"),"Too few losses",IF($Y596="","","No"))))</f>
        <v/>
      </c>
      <c r="AJ596">
        <f>IF($AA596="yes","Yes",IF($AA596="","","No"))</f>
        <v/>
      </c>
      <c r="AM596">
        <f>IF(AND(ISNUMBER($AC596),ISNUMBER(IF($V596,IF($AL596="","",$AL596),IF($AK596="","",$AK596)))),IF(AND(ABS($AC596-significance_bar)&lt;=2.0*IF($V596,IF($AL596="","",$AL596),IF($AK596="","",$AK596)),OR($Y596="worse",$Y596="better",$Y596="worse, not significant",$Y596="better, not significant")),IF(ROUND($AC596,3)=ROUND(significance_bar,3),TEXT($AC596,"0.0000"),TEXT($AC596,"0.000")),""),"")</f>
        <v/>
      </c>
      <c r="AN596">
        <f>IF(AND(ISNUMBER($AC596),ISNUMBER(IF($V596,IF($AL596="","",$AL596),IF($AK596="","",$AK596)))),IF(AND(ABS($AC596-significance_bar)&lt;=2.0*IF($V596,IF($AL596="","",$AL596),IF($AK596="","",$AK596)),OR($Y596="worse",$Y596="worse, not significant")),IF(ROUND($AC596,3)=ROUND(significance_bar,3),TEXT($AC596,"0.0000"),TEXT($AC596,"0.000")),""),"")</f>
        <v/>
      </c>
      <c r="AO596">
        <f>IF(OR($AI596="",$AN596=""),$AI596,$AI596&amp;" · borderline (p "&amp;$AN596&amp;")")</f>
        <v/>
      </c>
    </row>
    <row r="597">
      <c r="A597" t="inlineStr">
        <is>
          <t>three-way</t>
        </is>
      </c>
      <c r="B597" t="inlineStr">
        <is>
          <t>FICO x ASSET_CLASS / SYS_FLAG</t>
        </is>
      </c>
      <c r="C597" t="inlineStr">
        <is>
          <t>(marked missing)</t>
        </is>
      </c>
      <c r="D597" t="inlineStr">
        <is>
          <t>1 / SYS_FLAG N</t>
        </is>
      </c>
      <c r="E597" t="inlineStr">
        <is>
          <t>ranr_rate</t>
        </is>
      </c>
      <c r="F597" t="inlineStr">
        <is>
          <t>Profit after losses: RANR per booked dollar</t>
        </is>
      </c>
      <c r="G597" t="n">
        <v>27</v>
      </c>
      <c r="H597" t="n">
        <v>990549.4400000001</v>
      </c>
      <c r="I597" t="b">
        <v>0</v>
      </c>
      <c r="J597" t="b">
        <v>0</v>
      </c>
      <c r="K597" t="n">
        <v>0.05587271712112379</v>
      </c>
      <c r="L597" t="n">
        <v>0.2358297503582975</v>
      </c>
      <c r="M597" t="n">
        <v>0.03503816713759697</v>
      </c>
      <c r="N597" t="n">
        <v>0.6243375662433757</v>
      </c>
      <c r="O597" t="n">
        <v>-55344.68865560758</v>
      </c>
      <c r="P597" t="n">
        <v>-34707.03683677307</v>
      </c>
      <c r="Q597">
        <f>'_live'!$C$23</f>
        <v/>
      </c>
      <c r="R597" t="inlineStr">
        <is>
          <t>shuffled: 1,443 of 10,000</t>
        </is>
      </c>
      <c r="S597" t="inlineStr">
        <is>
          <t>shuffled: 3,121 of 10,000</t>
        </is>
      </c>
      <c r="T597" t="n">
        <v>0.1277755922454435</v>
      </c>
      <c r="U597" t="n">
        <v>0.1486101422289703</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0.1836483093665673</v>
      </c>
      <c r="AI597">
        <f>IF($Y597="worse","Yes",IF($Y597="worse, not significant","Not sure",IF(OR($Y597="too few losses to test",$Y597="too few loans to test"),"Too few losses",IF($Y597="","","No"))))</f>
        <v/>
      </c>
      <c r="AJ597">
        <f>IF($AA597="yes","Yes",IF($AA597="","","No"))</f>
        <v/>
      </c>
      <c r="AK597" t="n">
        <v>0.005740844198354707</v>
      </c>
      <c r="AL597" t="n">
        <v>0.00926756567747998</v>
      </c>
      <c r="AM597">
        <f>IF(AND(ISNUMBER($AC597),ISNUMBER(IF($V597,IF($AL597="","",$AL597),IF($AK597="","",$AK597)))),IF(AND(ABS($AC597-significance_bar)&lt;=2.0*IF($V597,IF($AL597="","",$AL597),IF($AK597="","",$AK597)),OR($Y597="worse",$Y597="better",$Y597="worse, not significant",$Y597="better, not significant",AND(profit_kind="test",$Y597="in line",ISNUMBER($AB597),$AB597&lt;&gt;0))),IF(ROUND($AC597,3)=ROUND(significance_bar,3),TEXT($AC597,"0.0000"),TEXT($AC597,"0.000")),""),"")</f>
        <v/>
      </c>
      <c r="AN597">
        <f>IF(AND(ISNUMBER($AC597),ISNUMBER(IF($V597,IF($AL597="","",$AL597),IF($AK597="","",$AK597)))),IF(AND(ABS($AC597-significance_bar)&lt;=2.0*IF($V597,IF($AL597="","",$AL597),IF($AK597="","",$AK597)),OR($Y597="worse",$Y597="worse, not significant",AND(profit_kind="test",$Y597="in line",ISNUMBER($AB597),$AB597&lt;0))),IF(ROUND($AC597,3)=ROUND(significance_bar,3),TEXT($AC597,"0.0000"),TEXT($AC597,"0.000")),""),"")</f>
        <v/>
      </c>
      <c r="AO597">
        <f>IF(OR($AI597="",$AN597=""),$AI597,$AI597&amp;" · borderline (p "&amp;$AN597&amp;")")</f>
        <v/>
      </c>
    </row>
    <row r="598">
      <c r="A598" t="inlineStr">
        <is>
          <t>three-way</t>
        </is>
      </c>
      <c r="B598" t="inlineStr">
        <is>
          <t>FICO x ASSET_CLASS / SYS_FLAG</t>
        </is>
      </c>
      <c r="C598" t="inlineStr">
        <is>
          <t>(marked missing)</t>
        </is>
      </c>
      <c r="D598" t="inlineStr">
        <is>
          <t>1 / SYS_FLAG N</t>
        </is>
      </c>
      <c r="E598" t="inlineStr">
        <is>
          <t>contribution_rate</t>
        </is>
      </c>
      <c r="F598" t="inlineStr">
        <is>
          <t>Contribution before losses per booked dollar</t>
        </is>
      </c>
      <c r="G598" t="n">
        <v>27</v>
      </c>
      <c r="H598" t="n">
        <v>990549.4400000001</v>
      </c>
      <c r="I598" t="b">
        <v>0</v>
      </c>
      <c r="J598" t="b">
        <v>0</v>
      </c>
      <c r="K598" t="n">
        <v>0.0141100207448196</v>
      </c>
      <c r="L598" t="n">
        <v>0.7245299860257877</v>
      </c>
      <c r="M598" t="n">
        <v>0.003644691844623849</v>
      </c>
      <c r="N598" t="n">
        <v>0.9799190293736585</v>
      </c>
      <c r="O598" t="n">
        <v>-13976.67314716944</v>
      </c>
      <c r="P598" t="n">
        <v>-3610.247465664725</v>
      </c>
      <c r="Q598">
        <f>'_live'!$C$24</f>
        <v/>
      </c>
      <c r="R598" t="inlineStr">
        <is>
          <t>shuffled: 5,848 of 10,000</t>
        </is>
      </c>
      <c r="S598" t="inlineStr">
        <is>
          <t>shuffled: 9,022 of 10,000</t>
        </is>
      </c>
      <c r="T598" t="n">
        <v>0.1695382886217477</v>
      </c>
      <c r="U598" t="n">
        <v>0.1800036175219434</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0.1836483093665673</v>
      </c>
      <c r="AI598">
        <f>IF($Y598="worse","Yes",IF($Y598="worse, not significant","Not sure",IF(OR($Y598="too few losses to test",$Y598="too few loans to test"),"Too few losses",IF($Y598="","","No"))))</f>
        <v/>
      </c>
      <c r="AJ598">
        <f>IF($AA598="yes","Yes",IF($AA598="","","No"))</f>
        <v/>
      </c>
      <c r="AK598" t="n">
        <v>0.005839160812699521</v>
      </c>
      <c r="AL598" t="n">
        <v>0.002013133534953629</v>
      </c>
      <c r="AM598">
        <f>IF(AND(ISNUMBER($AC598),ISNUMBER(IF($V598,IF($AL598="","",$AL598),IF($AK598="","",$AK598)))),IF(AND(ABS($AC598-significance_bar)&lt;=2.0*IF($V598,IF($AL598="","",$AL598),IF($AK598="","",$AK598)),OR($Y598="worse",$Y598="better",$Y598="worse, not significant",$Y598="better, not significant",AND(profit_kind="test",$Y598="in line",ISNUMBER($AB598),$AB598&lt;&gt;0))),IF(ROUND($AC598,3)=ROUND(significance_bar,3),TEXT($AC598,"0.0000"),TEXT($AC598,"0.000")),""),"")</f>
        <v/>
      </c>
      <c r="AN598">
        <f>IF(AND(ISNUMBER($AC598),ISNUMBER(IF($V598,IF($AL598="","",$AL598),IF($AK598="","",$AK598)))),IF(AND(ABS($AC598-significance_bar)&lt;=2.0*IF($V598,IF($AL598="","",$AL598),IF($AK598="","",$AK598)),OR($Y598="worse",$Y598="worse, not significant",AND(profit_kind="test",$Y598="in line",ISNUMBER($AB598),$AB598&lt;0))),IF(ROUND($AC598,3)=ROUND(significance_bar,3),TEXT($AC598,"0.0000"),TEXT($AC598,"0.000")),""),"")</f>
        <v/>
      </c>
      <c r="AO598">
        <f>IF(OR($AI598="",$AN598=""),$AI598,$AI598&amp;" · borderline (p "&amp;$AN598&amp;")")</f>
        <v/>
      </c>
    </row>
    <row r="599">
      <c r="A599" t="inlineStr">
        <is>
          <t>three-way</t>
        </is>
      </c>
      <c r="B599" t="inlineStr">
        <is>
          <t>FICO x ASSET_CLASS / SYS_FLAG</t>
        </is>
      </c>
      <c r="C599" t="inlineStr">
        <is>
          <t>(blank)</t>
        </is>
      </c>
      <c r="D599" t="inlineStr">
        <is>
          <t>2 / SYS_FLAG Y</t>
        </is>
      </c>
      <c r="E599" t="inlineStr">
        <is>
          <t>outcome_loans</t>
        </is>
      </c>
      <c r="F599" t="inlineStr">
        <is>
          <t>Outcome, share of loans</t>
        </is>
      </c>
      <c r="G599" t="n">
        <v>1</v>
      </c>
      <c r="H599" t="n">
        <v>1</v>
      </c>
      <c r="I599" t="b">
        <v>1</v>
      </c>
      <c r="J599" t="b">
        <v>1</v>
      </c>
      <c r="K599" t="n">
        <v>0</v>
      </c>
      <c r="O599" t="n">
        <v>-0.07739434858714679</v>
      </c>
      <c r="Q599">
        <f>'_live'!$C$20</f>
        <v/>
      </c>
      <c r="T599" t="n">
        <v>0.07739434858714679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v>
      </c>
      <c r="AI599">
        <f>IF($Y599="worse","Yes",IF($Y599="worse, not significant","Not sure",IF(OR($Y599="too few losses to test",$Y599="too few loans to test"),"Too few losses",IF($Y599="","","No"))))</f>
        <v/>
      </c>
      <c r="AJ599">
        <f>IF($AA599="yes","Yes",IF($AA599="","","No"))</f>
        <v/>
      </c>
      <c r="AM599">
        <f>IF(AND(ISNUMBER($AC599),ISNUMBER(IF($V599,IF($AL599="","",$AL599),IF($AK599="","",$AK599)))),IF(AND(ABS($AC599-significance_bar)&lt;=2.0*IF($V599,IF($AL599="","",$AL599),IF($AK599="","",$AK599)),OR($Y599="worse",$Y599="better",$Y599="worse, not significant",$Y599="better, not significant")),IF(ROUND($AC599,3)=ROUND(significance_bar,3),TEXT($AC599,"0.0000"),TEXT($AC599,"0.000")),""),"")</f>
        <v/>
      </c>
      <c r="AN599">
        <f>IF(AND(ISNUMBER($AC599),ISNUMBER(IF($V599,IF($AL599="","",$AL599),IF($AK599="","",$AK599)))),IF(AND(ABS($AC599-significance_bar)&lt;=2.0*IF($V599,IF($AL599="","",$AL599),IF($AK599="","",$AK599)),OR($Y599="worse",$Y599="worse, not significant")),IF(ROUND($AC599,3)=ROUND(significance_bar,3),TEXT($AC599,"0.0000"),TEXT($AC599,"0.000")),""),"")</f>
        <v/>
      </c>
      <c r="AO599">
        <f>IF(OR($AI599="",$AN599=""),$AI599,$AI599&amp;" · borderline (p "&amp;$AN599&amp;")")</f>
        <v/>
      </c>
    </row>
    <row r="600">
      <c r="A600" t="inlineStr">
        <is>
          <t>three-way</t>
        </is>
      </c>
      <c r="B600" t="inlineStr">
        <is>
          <t>FICO x ASSET_CLASS / SYS_FLAG</t>
        </is>
      </c>
      <c r="C600" t="inlineStr">
        <is>
          <t>(blank)</t>
        </is>
      </c>
      <c r="D600" t="inlineStr">
        <is>
          <t>2 / SYS_FLAG Y</t>
        </is>
      </c>
      <c r="E600" t="inlineStr">
        <is>
          <t>outcome_booked</t>
        </is>
      </c>
      <c r="F600" t="inlineStr">
        <is>
          <t>Outcome, share of booked dollars</t>
        </is>
      </c>
      <c r="G600" t="n">
        <v>1</v>
      </c>
      <c r="H600" t="n">
        <v>27999.47</v>
      </c>
      <c r="I600" t="b">
        <v>1</v>
      </c>
      <c r="J600" t="b">
        <v>1</v>
      </c>
      <c r="K600" t="n">
        <v>0</v>
      </c>
      <c r="O600" t="n">
        <v>-2095.396036050188</v>
      </c>
      <c r="Q600">
        <f>'_live'!$C$21</f>
        <v/>
      </c>
      <c r="T600" t="n">
        <v>0.07483698927337509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v>
      </c>
      <c r="AI600">
        <f>IF($Y600="worse","Yes",IF($Y600="worse, not significant","Not sure",IF(OR($Y600="too few losses to test",$Y600="too few loans to test"),"Too few losses",IF($Y600="","","No"))))</f>
        <v/>
      </c>
      <c r="AJ600">
        <f>IF($AA600="yes","Yes",IF($AA600="","","No"))</f>
        <v/>
      </c>
      <c r="AM600">
        <f>IF(AND(ISNUMBER($AC600),ISNUMBER(IF($V600,IF($AL600="","",$AL600),IF($AK600="","",$AK600)))),IF(AND(ABS($AC600-significance_bar)&lt;=2.0*IF($V600,IF($AL600="","",$AL600),IF($AK600="","",$AK600)),OR($Y600="worse",$Y600="better",$Y600="worse, not significant",$Y600="better, not significant")),IF(ROUND($AC600,3)=ROUND(significance_bar,3),TEXT($AC600,"0.0000"),TEXT($AC600,"0.000")),""),"")</f>
        <v/>
      </c>
      <c r="AN600">
        <f>IF(AND(ISNUMBER($AC600),ISNUMBER(IF($V600,IF($AL600="","",$AL600),IF($AK600="","",$AK600)))),IF(AND(ABS($AC600-significance_bar)&lt;=2.0*IF($V600,IF($AL600="","",$AL600),IF($AK600="","",$AK600)),OR($Y600="worse",$Y600="worse, not significant")),IF(ROUND($AC600,3)=ROUND(significance_bar,3),TEXT($AC600,"0.0000"),TEXT($AC600,"0.000")),""),"")</f>
        <v/>
      </c>
      <c r="AO600">
        <f>IF(OR($AI600="",$AN600=""),$AI600,$AI600&amp;" · borderline (p "&amp;$AN600&amp;")")</f>
        <v/>
      </c>
    </row>
    <row r="601">
      <c r="A601" t="inlineStr">
        <is>
          <t>three-way</t>
        </is>
      </c>
      <c r="B601" t="inlineStr">
        <is>
          <t>FICO x ASSET_CLASS / SYS_FLAG</t>
        </is>
      </c>
      <c r="C601" t="inlineStr">
        <is>
          <t>(blank)</t>
        </is>
      </c>
      <c r="D601" t="inlineStr">
        <is>
          <t>2 / SYS_FLAG Y</t>
        </is>
      </c>
      <c r="E601" t="inlineStr">
        <is>
          <t>gco_rate</t>
        </is>
      </c>
      <c r="F601" t="inlineStr">
        <is>
          <t>GCO per booked dollar</t>
        </is>
      </c>
      <c r="G601" t="n">
        <v>1</v>
      </c>
      <c r="H601" t="n">
        <v>27999.47</v>
      </c>
      <c r="I601" t="b">
        <v>1</v>
      </c>
      <c r="J601" t="b">
        <v>1</v>
      </c>
      <c r="K601" t="n">
        <v>0</v>
      </c>
      <c r="O601" t="n">
        <v>-1165.051801786329</v>
      </c>
      <c r="Q601">
        <f>'_live'!$C$22</f>
        <v/>
      </c>
      <c r="T601" t="n">
        <v>0.04160978053464329</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v>
      </c>
      <c r="AI601">
        <f>IF($Y601="worse","Yes",IF($Y601="worse, not significant","Not sure",IF(OR($Y601="too few losses to test",$Y601="too few loans to test"),"Too few losses",IF($Y601="","","No"))))</f>
        <v/>
      </c>
      <c r="AJ601">
        <f>IF($AA601="yes","Yes",IF($AA601="","","No"))</f>
        <v/>
      </c>
      <c r="AM601">
        <f>IF(AND(ISNUMBER($AC601),ISNUMBER(IF($V601,IF($AL601="","",$AL601),IF($AK601="","",$AK601)))),IF(AND(ABS($AC601-significance_bar)&lt;=2.0*IF($V601,IF($AL601="","",$AL601),IF($AK601="","",$AK601)),OR($Y601="worse",$Y601="better",$Y601="worse, not significant",$Y601="better, not significant")),IF(ROUND($AC601,3)=ROUND(significance_bar,3),TEXT($AC601,"0.0000"),TEXT($AC601,"0.000")),""),"")</f>
        <v/>
      </c>
      <c r="AN601">
        <f>IF(AND(ISNUMBER($AC601),ISNUMBER(IF($V601,IF($AL601="","",$AL601),IF($AK601="","",$AK601)))),IF(AND(ABS($AC601-significance_bar)&lt;=2.0*IF($V601,IF($AL601="","",$AL601),IF($AK601="","",$AK601)),OR($Y601="worse",$Y601="worse, not significant")),IF(ROUND($AC601,3)=ROUND(significance_bar,3),TEXT($AC601,"0.0000"),TEXT($AC601,"0.000")),""),"")</f>
        <v/>
      </c>
      <c r="AO601">
        <f>IF(OR($AI601="",$AN601=""),$AI601,$AI601&amp;" · borderline (p "&amp;$AN601&amp;")")</f>
        <v/>
      </c>
    </row>
    <row r="602">
      <c r="A602" t="inlineStr">
        <is>
          <t>three-way</t>
        </is>
      </c>
      <c r="B602" t="inlineStr">
        <is>
          <t>FICO x ASSET_CLASS / SYS_FLAG</t>
        </is>
      </c>
      <c r="C602" t="inlineStr">
        <is>
          <t>(blank)</t>
        </is>
      </c>
      <c r="D602" t="inlineStr">
        <is>
          <t>2 / SYS_FLAG Y</t>
        </is>
      </c>
      <c r="E602" t="inlineStr">
        <is>
          <t>ranr_rate</t>
        </is>
      </c>
      <c r="F602" t="inlineStr">
        <is>
          <t>Profit after losses: RANR per booked dollar</t>
        </is>
      </c>
      <c r="G602" t="n">
        <v>1</v>
      </c>
      <c r="H602" t="n">
        <v>27999.47</v>
      </c>
      <c r="I602" t="b">
        <v>0</v>
      </c>
      <c r="J602" t="b">
        <v>1</v>
      </c>
      <c r="K602" t="n">
        <v>0.01230822708383753</v>
      </c>
      <c r="L602" t="n">
        <v>0.9443805619438056</v>
      </c>
      <c r="O602" t="n">
        <v>-344.6238349870969</v>
      </c>
      <c r="Q602">
        <f>'_live'!$C$23</f>
        <v/>
      </c>
      <c r="R602" t="inlineStr">
        <is>
          <t>shuffled: 9,251 of 10,000</t>
        </is>
      </c>
      <c r="S602" t="inlineStr">
        <is>
          <t>10,000 shuffles</t>
        </is>
      </c>
      <c r="T602" t="n">
        <v>0.1279887142511234</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0.140296941334961</v>
      </c>
      <c r="AI602">
        <f>IF($Y602="worse","Yes",IF($Y602="worse, not significant","Not sure",IF(OR($Y602="too few losses to test",$Y602="too few loans to test"),"Too few losses",IF($Y602="","","No"))))</f>
        <v/>
      </c>
      <c r="AJ602">
        <f>IF($AA602="yes","Yes",IF($AA602="","","No"))</f>
        <v/>
      </c>
      <c r="AK602" t="n">
        <v>0.002687015281069378</v>
      </c>
      <c r="AM602">
        <f>IF(AND(ISNUMBER($AC602),ISNUMBER(IF($V602,IF($AL602="","",$AL602),IF($AK602="","",$AK602)))),IF(AND(ABS($AC602-significance_bar)&lt;=2.0*IF($V602,IF($AL602="","",$AL602),IF($AK602="","",$AK602)),OR($Y602="worse",$Y602="better",$Y602="worse, not significant",$Y602="better, not significant",AND(profit_kind="test",$Y602="in line",ISNUMBER($AB602),$AB602&lt;&gt;0))),IF(ROUND($AC602,3)=ROUND(significance_bar,3),TEXT($AC602,"0.0000"),TEXT($AC602,"0.000")),""),"")</f>
        <v/>
      </c>
      <c r="AN602">
        <f>IF(AND(ISNUMBER($AC602),ISNUMBER(IF($V602,IF($AL602="","",$AL602),IF($AK602="","",$AK602)))),IF(AND(ABS($AC602-significance_bar)&lt;=2.0*IF($V602,IF($AL602="","",$AL602),IF($AK602="","",$AK602)),OR($Y602="worse",$Y602="worse, not significant",AND(profit_kind="test",$Y602="in line",ISNUMBER($AB602),$AB602&lt;0))),IF(ROUND($AC602,3)=ROUND(significance_bar,3),TEXT($AC602,"0.0000"),TEXT($AC602,"0.000")),""),"")</f>
        <v/>
      </c>
      <c r="AO602">
        <f>IF(OR($AI602="",$AN602=""),$AI602,$AI602&amp;" · borderline (p "&amp;$AN602&amp;")")</f>
        <v/>
      </c>
    </row>
    <row r="603">
      <c r="A603" t="inlineStr">
        <is>
          <t>three-way</t>
        </is>
      </c>
      <c r="B603" t="inlineStr">
        <is>
          <t>FICO x ASSET_CLASS / SYS_FLAG</t>
        </is>
      </c>
      <c r="C603" t="inlineStr">
        <is>
          <t>(blank)</t>
        </is>
      </c>
      <c r="D603" t="inlineStr">
        <is>
          <t>2 / SYS_FLAG Y</t>
        </is>
      </c>
      <c r="E603" t="inlineStr">
        <is>
          <t>contribution_rate</t>
        </is>
      </c>
      <c r="F603" t="inlineStr">
        <is>
          <t>Contribution before losses per booked dollar</t>
        </is>
      </c>
      <c r="G603" t="n">
        <v>1</v>
      </c>
      <c r="H603" t="n">
        <v>27999.47</v>
      </c>
      <c r="I603" t="b">
        <v>0</v>
      </c>
      <c r="J603" t="b">
        <v>1</v>
      </c>
      <c r="K603" t="n">
        <v>-0.02929869368860016</v>
      </c>
      <c r="L603" t="n">
        <v>0.9059833147120071</v>
      </c>
      <c r="O603" t="n">
        <v>820.3478949731489</v>
      </c>
      <c r="Q603">
        <f>'_live'!$C$24</f>
        <v/>
      </c>
      <c r="R603" t="inlineStr">
        <is>
          <t>shuffled: 8,505 of 10,000</t>
        </is>
      </c>
      <c r="S603" t="inlineStr">
        <is>
          <t>10,000 shuffles</t>
        </is>
      </c>
      <c r="T603" t="n">
        <v>0.1695956350235611</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0.140296941334961</v>
      </c>
      <c r="AI603">
        <f>IF($Y603="worse","Yes",IF($Y603="worse, not significant","Not sure",IF(OR($Y603="too few losses to test",$Y603="too few loans to test"),"Too few losses",IF($Y603="","","No"))))</f>
        <v/>
      </c>
      <c r="AJ603">
        <f>IF($AA603="yes","Yes",IF($AA603="","","No"))</f>
        <v/>
      </c>
      <c r="AK603" t="n">
        <v>0.003798202423860983</v>
      </c>
      <c r="AM603">
        <f>IF(AND(ISNUMBER($AC603),ISNUMBER(IF($V603,IF($AL603="","",$AL603),IF($AK603="","",$AK603)))),IF(AND(ABS($AC603-significance_bar)&lt;=2.0*IF($V603,IF($AL603="","",$AL603),IF($AK603="","",$AK603)),OR($Y603="worse",$Y603="better",$Y603="worse, not significant",$Y603="better, not significant",AND(profit_kind="test",$Y603="in line",ISNUMBER($AB603),$AB603&lt;&gt;0))),IF(ROUND($AC603,3)=ROUND(significance_bar,3),TEXT($AC603,"0.0000"),TEXT($AC603,"0.000")),""),"")</f>
        <v/>
      </c>
      <c r="AN603">
        <f>IF(AND(ISNUMBER($AC603),ISNUMBER(IF($V603,IF($AL603="","",$AL603),IF($AK603="","",$AK603)))),IF(AND(ABS($AC603-significance_bar)&lt;=2.0*IF($V603,IF($AL603="","",$AL603),IF($AK603="","",$AK603)),OR($Y603="worse",$Y603="worse, not significant",AND(profit_kind="test",$Y603="in line",ISNUMBER($AB603),$AB603&lt;0))),IF(ROUND($AC603,3)=ROUND(significance_bar,3),TEXT($AC603,"0.0000"),TEXT($AC603,"0.000")),""),"")</f>
        <v/>
      </c>
      <c r="AO603">
        <f>IF(OR($AI603="",$AN603=""),$AI603,$AI603&amp;" · borderline (p "&amp;$AN603&amp;")")</f>
        <v/>
      </c>
    </row>
    <row r="604">
      <c r="A604" t="inlineStr">
        <is>
          <t>three-way</t>
        </is>
      </c>
      <c r="B604" t="inlineStr">
        <is>
          <t>FICO x ASSET_CLASS / SYS_FLAG</t>
        </is>
      </c>
      <c r="C604" t="inlineStr">
        <is>
          <t>712 - 745</t>
        </is>
      </c>
      <c r="D604" t="inlineStr">
        <is>
          <t>1 / SYS_FLAG N</t>
        </is>
      </c>
      <c r="E604" t="inlineStr">
        <is>
          <t>outcome_loans</t>
        </is>
      </c>
      <c r="F604" t="inlineStr">
        <is>
          <t>Outcome, share of loans</t>
        </is>
      </c>
      <c r="G604" t="n">
        <v>194</v>
      </c>
      <c r="H604" t="n">
        <v>194</v>
      </c>
      <c r="I604" t="b">
        <v>1</v>
      </c>
      <c r="J604" t="b">
        <v>0</v>
      </c>
      <c r="K604" t="n">
        <v>0.3276218140300211</v>
      </c>
      <c r="M604" t="n">
        <v>0.4453733970329394</v>
      </c>
      <c r="O604" t="n">
        <v>-10.26149903907752</v>
      </c>
      <c r="P604" t="n">
        <v>-6.226534932956952</v>
      </c>
      <c r="Q604">
        <f>'_live'!$C$20</f>
        <v/>
      </c>
      <c r="T604" t="n">
        <v>0.07866752081998719</v>
      </c>
      <c r="U604" t="n">
        <v>0.05786873676781934</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0.02577319587628866</v>
      </c>
      <c r="AI604">
        <f>IF($Y604="worse","Yes",IF($Y604="worse, not significant","Not sure",IF(OR($Y604="too few losses to test",$Y604="too few loans to test"),"Too few losses",IF($Y604="","","No"))))</f>
        <v/>
      </c>
      <c r="AJ604">
        <f>IF($AA604="yes","Yes",IF($AA604="","","No"))</f>
        <v/>
      </c>
      <c r="AM604">
        <f>IF(AND(ISNUMBER($AC604),ISNUMBER(IF($V604,IF($AL604="","",$AL604),IF($AK604="","",$AK604)))),IF(AND(ABS($AC604-significance_bar)&lt;=2.0*IF($V604,IF($AL604="","",$AL604),IF($AK604="","",$AK604)),OR($Y604="worse",$Y604="better",$Y604="worse, not significant",$Y604="better, not significant")),IF(ROUND($AC604,3)=ROUND(significance_bar,3),TEXT($AC604,"0.0000"),TEXT($AC604,"0.000")),""),"")</f>
        <v/>
      </c>
      <c r="AN604">
        <f>IF(AND(ISNUMBER($AC604),ISNUMBER(IF($V604,IF($AL604="","",$AL604),IF($AK604="","",$AK604)))),IF(AND(ABS($AC604-significance_bar)&lt;=2.0*IF($V604,IF($AL604="","",$AL604),IF($AK604="","",$AK604)),OR($Y604="worse",$Y604="worse, not significant")),IF(ROUND($AC604,3)=ROUND(significance_bar,3),TEXT($AC604,"0.0000"),TEXT($AC604,"0.000")),""),"")</f>
        <v/>
      </c>
      <c r="AO604">
        <f>IF(OR($AI604="",$AN604=""),$AI604,$AI604&amp;" · borderline (p "&amp;$AN604&amp;")")</f>
        <v/>
      </c>
    </row>
    <row r="605">
      <c r="A605" t="inlineStr">
        <is>
          <t>three-way</t>
        </is>
      </c>
      <c r="B605" t="inlineStr">
        <is>
          <t>FICO x ASSET_CLASS / SYS_FLAG</t>
        </is>
      </c>
      <c r="C605" t="inlineStr">
        <is>
          <t>712 - 745</t>
        </is>
      </c>
      <c r="D605" t="inlineStr">
        <is>
          <t>1 / SYS_FLAG N</t>
        </is>
      </c>
      <c r="E605" t="inlineStr">
        <is>
          <t>outcome_booked</t>
        </is>
      </c>
      <c r="F605" t="inlineStr">
        <is>
          <t>Outcome, share of booked dollars</t>
        </is>
      </c>
      <c r="G605" t="n">
        <v>194</v>
      </c>
      <c r="H605" t="n">
        <v>6149269.000000003</v>
      </c>
      <c r="I605" t="b">
        <v>1</v>
      </c>
      <c r="J605" t="b">
        <v>0</v>
      </c>
      <c r="K605" t="n">
        <v>0.3702101406131737</v>
      </c>
      <c r="M605" t="n">
        <v>0.4838456502740326</v>
      </c>
      <c r="O605" t="n">
        <v>-294209.0254435448</v>
      </c>
      <c r="P605" t="n">
        <v>-184493.6355248571</v>
      </c>
      <c r="Q605">
        <f>'_live'!$C$21</f>
        <v/>
      </c>
      <c r="T605" t="n">
        <v>0.07596907460765574</v>
      </c>
      <c r="U605" t="n">
        <v>0.05812705307327699</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0.02812452179275291</v>
      </c>
      <c r="AI605">
        <f>IF($Y605="worse","Yes",IF($Y605="worse, not significant","Not sure",IF(OR($Y605="too few losses to test",$Y605="too few loans to test"),"Too few losses",IF($Y605="","","No"))))</f>
        <v/>
      </c>
      <c r="AJ605">
        <f>IF($AA605="yes","Yes",IF($AA605="","","No"))</f>
        <v/>
      </c>
      <c r="AM605">
        <f>IF(AND(ISNUMBER($AC605),ISNUMBER(IF($V605,IF($AL605="","",$AL605),IF($AK605="","",$AK605)))),IF(AND(ABS($AC605-significance_bar)&lt;=2.0*IF($V605,IF($AL605="","",$AL605),IF($AK605="","",$AK605)),OR($Y605="worse",$Y605="better",$Y605="worse, not significant",$Y605="better, not significant")),IF(ROUND($AC605,3)=ROUND(significance_bar,3),TEXT($AC605,"0.0000"),TEXT($AC605,"0.000")),""),"")</f>
        <v/>
      </c>
      <c r="AN605">
        <f>IF(AND(ISNUMBER($AC605),ISNUMBER(IF($V605,IF($AL605="","",$AL605),IF($AK605="","",$AK605)))),IF(AND(ABS($AC605-significance_bar)&lt;=2.0*IF($V605,IF($AL605="","",$AL605),IF($AK605="","",$AK605)),OR($Y605="worse",$Y605="worse, not significant")),IF(ROUND($AC605,3)=ROUND(significance_bar,3),TEXT($AC605,"0.0000"),TEXT($AC605,"0.000")),""),"")</f>
        <v/>
      </c>
      <c r="AO605">
        <f>IF(OR($AI605="",$AN605=""),$AI605,$AI605&amp;" · borderline (p "&amp;$AN605&amp;")")</f>
        <v/>
      </c>
    </row>
    <row r="606">
      <c r="A606" t="inlineStr">
        <is>
          <t>three-way</t>
        </is>
      </c>
      <c r="B606" t="inlineStr">
        <is>
          <t>FICO x ASSET_CLASS / SYS_FLAG</t>
        </is>
      </c>
      <c r="C606" t="inlineStr">
        <is>
          <t>712 - 745</t>
        </is>
      </c>
      <c r="D606" t="inlineStr">
        <is>
          <t>1 / SYS_FLAG N</t>
        </is>
      </c>
      <c r="E606" t="inlineStr">
        <is>
          <t>gco_rate</t>
        </is>
      </c>
      <c r="F606" t="inlineStr">
        <is>
          <t>GCO per booked dollar</t>
        </is>
      </c>
      <c r="G606" t="n">
        <v>193</v>
      </c>
      <c r="H606" t="n">
        <v>6109584.570000003</v>
      </c>
      <c r="I606" t="b">
        <v>1</v>
      </c>
      <c r="J606" t="b">
        <v>0</v>
      </c>
      <c r="K606" t="n">
        <v>0.4486521887106001</v>
      </c>
      <c r="M606" t="n">
        <v>0.5946367477153606</v>
      </c>
      <c r="O606" t="n">
        <v>-142001.3846441874</v>
      </c>
      <c r="P606" t="n">
        <v>-78771.54184518321</v>
      </c>
      <c r="Q606">
        <f>'_live'!$C$22</f>
        <v/>
      </c>
      <c r="T606" t="n">
        <v>0.04215559694661649</v>
      </c>
      <c r="U606" t="n">
        <v>0.03180631017031377</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0.01891320083650138</v>
      </c>
      <c r="AI606">
        <f>IF($Y606="worse","Yes",IF($Y606="worse, not significant","Not sure",IF(OR($Y606="too few losses to test",$Y606="too few loans to test"),"Too few losses",IF($Y606="","","No"))))</f>
        <v/>
      </c>
      <c r="AJ606">
        <f>IF($AA606="yes","Yes",IF($AA606="","","No"))</f>
        <v/>
      </c>
      <c r="AM606">
        <f>IF(AND(ISNUMBER($AC606),ISNUMBER(IF($V606,IF($AL606="","",$AL606),IF($AK606="","",$AK606)))),IF(AND(ABS($AC606-significance_bar)&lt;=2.0*IF($V606,IF($AL606="","",$AL606),IF($AK606="","",$AK606)),OR($Y606="worse",$Y606="better",$Y606="worse, not significant",$Y606="better, not significant")),IF(ROUND($AC606,3)=ROUND(significance_bar,3),TEXT($AC606,"0.0000"),TEXT($AC606,"0.000")),""),"")</f>
        <v/>
      </c>
      <c r="AN606">
        <f>IF(AND(ISNUMBER($AC606),ISNUMBER(IF($V606,IF($AL606="","",$AL606),IF($AK606="","",$AK606)))),IF(AND(ABS($AC606-significance_bar)&lt;=2.0*IF($V606,IF($AL606="","",$AL606),IF($AK606="","",$AK606)),OR($Y606="worse",$Y606="worse, not significant")),IF(ROUND($AC606,3)=ROUND(significance_bar,3),TEXT($AC606,"0.0000"),TEXT($AC606,"0.000")),""),"")</f>
        <v/>
      </c>
      <c r="AO606">
        <f>IF(OR($AI606="",$AN606=""),$AI606,$AI606&amp;" · borderline (p "&amp;$AN606&amp;")")</f>
        <v/>
      </c>
    </row>
    <row r="607">
      <c r="A607" t="inlineStr">
        <is>
          <t>three-way</t>
        </is>
      </c>
      <c r="B607" t="inlineStr">
        <is>
          <t>FICO x ASSET_CLASS / SYS_FLAG</t>
        </is>
      </c>
      <c r="C607" t="inlineStr">
        <is>
          <t>712 - 745</t>
        </is>
      </c>
      <c r="D607" t="inlineStr">
        <is>
          <t>1 / SYS_FLAG N</t>
        </is>
      </c>
      <c r="E607" t="inlineStr">
        <is>
          <t>ranr_rate</t>
        </is>
      </c>
      <c r="F607" t="inlineStr">
        <is>
          <t>Profit after losses: RANR per booked dollar</t>
        </is>
      </c>
      <c r="G607" t="n">
        <v>194</v>
      </c>
      <c r="H607" t="n">
        <v>6149269.000000003</v>
      </c>
      <c r="I607" t="b">
        <v>0</v>
      </c>
      <c r="J607" t="b">
        <v>0</v>
      </c>
      <c r="K607" t="n">
        <v>-0.01794504425116268</v>
      </c>
      <c r="L607" t="n">
        <v>0.3361360833613609</v>
      </c>
      <c r="M607" t="n">
        <v>0.01648686860783766</v>
      </c>
      <c r="N607" t="n">
        <v>0.5190338109046239</v>
      </c>
      <c r="O607" t="n">
        <v>110348.904317303</v>
      </c>
      <c r="P607" t="n">
        <v>-101382.1900372492</v>
      </c>
      <c r="Q607">
        <f>'_live'!$C$23</f>
        <v/>
      </c>
      <c r="R607" t="inlineStr">
        <is>
          <t>shuffled: 2,263 of 10,000</t>
        </is>
      </c>
      <c r="S607" t="inlineStr">
        <is>
          <t>shuffled: 1,893 of 10,000</t>
        </is>
      </c>
      <c r="T607" t="n">
        <v>0.1284176451407969</v>
      </c>
      <c r="U607" t="n">
        <v>0.09398573228179653</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0.1104726008896342</v>
      </c>
      <c r="AI607">
        <f>IF($Y607="worse","Yes",IF($Y607="worse, not significant","Not sure",IF(OR($Y607="too few losses to test",$Y607="too few loans to test"),"Too few losses",IF($Y607="","","No"))))</f>
        <v/>
      </c>
      <c r="AJ607">
        <f>IF($AA607="yes","Yes",IF($AA607="","","No"))</f>
        <v/>
      </c>
      <c r="AK607" t="n">
        <v>0.006213885157809926</v>
      </c>
      <c r="AL607" t="n">
        <v>0.009575838863991234</v>
      </c>
      <c r="AM607">
        <f>IF(AND(ISNUMBER($AC607),ISNUMBER(IF($V607,IF($AL607="","",$AL607),IF($AK607="","",$AK607)))),IF(AND(ABS($AC607-significance_bar)&lt;=2.0*IF($V607,IF($AL607="","",$AL607),IF($AK607="","",$AK607)),OR($Y607="worse",$Y607="better",$Y607="worse, not significant",$Y607="better, not significant",AND(profit_kind="test",$Y607="in line",ISNUMBER($AB607),$AB607&lt;&gt;0))),IF(ROUND($AC607,3)=ROUND(significance_bar,3),TEXT($AC607,"0.0000"),TEXT($AC607,"0.000")),""),"")</f>
        <v/>
      </c>
      <c r="AN607">
        <f>IF(AND(ISNUMBER($AC607),ISNUMBER(IF($V607,IF($AL607="","",$AL607),IF($AK607="","",$AK607)))),IF(AND(ABS($AC607-significance_bar)&lt;=2.0*IF($V607,IF($AL607="","",$AL607),IF($AK607="","",$AK607)),OR($Y607="worse",$Y607="worse, not significant",AND(profit_kind="test",$Y607="in line",ISNUMBER($AB607),$AB607&lt;0))),IF(ROUND($AC607,3)=ROUND(significance_bar,3),TEXT($AC607,"0.0000"),TEXT($AC607,"0.000")),""),"")</f>
        <v/>
      </c>
      <c r="AO607">
        <f>IF(OR($AI607="",$AN607=""),$AI607,$AI607&amp;" · borderline (p "&amp;$AN607&amp;")")</f>
        <v/>
      </c>
    </row>
    <row r="608">
      <c r="A608" t="inlineStr">
        <is>
          <t>three-way</t>
        </is>
      </c>
      <c r="B608" t="inlineStr">
        <is>
          <t>FICO x ASSET_CLASS / SYS_FLAG</t>
        </is>
      </c>
      <c r="C608" t="inlineStr">
        <is>
          <t>712 - 745</t>
        </is>
      </c>
      <c r="D608" t="inlineStr">
        <is>
          <t>1 / SYS_FLAG N</t>
        </is>
      </c>
      <c r="E608" t="inlineStr">
        <is>
          <t>contribution_rate</t>
        </is>
      </c>
      <c r="F608" t="inlineStr">
        <is>
          <t>Contribution before losses per booked dollar</t>
        </is>
      </c>
      <c r="G608" t="n">
        <v>193</v>
      </c>
      <c r="H608" t="n">
        <v>6109584.570000003</v>
      </c>
      <c r="I608" t="b">
        <v>0</v>
      </c>
      <c r="J608" t="b">
        <v>0</v>
      </c>
      <c r="K608" t="n">
        <v>-0.0414219796800577</v>
      </c>
      <c r="L608" t="n">
        <v>0.0001814633351479667</v>
      </c>
      <c r="M608" t="n">
        <v>0.003359219955245157</v>
      </c>
      <c r="N608" t="n">
        <v>0.9799190293736585</v>
      </c>
      <c r="O608" t="n">
        <v>253071.0879121342</v>
      </c>
      <c r="P608" t="n">
        <v>-20523.43840580189</v>
      </c>
      <c r="Q608">
        <f>'_live'!$C$24</f>
        <v/>
      </c>
      <c r="R608" t="inlineStr">
        <is>
          <t>shuffled: 0 of 10,000</t>
        </is>
      </c>
      <c r="S608" t="inlineStr">
        <is>
          <t>shuffled: 5,870 of 10,000</t>
        </is>
      </c>
      <c r="T608" t="n">
        <v>0.1705732420874132</v>
      </c>
      <c r="U608" t="n">
        <v>0.1257920424521103</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0.1291512624073555</v>
      </c>
      <c r="AI608">
        <f>IF($Y608="worse","Yes",IF($Y608="worse, not significant","Not sure",IF(OR($Y608="too few losses to test",$Y608="too few loans to test"),"Too few losses",IF($Y608="","","No"))))</f>
        <v/>
      </c>
      <c r="AJ608">
        <f>IF($AA608="yes","Yes",IF($AA608="","","No"))</f>
        <v/>
      </c>
      <c r="AK608" t="n">
        <v>0.0001814633351479667</v>
      </c>
      <c r="AL608" t="n">
        <v>0.002013133534953629</v>
      </c>
      <c r="AM608">
        <f>IF(AND(ISNUMBER($AC608),ISNUMBER(IF($V608,IF($AL608="","",$AL608),IF($AK608="","",$AK608)))),IF(AND(ABS($AC608-significance_bar)&lt;=2.0*IF($V608,IF($AL608="","",$AL608),IF($AK608="","",$AK608)),OR($Y608="worse",$Y608="better",$Y608="worse, not significant",$Y608="better, not significant",AND(profit_kind="test",$Y608="in line",ISNUMBER($AB608),$AB608&lt;&gt;0))),IF(ROUND($AC608,3)=ROUND(significance_bar,3),TEXT($AC608,"0.0000"),TEXT($AC608,"0.000")),""),"")</f>
        <v/>
      </c>
      <c r="AN608">
        <f>IF(AND(ISNUMBER($AC608),ISNUMBER(IF($V608,IF($AL608="","",$AL608),IF($AK608="","",$AK608)))),IF(AND(ABS($AC608-significance_bar)&lt;=2.0*IF($V608,IF($AL608="","",$AL608),IF($AK608="","",$AK608)),OR($Y608="worse",$Y608="worse, not significant",AND(profit_kind="test",$Y608="in line",ISNUMBER($AB608),$AB608&lt;0))),IF(ROUND($AC608,3)=ROUND(significance_bar,3),TEXT($AC608,"0.0000"),TEXT($AC608,"0.000")),""),"")</f>
        <v/>
      </c>
      <c r="AO608">
        <f>IF(OR($AI608="",$AN608=""),$AI608,$AI608&amp;" · borderline (p "&amp;$AN608&amp;")")</f>
        <v/>
      </c>
    </row>
    <row r="609">
      <c r="A609" t="inlineStr">
        <is>
          <t>three-way</t>
        </is>
      </c>
      <c r="B609" t="inlineStr">
        <is>
          <t>FICO x ASSET_CLASS / SYS_FLAG</t>
        </is>
      </c>
      <c r="C609" t="inlineStr">
        <is>
          <t>712 - 745</t>
        </is>
      </c>
      <c r="D609" t="inlineStr">
        <is>
          <t>2 / SYS_FLAG Y</t>
        </is>
      </c>
      <c r="E609" t="inlineStr">
        <is>
          <t>outcome_loans</t>
        </is>
      </c>
      <c r="F609" t="inlineStr">
        <is>
          <t>Outcome, share of loans</t>
        </is>
      </c>
      <c r="G609" t="n">
        <v>184</v>
      </c>
      <c r="H609" t="n">
        <v>184</v>
      </c>
      <c r="I609" t="b">
        <v>0</v>
      </c>
      <c r="J609" t="b">
        <v>0</v>
      </c>
      <c r="K609" t="n">
        <v>0.768422840389016</v>
      </c>
      <c r="L609" t="n">
        <v>0.563854801876237</v>
      </c>
      <c r="M609" t="n">
        <v>1.122497139588101</v>
      </c>
      <c r="N609" t="n">
        <v>0.7481717174350578</v>
      </c>
      <c r="O609" t="n">
        <v>-3.315035188739603</v>
      </c>
      <c r="P609" t="n">
        <v>1.20042046250876</v>
      </c>
      <c r="Q609">
        <f>'_live'!$C$20</f>
        <v/>
      </c>
      <c r="R609" t="inlineStr">
        <is>
          <t>z test</t>
        </is>
      </c>
      <c r="S609" t="inlineStr">
        <is>
          <t>z test</t>
        </is>
      </c>
      <c r="T609" t="n">
        <v>0.07779910428662828</v>
      </c>
      <c r="U609" t="n">
        <v>0.05325858444288718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0.05978260869565218</v>
      </c>
      <c r="AI609">
        <f>IF($Y609="worse","Yes",IF($Y609="worse, not significant","Not sure",IF(OR($Y609="too few losses to test",$Y609="too few loans to test"),"Too few losses",IF($Y609="","","No"))))</f>
        <v/>
      </c>
      <c r="AJ609">
        <f>IF($AA609="yes","Yes",IF($AA609="","","No"))</f>
        <v/>
      </c>
      <c r="AM609">
        <f>IF(AND(ISNUMBER($AC609),ISNUMBER(IF($V609,IF($AL609="","",$AL609),IF($AK609="","",$AK609)))),IF(AND(ABS($AC609-significance_bar)&lt;=2.0*IF($V609,IF($AL609="","",$AL609),IF($AK609="","",$AK609)),OR($Y609="worse",$Y609="better",$Y609="worse, not significant",$Y609="better, not significant")),IF(ROUND($AC609,3)=ROUND(significance_bar,3),TEXT($AC609,"0.0000"),TEXT($AC609,"0.000")),""),"")</f>
        <v/>
      </c>
      <c r="AN609">
        <f>IF(AND(ISNUMBER($AC609),ISNUMBER(IF($V609,IF($AL609="","",$AL609),IF($AK609="","",$AK609)))),IF(AND(ABS($AC609-significance_bar)&lt;=2.0*IF($V609,IF($AL609="","",$AL609),IF($AK609="","",$AK609)),OR($Y609="worse",$Y609="worse, not significant")),IF(ROUND($AC609,3)=ROUND(significance_bar,3),TEXT($AC609,"0.0000"),TEXT($AC609,"0.000")),""),"")</f>
        <v/>
      </c>
      <c r="AO609">
        <f>IF(OR($AI609="",$AN609=""),$AI609,$AI609&amp;" · borderline (p "&amp;$AN609&amp;")")</f>
        <v/>
      </c>
    </row>
    <row r="610">
      <c r="A610" t="inlineStr">
        <is>
          <t>three-way</t>
        </is>
      </c>
      <c r="B610" t="inlineStr">
        <is>
          <t>FICO x ASSET_CLASS / SYS_FLAG</t>
        </is>
      </c>
      <c r="C610" t="inlineStr">
        <is>
          <t>712 - 745</t>
        </is>
      </c>
      <c r="D610" t="inlineStr">
        <is>
          <t>2 / SYS_FLAG Y</t>
        </is>
      </c>
      <c r="E610" t="inlineStr">
        <is>
          <t>outcome_booked</t>
        </is>
      </c>
      <c r="F610" t="inlineStr">
        <is>
          <t>Outcome, share of booked dollars</t>
        </is>
      </c>
      <c r="G610" t="n">
        <v>183</v>
      </c>
      <c r="H610" t="n">
        <v>6479595.529999999</v>
      </c>
      <c r="I610" t="b">
        <v>0</v>
      </c>
      <c r="J610" t="b">
        <v>0</v>
      </c>
      <c r="K610" t="n">
        <v>0.7441573133038234</v>
      </c>
      <c r="L610" t="n">
        <v>0.5154326672595898</v>
      </c>
      <c r="M610" t="n">
        <v>1.032207080366033</v>
      </c>
      <c r="N610" t="n">
        <v>0.9947005299470053</v>
      </c>
      <c r="O610" t="n">
        <v>-124850.2069589594</v>
      </c>
      <c r="P610" t="n">
        <v>11330.9294865221</v>
      </c>
      <c r="Q610">
        <f>'_live'!$C$21</f>
        <v/>
      </c>
      <c r="R610" t="inlineStr">
        <is>
          <t>shuffled: 3,766 of 10,000</t>
        </is>
      </c>
      <c r="S610" t="inlineStr">
        <is>
          <t>shuffled: 9,313 of 10,000</t>
        </is>
      </c>
      <c r="T610" t="n">
        <v>0.07531272510754379</v>
      </c>
      <c r="U610" t="n">
        <v>0.05429580579290849</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0.05604451517361919</v>
      </c>
      <c r="AI610">
        <f>IF($Y610="worse","Yes",IF($Y610="worse, not significant","Not sure",IF(OR($Y610="too few losses to test",$Y610="too few loans to test"),"Too few losses",IF($Y610="","","No"))))</f>
        <v/>
      </c>
      <c r="AJ610">
        <f>IF($AA610="yes","Yes",IF($AA610="","","No"))</f>
        <v/>
      </c>
      <c r="AK610" t="n">
        <v>0.006630671750386497</v>
      </c>
      <c r="AL610" t="n">
        <v>0.0007260430889521713</v>
      </c>
      <c r="AM610">
        <f>IF(AND(ISNUMBER($AC610),ISNUMBER(IF($V610,IF($AL610="","",$AL610),IF($AK610="","",$AK610)))),IF(AND(ABS($AC610-significance_bar)&lt;=2.0*IF($V610,IF($AL610="","",$AL610),IF($AK610="","",$AK610)),OR($Y610="worse",$Y610="better",$Y610="worse, not significant",$Y610="better, not significant")),IF(ROUND($AC610,3)=ROUND(significance_bar,3),TEXT($AC610,"0.0000"),TEXT($AC610,"0.000")),""),"")</f>
        <v/>
      </c>
      <c r="AN610">
        <f>IF(AND(ISNUMBER($AC610),ISNUMBER(IF($V610,IF($AL610="","",$AL610),IF($AK610="","",$AK610)))),IF(AND(ABS($AC610-significance_bar)&lt;=2.0*IF($V610,IF($AL610="","",$AL610),IF($AK610="","",$AK610)),OR($Y610="worse",$Y610="worse, not significant")),IF(ROUND($AC610,3)=ROUND(significance_bar,3),TEXT($AC610,"0.0000"),TEXT($AC610,"0.000")),""),"")</f>
        <v/>
      </c>
      <c r="AO610">
        <f>IF(OR($AI610="",$AN610=""),$AI610,$AI610&amp;" · borderline (p "&amp;$AN610&amp;")")</f>
        <v/>
      </c>
    </row>
    <row r="611">
      <c r="A611" t="inlineStr">
        <is>
          <t>three-way</t>
        </is>
      </c>
      <c r="B611" t="inlineStr">
        <is>
          <t>FICO x ASSET_CLASS / SYS_FLAG</t>
        </is>
      </c>
      <c r="C611" t="inlineStr">
        <is>
          <t>712 - 745</t>
        </is>
      </c>
      <c r="D611" t="inlineStr">
        <is>
          <t>2 / SYS_FLAG Y</t>
        </is>
      </c>
      <c r="E611" t="inlineStr">
        <is>
          <t>gco_rate</t>
        </is>
      </c>
      <c r="F611" t="inlineStr">
        <is>
          <t>GCO per booked dollar</t>
        </is>
      </c>
      <c r="G611" t="n">
        <v>183</v>
      </c>
      <c r="H611" t="n">
        <v>6479595.529999999</v>
      </c>
      <c r="I611" t="b">
        <v>0</v>
      </c>
      <c r="J611" t="b">
        <v>0</v>
      </c>
      <c r="K611" t="n">
        <v>0.7023143356507326</v>
      </c>
      <c r="L611" t="n">
        <v>0.5079071040264393</v>
      </c>
      <c r="M611" t="n">
        <v>0.9689425849422297</v>
      </c>
      <c r="N611" t="n">
        <v>0.9754024597540246</v>
      </c>
      <c r="O611" t="n">
        <v>-80856.1128614223</v>
      </c>
      <c r="P611" t="n">
        <v>-6114.398414566444</v>
      </c>
      <c r="Q611">
        <f>'_live'!$C$22</f>
        <v/>
      </c>
      <c r="R611" t="inlineStr">
        <is>
          <t>shuffled: 3,203 of 10,000</t>
        </is>
      </c>
      <c r="S611" t="inlineStr">
        <is>
          <t>shuffled: 9,373 of 10,000</t>
        </is>
      </c>
      <c r="T611" t="n">
        <v>0.04191862618644382</v>
      </c>
      <c r="U611" t="n">
        <v>0.03038369100402267</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0.02944005210152369</v>
      </c>
      <c r="AI611">
        <f>IF($Y611="worse","Yes",IF($Y611="worse, not significant","Not sure",IF(OR($Y611="too few losses to test",$Y611="too few loans to test"),"Too few losses",IF($Y611="","","No"))))</f>
        <v/>
      </c>
      <c r="AJ611">
        <f>IF($AA611="yes","Yes",IF($AA611="","","No"))</f>
        <v/>
      </c>
      <c r="AK611" t="n">
        <v>0.006611060033083899</v>
      </c>
      <c r="AL611" t="n">
        <v>0.001548951298776788</v>
      </c>
      <c r="AM611">
        <f>IF(AND(ISNUMBER($AC611),ISNUMBER(IF($V611,IF($AL611="","",$AL611),IF($AK611="","",$AK611)))),IF(AND(ABS($AC611-significance_bar)&lt;=2.0*IF($V611,IF($AL611="","",$AL611),IF($AK611="","",$AK611)),OR($Y611="worse",$Y611="better",$Y611="worse, not significant",$Y611="better, not significant")),IF(ROUND($AC611,3)=ROUND(significance_bar,3),TEXT($AC611,"0.0000"),TEXT($AC611,"0.000")),""),"")</f>
        <v/>
      </c>
      <c r="AN611">
        <f>IF(AND(ISNUMBER($AC611),ISNUMBER(IF($V611,IF($AL611="","",$AL611),IF($AK611="","",$AK611)))),IF(AND(ABS($AC611-significance_bar)&lt;=2.0*IF($V611,IF($AL611="","",$AL611),IF($AK611="","",$AK611)),OR($Y611="worse",$Y611="worse, not significant")),IF(ROUND($AC611,3)=ROUND(significance_bar,3),TEXT($AC611,"0.0000"),TEXT($AC611,"0.000")),""),"")</f>
        <v/>
      </c>
      <c r="AO611">
        <f>IF(OR($AI611="",$AN611=""),$AI611,$AI611&amp;" · borderline (p "&amp;$AN611&amp;")")</f>
        <v/>
      </c>
    </row>
    <row r="612">
      <c r="A612" t="inlineStr">
        <is>
          <t>three-way</t>
        </is>
      </c>
      <c r="B612" t="inlineStr">
        <is>
          <t>FICO x ASSET_CLASS / SYS_FLAG</t>
        </is>
      </c>
      <c r="C612" t="inlineStr">
        <is>
          <t>712 - 745</t>
        </is>
      </c>
      <c r="D612" t="inlineStr">
        <is>
          <t>2 / SYS_FLAG Y</t>
        </is>
      </c>
      <c r="E612" t="inlineStr">
        <is>
          <t>ranr_rate</t>
        </is>
      </c>
      <c r="F612" t="inlineStr">
        <is>
          <t>Profit after losses: RANR per booked dollar</t>
        </is>
      </c>
      <c r="G612" t="n">
        <v>183</v>
      </c>
      <c r="H612" t="n">
        <v>6479595.529999999</v>
      </c>
      <c r="I612" t="b">
        <v>0</v>
      </c>
      <c r="J612" t="b">
        <v>0</v>
      </c>
      <c r="K612" t="n">
        <v>-0.03117238859776413</v>
      </c>
      <c r="L612" t="n">
        <v>0.07214106175589338</v>
      </c>
      <c r="M612" t="n">
        <v>0.001867890210090081</v>
      </c>
      <c r="N612" t="n">
        <v>0.9703029697030296</v>
      </c>
      <c r="O612" t="n">
        <v>201984.4698174953</v>
      </c>
      <c r="P612" t="n">
        <v>-12103.17305583053</v>
      </c>
      <c r="Q612">
        <f>'_live'!$C$23</f>
        <v/>
      </c>
      <c r="R612" t="inlineStr">
        <is>
          <t>shuffled: 426 of 10,000</t>
        </is>
      </c>
      <c r="S612" t="inlineStr">
        <is>
          <t>shuffled: 8,854 of 10,000</t>
        </is>
      </c>
      <c r="T612" t="n">
        <v>0.1287727275497851</v>
      </c>
      <c r="U612" t="n">
        <v>0.09573244874193093</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0.09760033895202101</v>
      </c>
      <c r="AI612">
        <f>IF($Y612="worse","Yes",IF($Y612="worse, not significant","Not sure",IF(OR($Y612="too few losses to test",$Y612="too few loans to test"),"Too few losses",IF($Y612="","","No"))))</f>
        <v/>
      </c>
      <c r="AJ612">
        <f>IF($AA612="yes","Yes",IF($AA612="","","No"))</f>
        <v/>
      </c>
      <c r="AK612" t="n">
        <v>0.003415979879156207</v>
      </c>
      <c r="AL612" t="n">
        <v>0.001697501596126236</v>
      </c>
      <c r="AM612">
        <f>IF(AND(ISNUMBER($AC612),ISNUMBER(IF($V612,IF($AL612="","",$AL612),IF($AK612="","",$AK612)))),IF(AND(ABS($AC612-significance_bar)&lt;=2.0*IF($V612,IF($AL612="","",$AL612),IF($AK612="","",$AK612)),OR($Y612="worse",$Y612="better",$Y612="worse, not significant",$Y612="better, not significant",AND(profit_kind="test",$Y612="in line",ISNUMBER($AB612),$AB612&lt;&gt;0))),IF(ROUND($AC612,3)=ROUND(significance_bar,3),TEXT($AC612,"0.0000"),TEXT($AC612,"0.000")),""),"")</f>
        <v/>
      </c>
      <c r="AN612">
        <f>IF(AND(ISNUMBER($AC612),ISNUMBER(IF($V612,IF($AL612="","",$AL612),IF($AK612="","",$AK612)))),IF(AND(ABS($AC612-significance_bar)&lt;=2.0*IF($V612,IF($AL612="","",$AL612),IF($AK612="","",$AK612)),OR($Y612="worse",$Y612="worse, not significant",AND(profit_kind="test",$Y612="in line",ISNUMBER($AB612),$AB612&lt;0))),IF(ROUND($AC612,3)=ROUND(significance_bar,3),TEXT($AC612,"0.0000"),TEXT($AC612,"0.000")),""),"")</f>
        <v/>
      </c>
      <c r="AO612">
        <f>IF(OR($AI612="",$AN612=""),$AI612,$AI612&amp;" · borderline (p "&amp;$AN612&amp;")")</f>
        <v/>
      </c>
    </row>
    <row r="613">
      <c r="A613" t="inlineStr">
        <is>
          <t>three-way</t>
        </is>
      </c>
      <c r="B613" t="inlineStr">
        <is>
          <t>FICO x ASSET_CLASS / SYS_FLAG</t>
        </is>
      </c>
      <c r="C613" t="inlineStr">
        <is>
          <t>712 - 745</t>
        </is>
      </c>
      <c r="D613" t="inlineStr">
        <is>
          <t>2 / SYS_FLAG Y</t>
        </is>
      </c>
      <c r="E613" t="inlineStr">
        <is>
          <t>contribution_rate</t>
        </is>
      </c>
      <c r="F613" t="inlineStr">
        <is>
          <t>Contribution before losses per booked dollar</t>
        </is>
      </c>
      <c r="G613" t="n">
        <v>183</v>
      </c>
      <c r="H613" t="n">
        <v>6479595.529999999</v>
      </c>
      <c r="I613" t="b">
        <v>0</v>
      </c>
      <c r="J613" t="b">
        <v>0</v>
      </c>
      <c r="K613" t="n">
        <v>-0.04364815326089716</v>
      </c>
      <c r="L613" t="n">
        <v>0.0001814633351479667</v>
      </c>
      <c r="M613" t="n">
        <v>0.0009695024256982376</v>
      </c>
      <c r="N613" t="n">
        <v>0.9799190293736585</v>
      </c>
      <c r="O613" t="n">
        <v>282822.3787620643</v>
      </c>
      <c r="P613" t="n">
        <v>-6281.983583878377</v>
      </c>
      <c r="Q613">
        <f>'_live'!$C$24</f>
        <v/>
      </c>
      <c r="R613" t="inlineStr">
        <is>
          <t>shuffled: 0 of 10,000</t>
        </is>
      </c>
      <c r="S613" t="inlineStr">
        <is>
          <t>shuffled: 8,745 of 10,000</t>
        </is>
      </c>
      <c r="T613" t="n">
        <v>0.1706885443144419</v>
      </c>
      <c r="U613" t="n">
        <v>0.1260708886278465</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0.1270403910535447</v>
      </c>
      <c r="AI613">
        <f>IF($Y613="worse","Yes",IF($Y613="worse, not significant","Not sure",IF(OR($Y613="too few losses to test",$Y613="too few loans to test"),"Too few losses",IF($Y613="","","No"))))</f>
        <v/>
      </c>
      <c r="AJ613">
        <f>IF($AA613="yes","Yes",IF($AA613="","","No"))</f>
        <v/>
      </c>
      <c r="AK613" t="n">
        <v>0.0001814633351479667</v>
      </c>
      <c r="AL613" t="n">
        <v>0.002013133534953629</v>
      </c>
      <c r="AM613">
        <f>IF(AND(ISNUMBER($AC613),ISNUMBER(IF($V613,IF($AL613="","",$AL613),IF($AK613="","",$AK613)))),IF(AND(ABS($AC613-significance_bar)&lt;=2.0*IF($V613,IF($AL613="","",$AL613),IF($AK613="","",$AK613)),OR($Y613="worse",$Y613="better",$Y613="worse, not significant",$Y613="better, not significant",AND(profit_kind="test",$Y613="in line",ISNUMBER($AB613),$AB613&lt;&gt;0))),IF(ROUND($AC613,3)=ROUND(significance_bar,3),TEXT($AC613,"0.0000"),TEXT($AC613,"0.000")),""),"")</f>
        <v/>
      </c>
      <c r="AN613">
        <f>IF(AND(ISNUMBER($AC613),ISNUMBER(IF($V613,IF($AL613="","",$AL613),IF($AK613="","",$AK613)))),IF(AND(ABS($AC613-significance_bar)&lt;=2.0*IF($V613,IF($AL613="","",$AL613),IF($AK613="","",$AK613)),OR($Y613="worse",$Y613="worse, not significant",AND(profit_kind="test",$Y613="in line",ISNUMBER($AB613),$AB613&lt;0))),IF(ROUND($AC613,3)=ROUND(significance_bar,3),TEXT($AC613,"0.0000"),TEXT($AC613,"0.000")),""),"")</f>
        <v/>
      </c>
      <c r="AO613">
        <f>IF(OR($AI613="",$AN613=""),$AI613,$AI613&amp;" · borderline (p "&amp;$AN613&amp;")")</f>
        <v/>
      </c>
    </row>
    <row r="614">
      <c r="A614" t="inlineStr">
        <is>
          <t>three-way</t>
        </is>
      </c>
      <c r="B614" t="inlineStr">
        <is>
          <t>FICO x ASSET_CLASS / SYS_FLAG</t>
        </is>
      </c>
      <c r="C614" t="inlineStr">
        <is>
          <t>496 - 653</t>
        </is>
      </c>
      <c r="D614" t="inlineStr">
        <is>
          <t>2 / SYS_FLAG N</t>
        </is>
      </c>
      <c r="E614" t="inlineStr">
        <is>
          <t>outcome_loans</t>
        </is>
      </c>
      <c r="F614" t="inlineStr">
        <is>
          <t>Outcome, share of loans</t>
        </is>
      </c>
      <c r="G614" t="n">
        <v>212</v>
      </c>
      <c r="H614" t="n">
        <v>212</v>
      </c>
      <c r="I614" t="b">
        <v>0</v>
      </c>
      <c r="J614" t="b">
        <v>0</v>
      </c>
      <c r="K614" t="n">
        <v>1.289889253486464</v>
      </c>
      <c r="L614" t="n">
        <v>0.4296364810367654</v>
      </c>
      <c r="M614" t="n">
        <v>0.6245681636991762</v>
      </c>
      <c r="N614" t="n">
        <v>0.1242709320909982</v>
      </c>
      <c r="O614" t="n">
        <v>4.719532554257096</v>
      </c>
      <c r="P614" t="n">
        <v>-12.62323157110946</v>
      </c>
      <c r="Q614">
        <f>'_live'!$C$20</f>
        <v/>
      </c>
      <c r="R614" t="inlineStr">
        <is>
          <t>z test</t>
        </is>
      </c>
      <c r="S614" t="inlineStr">
        <is>
          <t>z test</t>
        </is>
      </c>
      <c r="T614" t="n">
        <v>0.07679465776293823</v>
      </c>
      <c r="U614" t="n">
        <v>0.1586001489203276</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0.09905660377358491</v>
      </c>
      <c r="AI614">
        <f>IF($Y614="worse","Yes",IF($Y614="worse, not significant","Not sure",IF(OR($Y614="too few losses to test",$Y614="too few loans to test"),"Too few losses",IF($Y614="","","No"))))</f>
        <v/>
      </c>
      <c r="AJ614">
        <f>IF($AA614="yes","Yes",IF($AA614="","","No"))</f>
        <v/>
      </c>
      <c r="AM614">
        <f>IF(AND(ISNUMBER($AC614),ISNUMBER(IF($V614,IF($AL614="","",$AL614),IF($AK614="","",$AK614)))),IF(AND(ABS($AC614-significance_bar)&lt;=2.0*IF($V614,IF($AL614="","",$AL614),IF($AK614="","",$AK614)),OR($Y614="worse",$Y614="better",$Y614="worse, not significant",$Y614="better, not significant")),IF(ROUND($AC614,3)=ROUND(significance_bar,3),TEXT($AC614,"0.0000"),TEXT($AC614,"0.000")),""),"")</f>
        <v/>
      </c>
      <c r="AN614">
        <f>IF(AND(ISNUMBER($AC614),ISNUMBER(IF($V614,IF($AL614="","",$AL614),IF($AK614="","",$AK614)))),IF(AND(ABS($AC614-significance_bar)&lt;=2.0*IF($V614,IF($AL614="","",$AL614),IF($AK614="","",$AK614)),OR($Y614="worse",$Y614="worse, not significant")),IF(ROUND($AC614,3)=ROUND(significance_bar,3),TEXT($AC614,"0.0000"),TEXT($AC614,"0.000")),""),"")</f>
        <v/>
      </c>
      <c r="AO614">
        <f>IF(OR($AI614="",$AN614=""),$AI614,$AI614&amp;" · borderline (p "&amp;$AN614&amp;")")</f>
        <v/>
      </c>
    </row>
    <row r="615">
      <c r="A615" t="inlineStr">
        <is>
          <t>three-way</t>
        </is>
      </c>
      <c r="B615" t="inlineStr">
        <is>
          <t>FICO x ASSET_CLASS / SYS_FLAG</t>
        </is>
      </c>
      <c r="C615" t="inlineStr">
        <is>
          <t>496 - 653</t>
        </is>
      </c>
      <c r="D615" t="inlineStr">
        <is>
          <t>2 / SYS_FLAG N</t>
        </is>
      </c>
      <c r="E615" t="inlineStr">
        <is>
          <t>outcome_booked</t>
        </is>
      </c>
      <c r="F615" t="inlineStr">
        <is>
          <t>Outcome, share of booked dollars</t>
        </is>
      </c>
      <c r="G615" t="n">
        <v>212</v>
      </c>
      <c r="H615" t="n">
        <v>6925442.300000004</v>
      </c>
      <c r="I615" t="b">
        <v>0</v>
      </c>
      <c r="J615" t="b">
        <v>0</v>
      </c>
      <c r="K615" t="n">
        <v>1.344080666582647</v>
      </c>
      <c r="L615" t="n">
        <v>0.4337232943372329</v>
      </c>
      <c r="M615" t="n">
        <v>0.6347642707253288</v>
      </c>
      <c r="N615" t="n">
        <v>0.2149118421491184</v>
      </c>
      <c r="O615" t="n">
        <v>176678.896339464</v>
      </c>
      <c r="P615" t="n">
        <v>-397109.7255705191</v>
      </c>
      <c r="Q615">
        <f>'_live'!$C$21</f>
        <v/>
      </c>
      <c r="R615" t="inlineStr">
        <is>
          <t>shuffled: 2,001 of 10,000</t>
        </is>
      </c>
      <c r="S615" t="inlineStr">
        <is>
          <t>shuffled: 495 of 10,000</t>
        </is>
      </c>
      <c r="T615" t="n">
        <v>0.07414415013760717</v>
      </c>
      <c r="U615" t="n">
        <v>0.1569964210907538</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0.09965571874015894</v>
      </c>
      <c r="AI615">
        <f>IF($Y615="worse","Yes",IF($Y615="worse, not significant","Not sure",IF(OR($Y615="too few losses to test",$Y615="too few loans to test"),"Too few losses",IF($Y615="","","No"))))</f>
        <v/>
      </c>
      <c r="AJ615">
        <f>IF($AA615="yes","Yes",IF($AA615="","","No"))</f>
        <v/>
      </c>
      <c r="AK615" t="n">
        <v>0.008669590003838682</v>
      </c>
      <c r="AL615" t="n">
        <v>0.009407962316128391</v>
      </c>
      <c r="AM615">
        <f>IF(AND(ISNUMBER($AC615),ISNUMBER(IF($V615,IF($AL615="","",$AL615),IF($AK615="","",$AK615)))),IF(AND(ABS($AC615-significance_bar)&lt;=2.0*IF($V615,IF($AL615="","",$AL615),IF($AK615="","",$AK615)),OR($Y615="worse",$Y615="better",$Y615="worse, not significant",$Y615="better, not significant")),IF(ROUND($AC615,3)=ROUND(significance_bar,3),TEXT($AC615,"0.0000"),TEXT($AC615,"0.000")),""),"")</f>
        <v/>
      </c>
      <c r="AN615">
        <f>IF(AND(ISNUMBER($AC615),ISNUMBER(IF($V615,IF($AL615="","",$AL615),IF($AK615="","",$AK615)))),IF(AND(ABS($AC615-significance_bar)&lt;=2.0*IF($V615,IF($AL615="","",$AL615),IF($AK615="","",$AK615)),OR($Y615="worse",$Y615="worse, not significant")),IF(ROUND($AC615,3)=ROUND(significance_bar,3),TEXT($AC615,"0.0000"),TEXT($AC615,"0.000")),""),"")</f>
        <v/>
      </c>
      <c r="AO615">
        <f>IF(OR($AI615="",$AN615=""),$AI615,$AI615&amp;" · borderline (p "&amp;$AN615&amp;")")</f>
        <v/>
      </c>
    </row>
    <row r="616">
      <c r="A616" t="inlineStr">
        <is>
          <t>three-way</t>
        </is>
      </c>
      <c r="B616" t="inlineStr">
        <is>
          <t>FICO x ASSET_CLASS / SYS_FLAG</t>
        </is>
      </c>
      <c r="C616" t="inlineStr">
        <is>
          <t>496 - 653</t>
        </is>
      </c>
      <c r="D616" t="inlineStr">
        <is>
          <t>2 / SYS_FLAG N</t>
        </is>
      </c>
      <c r="E616" t="inlineStr">
        <is>
          <t>gco_rate</t>
        </is>
      </c>
      <c r="F616" t="inlineStr">
        <is>
          <t>GCO per booked dollar</t>
        </is>
      </c>
      <c r="G616" t="n">
        <v>213</v>
      </c>
      <c r="H616" t="n">
        <v>6962430.310000005</v>
      </c>
      <c r="I616" t="b">
        <v>0</v>
      </c>
      <c r="J616" t="b">
        <v>0</v>
      </c>
      <c r="K616" t="n">
        <v>1.404438014965731</v>
      </c>
      <c r="L616" t="n">
        <v>0.3444655534446555</v>
      </c>
      <c r="M616" t="n">
        <v>0.6603482776194217</v>
      </c>
      <c r="N616" t="n">
        <v>0.3219963717913923</v>
      </c>
      <c r="O616" t="n">
        <v>115890.3674437038</v>
      </c>
      <c r="P616" t="n">
        <v>-206994.4579525643</v>
      </c>
      <c r="Q616">
        <f>'_live'!$C$22</f>
        <v/>
      </c>
      <c r="R616" t="inlineStr">
        <is>
          <t>shuffled: 1,424 of 10,000</t>
        </is>
      </c>
      <c r="S616" t="inlineStr">
        <is>
          <t>shuffled: 798 of 10,000</t>
        </is>
      </c>
      <c r="T616" t="n">
        <v>0.04115612793204331</v>
      </c>
      <c r="U616" t="n">
        <v>0.08753143239038953</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0.05780123061655459</v>
      </c>
      <c r="AI616">
        <f>IF($Y616="worse","Yes",IF($Y616="worse, not significant","Not sure",IF(OR($Y616="too few losses to test",$Y616="too few loans to test"),"Too few losses",IF($Y616="","","No"))))</f>
        <v/>
      </c>
      <c r="AJ616">
        <f>IF($AA616="yes","Yes",IF($AA616="","","No"))</f>
        <v/>
      </c>
      <c r="AK616" t="n">
        <v>0.007218484775917799</v>
      </c>
      <c r="AL616" t="n">
        <v>0.01045133895895535</v>
      </c>
      <c r="AM616">
        <f>IF(AND(ISNUMBER($AC616),ISNUMBER(IF($V616,IF($AL616="","",$AL616),IF($AK616="","",$AK616)))),IF(AND(ABS($AC616-significance_bar)&lt;=2.0*IF($V616,IF($AL616="","",$AL616),IF($AK616="","",$AK616)),OR($Y616="worse",$Y616="better",$Y616="worse, not significant",$Y616="better, not significant")),IF(ROUND($AC616,3)=ROUND(significance_bar,3),TEXT($AC616,"0.0000"),TEXT($AC616,"0.000")),""),"")</f>
        <v/>
      </c>
      <c r="AN616">
        <f>IF(AND(ISNUMBER($AC616),ISNUMBER(IF($V616,IF($AL616="","",$AL616),IF($AK616="","",$AK616)))),IF(AND(ABS($AC616-significance_bar)&lt;=2.0*IF($V616,IF($AL616="","",$AL616),IF($AK616="","",$AK616)),OR($Y616="worse",$Y616="worse, not significant")),IF(ROUND($AC616,3)=ROUND(significance_bar,3),TEXT($AC616,"0.0000"),TEXT($AC616,"0.000")),""),"")</f>
        <v/>
      </c>
      <c r="AO616">
        <f>IF(OR($AI616="",$AN616=""),$AI616,$AI616&amp;" · borderline (p "&amp;$AN616&amp;")")</f>
        <v/>
      </c>
    </row>
    <row r="617">
      <c r="A617" t="inlineStr">
        <is>
          <t>three-way</t>
        </is>
      </c>
      <c r="B617" t="inlineStr">
        <is>
          <t>FICO x ASSET_CLASS / SYS_FLAG</t>
        </is>
      </c>
      <c r="C617" t="inlineStr">
        <is>
          <t>496 - 653</t>
        </is>
      </c>
      <c r="D617" t="inlineStr">
        <is>
          <t>2 / SYS_FLAG N</t>
        </is>
      </c>
      <c r="E617" t="inlineStr">
        <is>
          <t>ranr_rate</t>
        </is>
      </c>
      <c r="F617" t="inlineStr">
        <is>
          <t>Profit after losses: RANR per booked dollar</t>
        </is>
      </c>
      <c r="G617" t="n">
        <v>213</v>
      </c>
      <c r="H617" t="n">
        <v>6962430.310000005</v>
      </c>
      <c r="I617" t="b">
        <v>0</v>
      </c>
      <c r="J617" t="b">
        <v>0</v>
      </c>
      <c r="K617" t="n">
        <v>0.08919977039728358</v>
      </c>
      <c r="L617" t="n">
        <v>0.0003768853883842385</v>
      </c>
      <c r="M617" t="n">
        <v>0.02852509241009099</v>
      </c>
      <c r="N617" t="n">
        <v>0.5135486451354865</v>
      </c>
      <c r="O617" t="n">
        <v>-621047.1850590884</v>
      </c>
      <c r="P617" t="n">
        <v>-198603.9679915686</v>
      </c>
      <c r="Q617">
        <f>'_live'!$C$23</f>
        <v/>
      </c>
      <c r="R617" t="inlineStr">
        <is>
          <t>shuffled: 0 of 10,000</t>
        </is>
      </c>
      <c r="S617" t="inlineStr">
        <is>
          <t>shuffled: 1,540 of 10,000</t>
        </is>
      </c>
      <c r="T617" t="n">
        <v>0.1255835284534303</v>
      </c>
      <c r="U617" t="n">
        <v>0.1862582064406229</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0.2147832988507138</v>
      </c>
      <c r="AI617">
        <f>IF($Y617="worse","Yes",IF($Y617="worse, not significant","Not sure",IF(OR($Y617="too few losses to test",$Y617="too few loans to test"),"Too few losses",IF($Y617="","","No"))))</f>
        <v/>
      </c>
      <c r="AJ617">
        <f>IF($AA617="yes","Yes",IF($AA617="","","No"))</f>
        <v/>
      </c>
      <c r="AK617" t="n">
        <v>0.0003768853883842385</v>
      </c>
      <c r="AL617" t="n">
        <v>0.01174573732684782</v>
      </c>
      <c r="AM617">
        <f>IF(AND(ISNUMBER($AC617),ISNUMBER(IF($V617,IF($AL617="","",$AL617),IF($AK617="","",$AK617)))),IF(AND(ABS($AC617-significance_bar)&lt;=2.0*IF($V617,IF($AL617="","",$AL617),IF($AK617="","",$AK617)),OR($Y617="worse",$Y617="better",$Y617="worse, not significant",$Y617="better, not significant",AND(profit_kind="test",$Y617="in line",ISNUMBER($AB617),$AB617&lt;&gt;0))),IF(ROUND($AC617,3)=ROUND(significance_bar,3),TEXT($AC617,"0.0000"),TEXT($AC617,"0.000")),""),"")</f>
        <v/>
      </c>
      <c r="AN617">
        <f>IF(AND(ISNUMBER($AC617),ISNUMBER(IF($V617,IF($AL617="","",$AL617),IF($AK617="","",$AK617)))),IF(AND(ABS($AC617-significance_bar)&lt;=2.0*IF($V617,IF($AL617="","",$AL617),IF($AK617="","",$AK617)),OR($Y617="worse",$Y617="worse, not significant",AND(profit_kind="test",$Y617="in line",ISNUMBER($AB617),$AB617&lt;0))),IF(ROUND($AC617,3)=ROUND(significance_bar,3),TEXT($AC617,"0.0000"),TEXT($AC617,"0.000")),""),"")</f>
        <v/>
      </c>
      <c r="AO617">
        <f>IF(OR($AI617="",$AN617=""),$AI617,$AI617&amp;" · borderline (p "&amp;$AN617&amp;")")</f>
        <v/>
      </c>
    </row>
    <row r="618">
      <c r="A618" t="inlineStr">
        <is>
          <t>three-way</t>
        </is>
      </c>
      <c r="B618" t="inlineStr">
        <is>
          <t>FICO x ASSET_CLASS / SYS_FLAG</t>
        </is>
      </c>
      <c r="C618" t="inlineStr">
        <is>
          <t>496 - 653</t>
        </is>
      </c>
      <c r="D618" t="inlineStr">
        <is>
          <t>2 / SYS_FLAG N</t>
        </is>
      </c>
      <c r="E618" t="inlineStr">
        <is>
          <t>contribution_rate</t>
        </is>
      </c>
      <c r="F618" t="inlineStr">
        <is>
          <t>Contribution before losses per booked dollar</t>
        </is>
      </c>
      <c r="G618" t="n">
        <v>213</v>
      </c>
      <c r="H618" t="n">
        <v>6962430.310000005</v>
      </c>
      <c r="I618" t="b">
        <v>0</v>
      </c>
      <c r="J618" t="b">
        <v>0</v>
      </c>
      <c r="K618" t="n">
        <v>0.1058481920025426</v>
      </c>
      <c r="L618" t="n">
        <v>0.0001814633351479667</v>
      </c>
      <c r="M618" t="n">
        <v>-0.001205109363743961</v>
      </c>
      <c r="N618" t="n">
        <v>0.9799190293736585</v>
      </c>
      <c r="O618" t="n">
        <v>-736960.660257203</v>
      </c>
      <c r="P618" t="n">
        <v>8390.489960995736</v>
      </c>
      <c r="Q618">
        <f>'_live'!$C$24</f>
        <v/>
      </c>
      <c r="R618" t="inlineStr">
        <is>
          <t>shuffled: 0 of 10,000</t>
        </is>
      </c>
      <c r="S618" t="inlineStr">
        <is>
          <t>shuffled: 9,128 of 10,000</t>
        </is>
      </c>
      <c r="T618" t="n">
        <v>0.1667363374647258</v>
      </c>
      <c r="U618" t="n">
        <v>0.2737896388310124</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0.2725845294672685</v>
      </c>
      <c r="AI618">
        <f>IF($Y618="worse","Yes",IF($Y618="worse, not significant","Not sure",IF(OR($Y618="too few losses to test",$Y618="too few loans to test"),"Too few losses",IF($Y618="","","No"))))</f>
        <v/>
      </c>
      <c r="AJ618">
        <f>IF($AA618="yes","Yes",IF($AA618="","","No"))</f>
        <v/>
      </c>
      <c r="AK618" t="n">
        <v>0.0001814633351479667</v>
      </c>
      <c r="AL618" t="n">
        <v>0.002013133534953629</v>
      </c>
      <c r="AM618">
        <f>IF(AND(ISNUMBER($AC618),ISNUMBER(IF($V618,IF($AL618="","",$AL618),IF($AK618="","",$AK618)))),IF(AND(ABS($AC618-significance_bar)&lt;=2.0*IF($V618,IF($AL618="","",$AL618),IF($AK618="","",$AK618)),OR($Y618="worse",$Y618="better",$Y618="worse, not significant",$Y618="better, not significant",AND(profit_kind="test",$Y618="in line",ISNUMBER($AB618),$AB618&lt;&gt;0))),IF(ROUND($AC618,3)=ROUND(significance_bar,3),TEXT($AC618,"0.0000"),TEXT($AC618,"0.000")),""),"")</f>
        <v/>
      </c>
      <c r="AN618">
        <f>IF(AND(ISNUMBER($AC618),ISNUMBER(IF($V618,IF($AL618="","",$AL618),IF($AK618="","",$AK618)))),IF(AND(ABS($AC618-significance_bar)&lt;=2.0*IF($V618,IF($AL618="","",$AL618),IF($AK618="","",$AK618)),OR($Y618="worse",$Y618="worse, not significant",AND(profit_kind="test",$Y618="in line",ISNUMBER($AB618),$AB618&lt;0))),IF(ROUND($AC618,3)=ROUND(significance_bar,3),TEXT($AC618,"0.0000"),TEXT($AC618,"0.000")),""),"")</f>
        <v/>
      </c>
      <c r="AO618">
        <f>IF(OR($AI618="",$AN618=""),$AI618,$AI618&amp;" · borderline (p "&amp;$AN618&amp;")")</f>
        <v/>
      </c>
    </row>
    <row r="619">
      <c r="A619" t="inlineStr">
        <is>
          <t>three-way</t>
        </is>
      </c>
      <c r="B619" t="inlineStr">
        <is>
          <t>FICO x ASSET_CLASS / SYS_FLAG</t>
        </is>
      </c>
      <c r="C619" t="inlineStr">
        <is>
          <t>712 - 745</t>
        </is>
      </c>
      <c r="D619" t="inlineStr">
        <is>
          <t>4 / SYS_FLAG Y</t>
        </is>
      </c>
      <c r="E619" t="inlineStr">
        <is>
          <t>outcome_loans</t>
        </is>
      </c>
      <c r="F619" t="inlineStr">
        <is>
          <t>Outcome, share of loans</t>
        </is>
      </c>
      <c r="G619" t="n">
        <v>207</v>
      </c>
      <c r="H619" t="n">
        <v>207</v>
      </c>
      <c r="I619" t="b">
        <v>0</v>
      </c>
      <c r="J619" t="b">
        <v>0</v>
      </c>
      <c r="K619" t="n">
        <v>1.387161249079536</v>
      </c>
      <c r="L619" t="n">
        <v>0.326876491628326</v>
      </c>
      <c r="M619" t="n">
        <v>2.295652173913044</v>
      </c>
      <c r="N619" t="n">
        <v>0.004739089900718166</v>
      </c>
      <c r="O619" t="n">
        <v>6.140272073921972</v>
      </c>
      <c r="P619" t="n">
        <v>12.41666666666667</v>
      </c>
      <c r="Q619">
        <f>'_live'!$C$20</f>
        <v/>
      </c>
      <c r="R619" t="inlineStr">
        <is>
          <t>z test</t>
        </is>
      </c>
      <c r="S619" t="inlineStr">
        <is>
          <t>z test</t>
        </is>
      </c>
      <c r="T619" t="n">
        <v>0.07661704312114989</v>
      </c>
      <c r="U619" t="n">
        <v>0.04629629629629629</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0.106280193236715</v>
      </c>
      <c r="AI619">
        <f>IF($Y619="worse","Yes",IF($Y619="worse, not significant","Not sure",IF(OR($Y619="too few losses to test",$Y619="too few loans to test"),"Too few losses",IF($Y619="","","No"))))</f>
        <v/>
      </c>
      <c r="AJ619">
        <f>IF($AA619="yes","Yes",IF($AA619="","","No"))</f>
        <v/>
      </c>
      <c r="AM619">
        <f>IF(AND(ISNUMBER($AC619),ISNUMBER(IF($V619,IF($AL619="","",$AL619),IF($AK619="","",$AK619)))),IF(AND(ABS($AC619-significance_bar)&lt;=2.0*IF($V619,IF($AL619="","",$AL619),IF($AK619="","",$AK619)),OR($Y619="worse",$Y619="better",$Y619="worse, not significant",$Y619="better, not significant")),IF(ROUND($AC619,3)=ROUND(significance_bar,3),TEXT($AC619,"0.0000"),TEXT($AC619,"0.000")),""),"")</f>
        <v/>
      </c>
      <c r="AN619">
        <f>IF(AND(ISNUMBER($AC619),ISNUMBER(IF($V619,IF($AL619="","",$AL619),IF($AK619="","",$AK619)))),IF(AND(ABS($AC619-significance_bar)&lt;=2.0*IF($V619,IF($AL619="","",$AL619),IF($AK619="","",$AK619)),OR($Y619="worse",$Y619="worse, not significant")),IF(ROUND($AC619,3)=ROUND(significance_bar,3),TEXT($AC619,"0.0000"),TEXT($AC619,"0.000")),""),"")</f>
        <v/>
      </c>
      <c r="AO619">
        <f>IF(OR($AI619="",$AN619=""),$AI619,$AI619&amp;" · borderline (p "&amp;$AN619&amp;")")</f>
        <v/>
      </c>
    </row>
    <row r="620">
      <c r="A620" t="inlineStr">
        <is>
          <t>three-way</t>
        </is>
      </c>
      <c r="B620" t="inlineStr">
        <is>
          <t>FICO x ASSET_CLASS / SYS_FLAG</t>
        </is>
      </c>
      <c r="C620" t="inlineStr">
        <is>
          <t>712 - 745</t>
        </is>
      </c>
      <c r="D620" t="inlineStr">
        <is>
          <t>4 / SYS_FLAG Y</t>
        </is>
      </c>
      <c r="E620" t="inlineStr">
        <is>
          <t>outcome_booked</t>
        </is>
      </c>
      <c r="F620" t="inlineStr">
        <is>
          <t>Outcome, share of booked dollars</t>
        </is>
      </c>
      <c r="G620" t="n">
        <v>207</v>
      </c>
      <c r="H620" t="n">
        <v>6426898.590000001</v>
      </c>
      <c r="I620" t="b">
        <v>0</v>
      </c>
      <c r="J620" t="b">
        <v>0</v>
      </c>
      <c r="K620" t="n">
        <v>1.65657105342369</v>
      </c>
      <c r="L620" t="n">
        <v>0.08102523081025231</v>
      </c>
      <c r="M620" t="n">
        <v>2.72140209594139</v>
      </c>
      <c r="N620" t="n">
        <v>0.003899610038996101</v>
      </c>
      <c r="O620" t="n">
        <v>310675.9061861583</v>
      </c>
      <c r="P620" t="n">
        <v>495821.6916107899</v>
      </c>
      <c r="Q620">
        <f>'_live'!$C$21</f>
        <v/>
      </c>
      <c r="R620" t="inlineStr">
        <is>
          <t>shuffled: 186 of 10,000</t>
        </is>
      </c>
      <c r="S620" t="inlineStr">
        <is>
          <t>shuffled: 2 of 10,000</t>
        </is>
      </c>
      <c r="T620" t="n">
        <v>0.07362484520139932</v>
      </c>
      <c r="U620" t="n">
        <v>0.04481689330486387</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0.1219647873734382</v>
      </c>
      <c r="AI620">
        <f>IF($Y620="worse","Yes",IF($Y620="worse, not significant","Not sure",IF(OR($Y620="too few losses to test",$Y620="too few loans to test"),"Too few losses",IF($Y620="","","No"))))</f>
        <v/>
      </c>
      <c r="AJ620">
        <f>IF($AA620="yes","Yes",IF($AA620="","","No"))</f>
        <v/>
      </c>
      <c r="AK620" t="n">
        <v>0.005869789140022311</v>
      </c>
      <c r="AL620" t="n">
        <v>0.00225121575040006</v>
      </c>
      <c r="AM620">
        <f>IF(AND(ISNUMBER($AC620),ISNUMBER(IF($V620,IF($AL620="","",$AL620),IF($AK620="","",$AK620)))),IF(AND(ABS($AC620-significance_bar)&lt;=2.0*IF($V620,IF($AL620="","",$AL620),IF($AK620="","",$AK620)),OR($Y620="worse",$Y620="better",$Y620="worse, not significant",$Y620="better, not significant")),IF(ROUND($AC620,3)=ROUND(significance_bar,3),TEXT($AC620,"0.0000"),TEXT($AC620,"0.000")),""),"")</f>
        <v/>
      </c>
      <c r="AN620">
        <f>IF(AND(ISNUMBER($AC620),ISNUMBER(IF($V620,IF($AL620="","",$AL620),IF($AK620="","",$AK620)))),IF(AND(ABS($AC620-significance_bar)&lt;=2.0*IF($V620,IF($AL620="","",$AL620),IF($AK620="","",$AK620)),OR($Y620="worse",$Y620="worse, not significant")),IF(ROUND($AC620,3)=ROUND(significance_bar,3),TEXT($AC620,"0.0000"),TEXT($AC620,"0.000")),""),"")</f>
        <v/>
      </c>
      <c r="AO620">
        <f>IF(OR($AI620="",$AN620=""),$AI620,$AI620&amp;" · borderline (p "&amp;$AN620&amp;")")</f>
        <v/>
      </c>
    </row>
    <row r="621">
      <c r="A621" t="inlineStr">
        <is>
          <t>three-way</t>
        </is>
      </c>
      <c r="B621" t="inlineStr">
        <is>
          <t>FICO x ASSET_CLASS / SYS_FLAG</t>
        </is>
      </c>
      <c r="C621" t="inlineStr">
        <is>
          <t>712 - 745</t>
        </is>
      </c>
      <c r="D621" t="inlineStr">
        <is>
          <t>4 / SYS_FLAG Y</t>
        </is>
      </c>
      <c r="E621" t="inlineStr">
        <is>
          <t>gco_rate</t>
        </is>
      </c>
      <c r="F621" t="inlineStr">
        <is>
          <t>GCO per booked dollar</t>
        </is>
      </c>
      <c r="G621" t="n">
        <v>207</v>
      </c>
      <c r="H621" t="n">
        <v>6426898.590000001</v>
      </c>
      <c r="I621" t="b">
        <v>0</v>
      </c>
      <c r="J621" t="b">
        <v>0</v>
      </c>
      <c r="K621" t="n">
        <v>1.616519543444738</v>
      </c>
      <c r="L621" t="n">
        <v>0.1356197713561977</v>
      </c>
      <c r="M621" t="n">
        <v>2.640529538365585</v>
      </c>
      <c r="N621" t="n">
        <v>0.005199480051994801</v>
      </c>
      <c r="O621" t="n">
        <v>162359.6926434017</v>
      </c>
      <c r="P621" t="n">
        <v>264487.6246379291</v>
      </c>
      <c r="Q621">
        <f>'_live'!$C$22</f>
        <v/>
      </c>
      <c r="R621" t="inlineStr">
        <is>
          <t>shuffled: 312 of 10,000</t>
        </is>
      </c>
      <c r="S621" t="inlineStr">
        <is>
          <t>shuffled: 3 of 10,000</t>
        </is>
      </c>
      <c r="T621" t="n">
        <v>0.04097603434514413</v>
      </c>
      <c r="U621" t="n">
        <v>0.02508533207804527</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0.06623856033178828</v>
      </c>
      <c r="AI621">
        <f>IF($Y621="worse","Yes",IF($Y621="worse, not significant","Not sure",IF(OR($Y621="too few losses to test",$Y621="too few loans to test"),"Too few losses",IF($Y621="","","No"))))</f>
        <v/>
      </c>
      <c r="AJ621">
        <f>IF($AA621="yes","Yes",IF($AA621="","","No"))</f>
        <v/>
      </c>
      <c r="AK621" t="n">
        <v>0.007545150452404177</v>
      </c>
      <c r="AL621" t="n">
        <v>0.002599350035742038</v>
      </c>
      <c r="AM621">
        <f>IF(AND(ISNUMBER($AC621),ISNUMBER(IF($V621,IF($AL621="","",$AL621),IF($AK621="","",$AK621)))),IF(AND(ABS($AC621-significance_bar)&lt;=2.0*IF($V621,IF($AL621="","",$AL621),IF($AK621="","",$AK621)),OR($Y621="worse",$Y621="better",$Y621="worse, not significant",$Y621="better, not significant")),IF(ROUND($AC621,3)=ROUND(significance_bar,3),TEXT($AC621,"0.0000"),TEXT($AC621,"0.000")),""),"")</f>
        <v/>
      </c>
      <c r="AN621">
        <f>IF(AND(ISNUMBER($AC621),ISNUMBER(IF($V621,IF($AL621="","",$AL621),IF($AK621="","",$AK621)))),IF(AND(ABS($AC621-significance_bar)&lt;=2.0*IF($V621,IF($AL621="","",$AL621),IF($AK621="","",$AK621)),OR($Y621="worse",$Y621="worse, not significant")),IF(ROUND($AC621,3)=ROUND(significance_bar,3),TEXT($AC621,"0.0000"),TEXT($AC621,"0.000")),""),"")</f>
        <v/>
      </c>
      <c r="AO621">
        <f>IF(OR($AI621="",$AN621=""),$AI621,$AI621&amp;" · borderline (p "&amp;$AN621&amp;")")</f>
        <v/>
      </c>
    </row>
    <row r="622">
      <c r="A622" t="inlineStr">
        <is>
          <t>three-way</t>
        </is>
      </c>
      <c r="B622" t="inlineStr">
        <is>
          <t>FICO x ASSET_CLASS / SYS_FLAG</t>
        </is>
      </c>
      <c r="C622" t="inlineStr">
        <is>
          <t>712 - 745</t>
        </is>
      </c>
      <c r="D622" t="inlineStr">
        <is>
          <t>4 / SYS_FLAG Y</t>
        </is>
      </c>
      <c r="E622" t="inlineStr">
        <is>
          <t>ranr_rate</t>
        </is>
      </c>
      <c r="F622" t="inlineStr">
        <is>
          <t>Profit after losses: RANR per booked dollar</t>
        </is>
      </c>
      <c r="G622" t="n">
        <v>207</v>
      </c>
      <c r="H622" t="n">
        <v>6426898.590000001</v>
      </c>
      <c r="I622" t="b">
        <v>0</v>
      </c>
      <c r="J622" t="b">
        <v>0</v>
      </c>
      <c r="K622" t="n">
        <v>-0.05312022076342129</v>
      </c>
      <c r="L622" t="n">
        <v>0.001224877512248775</v>
      </c>
      <c r="M622" t="n">
        <v>-0.02262087151228015</v>
      </c>
      <c r="N622" t="n">
        <v>0.3162883711628837</v>
      </c>
      <c r="O622" t="n">
        <v>341398.2719249211</v>
      </c>
      <c r="P622" t="n">
        <v>145382.0472268445</v>
      </c>
      <c r="Q622">
        <f>'_live'!$C$23</f>
        <v/>
      </c>
      <c r="R622" t="inlineStr">
        <is>
          <t>shuffled: 3 of 10,000</t>
        </is>
      </c>
      <c r="S622" t="inlineStr">
        <is>
          <t>shuffled: 640 of 10,000</t>
        </is>
      </c>
      <c r="T622" t="n">
        <v>0.1293129478062795</v>
      </c>
      <c r="U622" t="n">
        <v>0.09881359855513835</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0.0761927270428582</v>
      </c>
      <c r="AI622">
        <f>IF($Y622="worse","Yes",IF($Y622="worse, not significant","Not sure",IF(OR($Y622="too few losses to test",$Y622="too few loans to test"),"Too few losses",IF($Y622="","","No"))))</f>
        <v/>
      </c>
      <c r="AJ622">
        <f>IF($AA622="yes","Yes",IF($AA622="","","No"))</f>
        <v/>
      </c>
      <c r="AK622" t="n">
        <v>0.0006123468834199992</v>
      </c>
      <c r="AL622" t="n">
        <v>0.01190859289693359</v>
      </c>
      <c r="AM622">
        <f>IF(AND(ISNUMBER($AC622),ISNUMBER(IF($V622,IF($AL622="","",$AL622),IF($AK622="","",$AK622)))),IF(AND(ABS($AC622-significance_bar)&lt;=2.0*IF($V622,IF($AL622="","",$AL622),IF($AK622="","",$AK622)),OR($Y622="worse",$Y622="better",$Y622="worse, not significant",$Y622="better, not significant",AND(profit_kind="test",$Y622="in line",ISNUMBER($AB622),$AB622&lt;&gt;0))),IF(ROUND($AC622,3)=ROUND(significance_bar,3),TEXT($AC622,"0.0000"),TEXT($AC622,"0.000")),""),"")</f>
        <v/>
      </c>
      <c r="AN622">
        <f>IF(AND(ISNUMBER($AC622),ISNUMBER(IF($V622,IF($AL622="","",$AL622),IF($AK622="","",$AK622)))),IF(AND(ABS($AC622-significance_bar)&lt;=2.0*IF($V622,IF($AL622="","",$AL622),IF($AK622="","",$AK622)),OR($Y622="worse",$Y622="worse, not significant",AND(profit_kind="test",$Y622="in line",ISNUMBER($AB622),$AB622&lt;0))),IF(ROUND($AC622,3)=ROUND(significance_bar,3),TEXT($AC622,"0.0000"),TEXT($AC622,"0.000")),""),"")</f>
        <v/>
      </c>
      <c r="AO622">
        <f>IF(OR($AI622="",$AN622=""),$AI622,$AI622&amp;" · borderline (p "&amp;$AN622&amp;")")</f>
        <v/>
      </c>
    </row>
    <row r="623">
      <c r="A623" t="inlineStr">
        <is>
          <t>three-way</t>
        </is>
      </c>
      <c r="B623" t="inlineStr">
        <is>
          <t>FICO x ASSET_CLASS / SYS_FLAG</t>
        </is>
      </c>
      <c r="C623" t="inlineStr">
        <is>
          <t>712 - 745</t>
        </is>
      </c>
      <c r="D623" t="inlineStr">
        <is>
          <t>4 / SYS_FLAG Y</t>
        </is>
      </c>
      <c r="E623" t="inlineStr">
        <is>
          <t>contribution_rate</t>
        </is>
      </c>
      <c r="F623" t="inlineStr">
        <is>
          <t>Contribution before losses per booked dollar</t>
        </is>
      </c>
      <c r="G623" t="n">
        <v>207</v>
      </c>
      <c r="H623" t="n">
        <v>6426898.590000001</v>
      </c>
      <c r="I623" t="b">
        <v>0</v>
      </c>
      <c r="J623" t="b">
        <v>0</v>
      </c>
      <c r="K623" t="n">
        <v>-0.02785497115078128</v>
      </c>
      <c r="L623" t="n">
        <v>0.005531704894026727</v>
      </c>
      <c r="M623" t="n">
        <v>0.01857481570470183</v>
      </c>
      <c r="N623" t="n">
        <v>0.05759424057594241</v>
      </c>
      <c r="O623" t="n">
        <v>179021.074813447</v>
      </c>
      <c r="P623" t="n">
        <v>-119378.456862058</v>
      </c>
      <c r="Q623">
        <f>'_live'!$C$24</f>
        <v/>
      </c>
      <c r="R623" t="inlineStr">
        <is>
          <t>shuffled: 34 of 10,000</t>
        </is>
      </c>
      <c r="S623" t="inlineStr">
        <is>
          <t>shuffled: 11 of 10,000</t>
        </is>
      </c>
      <c r="T623" t="n">
        <v>0.1702862585254277</v>
      </c>
      <c r="U623" t="n">
        <v>0.1238564716699446</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0.1424312873746464</v>
      </c>
      <c r="AI623">
        <f>IF($Y623="worse","Yes",IF($Y623="worse, not significant","Not sure",IF(OR($Y623="too few losses to test",$Y623="too few loans to test"),"Too few losses",IF($Y623="","","No"))))</f>
        <v/>
      </c>
      <c r="AJ623">
        <f>IF($AA623="yes","Yes",IF($AA623="","","No"))</f>
        <v/>
      </c>
      <c r="AK623" t="n">
        <v>0.0009334378830642531</v>
      </c>
      <c r="AL623" t="n">
        <v>0.01661687832024329</v>
      </c>
      <c r="AM623">
        <f>IF(AND(ISNUMBER($AC623),ISNUMBER(IF($V623,IF($AL623="","",$AL623),IF($AK623="","",$AK623)))),IF(AND(ABS($AC623-significance_bar)&lt;=2.0*IF($V623,IF($AL623="","",$AL623),IF($AK623="","",$AK623)),OR($Y623="worse",$Y623="better",$Y623="worse, not significant",$Y623="better, not significant",AND(profit_kind="test",$Y623="in line",ISNUMBER($AB623),$AB623&lt;&gt;0))),IF(ROUND($AC623,3)=ROUND(significance_bar,3),TEXT($AC623,"0.0000"),TEXT($AC623,"0.000")),""),"")</f>
        <v/>
      </c>
      <c r="AN623">
        <f>IF(AND(ISNUMBER($AC623),ISNUMBER(IF($V623,IF($AL623="","",$AL623),IF($AK623="","",$AK623)))),IF(AND(ABS($AC623-significance_bar)&lt;=2.0*IF($V623,IF($AL623="","",$AL623),IF($AK623="","",$AK623)),OR($Y623="worse",$Y623="worse, not significant",AND(profit_kind="test",$Y623="in line",ISNUMBER($AB623),$AB623&lt;0))),IF(ROUND($AC623,3)=ROUND(significance_bar,3),TEXT($AC623,"0.0000"),TEXT($AC623,"0.000")),""),"")</f>
        <v/>
      </c>
      <c r="AO623">
        <f>IF(OR($AI623="",$AN623=""),$AI623,$AI623&amp;" · borderline (p "&amp;$AN623&amp;")")</f>
        <v/>
      </c>
    </row>
    <row r="624">
      <c r="A624" t="inlineStr">
        <is>
          <t>three-way</t>
        </is>
      </c>
      <c r="B624" t="inlineStr">
        <is>
          <t>FICO x ASSET_CLASS / SYS_FLAG</t>
        </is>
      </c>
      <c r="C624" t="inlineStr">
        <is>
          <t>746 - 921</t>
        </is>
      </c>
      <c r="D624" t="inlineStr">
        <is>
          <t>2 / SYS_FLAG Y</t>
        </is>
      </c>
      <c r="E624" t="inlineStr">
        <is>
          <t>outcome_loans</t>
        </is>
      </c>
      <c r="F624" t="inlineStr">
        <is>
          <t>Outcome, share of loans</t>
        </is>
      </c>
      <c r="G624" t="n">
        <v>180</v>
      </c>
      <c r="H624" t="n">
        <v>180</v>
      </c>
      <c r="I624" t="b">
        <v>1</v>
      </c>
      <c r="J624" t="b">
        <v>0</v>
      </c>
      <c r="K624" t="n">
        <v>0.6409016393442624</v>
      </c>
      <c r="M624" t="n">
        <v>1.312264150943396</v>
      </c>
      <c r="O624" t="n">
        <v>-5.042716459905359</v>
      </c>
      <c r="P624" t="n">
        <v>2.141624730409777</v>
      </c>
      <c r="Q624">
        <f>'_live'!$C$20</f>
        <v/>
      </c>
      <c r="T624" t="n">
        <v>0.07801509144391866</v>
      </c>
      <c r="U624" t="n">
        <v>0.03810208483105679</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0.05</v>
      </c>
      <c r="AI624">
        <f>IF($Y624="worse","Yes",IF($Y624="worse, not significant","Not sure",IF(OR($Y624="too few losses to test",$Y624="too few loans to test"),"Too few losses",IF($Y624="","","No"))))</f>
        <v/>
      </c>
      <c r="AJ624">
        <f>IF($AA624="yes","Yes",IF($AA624="","","No"))</f>
        <v/>
      </c>
      <c r="AM624">
        <f>IF(AND(ISNUMBER($AC624),ISNUMBER(IF($V624,IF($AL624="","",$AL624),IF($AK624="","",$AK624)))),IF(AND(ABS($AC624-significance_bar)&lt;=2.0*IF($V624,IF($AL624="","",$AL624),IF($AK624="","",$AK624)),OR($Y624="worse",$Y624="better",$Y624="worse, not significant",$Y624="better, not significant")),IF(ROUND($AC624,3)=ROUND(significance_bar,3),TEXT($AC624,"0.0000"),TEXT($AC624,"0.000")),""),"")</f>
        <v/>
      </c>
      <c r="AN624">
        <f>IF(AND(ISNUMBER($AC624),ISNUMBER(IF($V624,IF($AL624="","",$AL624),IF($AK624="","",$AK624)))),IF(AND(ABS($AC624-significance_bar)&lt;=2.0*IF($V624,IF($AL624="","",$AL624),IF($AK624="","",$AK624)),OR($Y624="worse",$Y624="worse, not significant")),IF(ROUND($AC624,3)=ROUND(significance_bar,3),TEXT($AC624,"0.0000"),TEXT($AC624,"0.000")),""),"")</f>
        <v/>
      </c>
      <c r="AO624">
        <f>IF(OR($AI624="",$AN624=""),$AI624,$AI624&amp;" · borderline (p "&amp;$AN624&amp;")")</f>
        <v/>
      </c>
    </row>
    <row r="625">
      <c r="A625" t="inlineStr">
        <is>
          <t>three-way</t>
        </is>
      </c>
      <c r="B625" t="inlineStr">
        <is>
          <t>FICO x ASSET_CLASS / SYS_FLAG</t>
        </is>
      </c>
      <c r="C625" t="inlineStr">
        <is>
          <t>746 - 921</t>
        </is>
      </c>
      <c r="D625" t="inlineStr">
        <is>
          <t>2 / SYS_FLAG Y</t>
        </is>
      </c>
      <c r="E625" t="inlineStr">
        <is>
          <t>outcome_booked</t>
        </is>
      </c>
      <c r="F625" t="inlineStr">
        <is>
          <t>Outcome, share of booked dollars</t>
        </is>
      </c>
      <c r="G625" t="n">
        <v>180</v>
      </c>
      <c r="H625" t="n">
        <v>6130342.099999999</v>
      </c>
      <c r="I625" t="b">
        <v>1</v>
      </c>
      <c r="J625" t="b">
        <v>0</v>
      </c>
      <c r="K625" t="n">
        <v>0.7961012775762227</v>
      </c>
      <c r="M625" t="n">
        <v>1.778960896880257</v>
      </c>
      <c r="O625" t="n">
        <v>-93989.06674917461</v>
      </c>
      <c r="P625" t="n">
        <v>160686.8764287613</v>
      </c>
      <c r="Q625">
        <f>'_live'!$C$21</f>
        <v/>
      </c>
      <c r="T625" t="n">
        <v>0.07519312286816338</v>
      </c>
      <c r="U625" t="n">
        <v>0.03364961044690128</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0.05986134118029075</v>
      </c>
      <c r="AI625">
        <f>IF($Y625="worse","Yes",IF($Y625="worse, not significant","Not sure",IF(OR($Y625="too few losses to test",$Y625="too few loans to test"),"Too few losses",IF($Y625="","","No"))))</f>
        <v/>
      </c>
      <c r="AJ625">
        <f>IF($AA625="yes","Yes",IF($AA625="","","No"))</f>
        <v/>
      </c>
      <c r="AM625">
        <f>IF(AND(ISNUMBER($AC625),ISNUMBER(IF($V625,IF($AL625="","",$AL625),IF($AK625="","",$AK625)))),IF(AND(ABS($AC625-significance_bar)&lt;=2.0*IF($V625,IF($AL625="","",$AL625),IF($AK625="","",$AK625)),OR($Y625="worse",$Y625="better",$Y625="worse, not significant",$Y625="better, not significant")),IF(ROUND($AC625,3)=ROUND(significance_bar,3),TEXT($AC625,"0.0000"),TEXT($AC625,"0.000")),""),"")</f>
        <v/>
      </c>
      <c r="AN625">
        <f>IF(AND(ISNUMBER($AC625),ISNUMBER(IF($V625,IF($AL625="","",$AL625),IF($AK625="","",$AK625)))),IF(AND(ABS($AC625-significance_bar)&lt;=2.0*IF($V625,IF($AL625="","",$AL625),IF($AK625="","",$AK625)),OR($Y625="worse",$Y625="worse, not significant")),IF(ROUND($AC625,3)=ROUND(significance_bar,3),TEXT($AC625,"0.0000"),TEXT($AC625,"0.000")),""),"")</f>
        <v/>
      </c>
      <c r="AO625">
        <f>IF(OR($AI625="",$AN625=""),$AI625,$AI625&amp;" · borderline (p "&amp;$AN625&amp;")")</f>
        <v/>
      </c>
    </row>
    <row r="626">
      <c r="A626" t="inlineStr">
        <is>
          <t>three-way</t>
        </is>
      </c>
      <c r="B626" t="inlineStr">
        <is>
          <t>FICO x ASSET_CLASS / SYS_FLAG</t>
        </is>
      </c>
      <c r="C626" t="inlineStr">
        <is>
          <t>746 - 921</t>
        </is>
      </c>
      <c r="D626" t="inlineStr">
        <is>
          <t>2 / SYS_FLAG Y</t>
        </is>
      </c>
      <c r="E626" t="inlineStr">
        <is>
          <t>gco_rate</t>
        </is>
      </c>
      <c r="F626" t="inlineStr">
        <is>
          <t>GCO per booked dollar</t>
        </is>
      </c>
      <c r="G626" t="n">
        <v>180</v>
      </c>
      <c r="H626" t="n">
        <v>6130342.099999999</v>
      </c>
      <c r="I626" t="b">
        <v>1</v>
      </c>
      <c r="J626" t="b">
        <v>0</v>
      </c>
      <c r="K626" t="n">
        <v>0.7237603325906905</v>
      </c>
      <c r="M626" t="n">
        <v>1.693093981049138</v>
      </c>
      <c r="O626" t="n">
        <v>-70921.63183546357</v>
      </c>
      <c r="P626" t="n">
        <v>76067.39010295589</v>
      </c>
      <c r="Q626">
        <f>'_live'!$C$22</f>
        <v/>
      </c>
      <c r="T626" t="n">
        <v>0.04188012473813878</v>
      </c>
      <c r="U626" t="n">
        <v>0.01790282958222578</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0.03031117300941493</v>
      </c>
      <c r="AI626">
        <f>IF($Y626="worse","Yes",IF($Y626="worse, not significant","Not sure",IF(OR($Y626="too few losses to test",$Y626="too few loans to test"),"Too few losses",IF($Y626="","","No"))))</f>
        <v/>
      </c>
      <c r="AJ626">
        <f>IF($AA626="yes","Yes",IF($AA626="","","No"))</f>
        <v/>
      </c>
      <c r="AM626">
        <f>IF(AND(ISNUMBER($AC626),ISNUMBER(IF($V626,IF($AL626="","",$AL626),IF($AK626="","",$AK626)))),IF(AND(ABS($AC626-significance_bar)&lt;=2.0*IF($V626,IF($AL626="","",$AL626),IF($AK626="","",$AK626)),OR($Y626="worse",$Y626="better",$Y626="worse, not significant",$Y626="better, not significant")),IF(ROUND($AC626,3)=ROUND(significance_bar,3),TEXT($AC626,"0.0000"),TEXT($AC626,"0.000")),""),"")</f>
        <v/>
      </c>
      <c r="AN626">
        <f>IF(AND(ISNUMBER($AC626),ISNUMBER(IF($V626,IF($AL626="","",$AL626),IF($AK626="","",$AK626)))),IF(AND(ABS($AC626-significance_bar)&lt;=2.0*IF($V626,IF($AL626="","",$AL626),IF($AK626="","",$AK626)),OR($Y626="worse",$Y626="worse, not significant")),IF(ROUND($AC626,3)=ROUND(significance_bar,3),TEXT($AC626,"0.0000"),TEXT($AC626,"0.000")),""),"")</f>
        <v/>
      </c>
      <c r="AO626">
        <f>IF(OR($AI626="",$AN626=""),$AI626,$AI626&amp;" · borderline (p "&amp;$AN626&amp;")")</f>
        <v/>
      </c>
    </row>
    <row r="627">
      <c r="A627" t="inlineStr">
        <is>
          <t>three-way</t>
        </is>
      </c>
      <c r="B627" t="inlineStr">
        <is>
          <t>FICO x ASSET_CLASS / SYS_FLAG</t>
        </is>
      </c>
      <c r="C627" t="inlineStr">
        <is>
          <t>746 - 921</t>
        </is>
      </c>
      <c r="D627" t="inlineStr">
        <is>
          <t>2 / SYS_FLAG Y</t>
        </is>
      </c>
      <c r="E627" t="inlineStr">
        <is>
          <t>ranr_rate</t>
        </is>
      </c>
      <c r="F627" t="inlineStr">
        <is>
          <t>Profit after losses: RANR per booked dollar</t>
        </is>
      </c>
      <c r="G627" t="n">
        <v>180</v>
      </c>
      <c r="H627" t="n">
        <v>6130342.099999999</v>
      </c>
      <c r="I627" t="b">
        <v>0</v>
      </c>
      <c r="J627" t="b">
        <v>0</v>
      </c>
      <c r="K627" t="n">
        <v>-0.09966982769516541</v>
      </c>
      <c r="L627" t="n">
        <v>0.0003768853883842385</v>
      </c>
      <c r="M627" t="n">
        <v>-0.01827260138020524</v>
      </c>
      <c r="N627" t="n">
        <v>0.2831716828317168</v>
      </c>
      <c r="O627" t="n">
        <v>611010.1408194185</v>
      </c>
      <c r="P627" t="n">
        <v>112017.2975175903</v>
      </c>
      <c r="Q627">
        <f>'_live'!$C$23</f>
        <v/>
      </c>
      <c r="R627" t="inlineStr">
        <is>
          <t>shuffled: 0 of 10,000</t>
        </is>
      </c>
      <c r="S627" t="inlineStr">
        <is>
          <t>shuffled: 412 of 10,000</t>
        </is>
      </c>
      <c r="T627" t="n">
        <v>0.1303576778887134</v>
      </c>
      <c r="U627" t="n">
        <v>0.04896045157375318</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0.03068785019354794</v>
      </c>
      <c r="AI627">
        <f>IF($Y627="worse","Yes",IF($Y627="worse, not significant","Not sure",IF(OR($Y627="too few losses to test",$Y627="too few loans to test"),"Too few losses",IF($Y627="","","No"))))</f>
        <v/>
      </c>
      <c r="AJ627">
        <f>IF($AA627="yes","Yes",IF($AA627="","","No"))</f>
        <v/>
      </c>
      <c r="AK627" t="n">
        <v>0.0003768853883842385</v>
      </c>
      <c r="AL627" t="n">
        <v>0.01364390882524829</v>
      </c>
      <c r="AM627">
        <f>IF(AND(ISNUMBER($AC627),ISNUMBER(IF($V627,IF($AL627="","",$AL627),IF($AK627="","",$AK627)))),IF(AND(ABS($AC627-significance_bar)&lt;=2.0*IF($V627,IF($AL627="","",$AL627),IF($AK627="","",$AK627)),OR($Y627="worse",$Y627="better",$Y627="worse, not significant",$Y627="better, not significant",AND(profit_kind="test",$Y627="in line",ISNUMBER($AB627),$AB627&lt;&gt;0))),IF(ROUND($AC627,3)=ROUND(significance_bar,3),TEXT($AC627,"0.0000"),TEXT($AC627,"0.000")),""),"")</f>
        <v/>
      </c>
      <c r="AN627">
        <f>IF(AND(ISNUMBER($AC627),ISNUMBER(IF($V627,IF($AL627="","",$AL627),IF($AK627="","",$AK627)))),IF(AND(ABS($AC627-significance_bar)&lt;=2.0*IF($V627,IF($AL627="","",$AL627),IF($AK627="","",$AK627)),OR($Y627="worse",$Y627="worse, not significant",AND(profit_kind="test",$Y627="in line",ISNUMBER($AB627),$AB627&lt;0))),IF(ROUND($AC627,3)=ROUND(significance_bar,3),TEXT($AC627,"0.0000"),TEXT($AC627,"0.000")),""),"")</f>
        <v/>
      </c>
      <c r="AO627">
        <f>IF(OR($AI627="",$AN627=""),$AI627,$AI627&amp;" · borderline (p "&amp;$AN627&amp;")")</f>
        <v/>
      </c>
    </row>
    <row r="628">
      <c r="A628" t="inlineStr">
        <is>
          <t>three-way</t>
        </is>
      </c>
      <c r="B628" t="inlineStr">
        <is>
          <t>FICO x ASSET_CLASS / SYS_FLAG</t>
        </is>
      </c>
      <c r="C628" t="inlineStr">
        <is>
          <t>746 - 921</t>
        </is>
      </c>
      <c r="D628" t="inlineStr">
        <is>
          <t>2 / SYS_FLAG Y</t>
        </is>
      </c>
      <c r="E628" t="inlineStr">
        <is>
          <t>contribution_rate</t>
        </is>
      </c>
      <c r="F628" t="inlineStr">
        <is>
          <t>Contribution before losses per booked dollar</t>
        </is>
      </c>
      <c r="G628" t="n">
        <v>180</v>
      </c>
      <c r="H628" t="n">
        <v>6130342.099999999</v>
      </c>
      <c r="I628" t="b">
        <v>0</v>
      </c>
      <c r="J628" t="b">
        <v>0</v>
      </c>
      <c r="K628" t="n">
        <v>-0.1112362235926213</v>
      </c>
      <c r="L628" t="n">
        <v>0.0001814633351479667</v>
      </c>
      <c r="M628" t="n">
        <v>-0.005864257953016087</v>
      </c>
      <c r="N628" t="n">
        <v>0.3827617238276173</v>
      </c>
      <c r="O628" t="n">
        <v>681916.1045348593</v>
      </c>
      <c r="P628" t="n">
        <v>35949.90741463436</v>
      </c>
      <c r="Q628">
        <f>'_live'!$C$24</f>
        <v/>
      </c>
      <c r="R628" t="inlineStr">
        <is>
          <t>shuffled: 0 of 10,000</t>
        </is>
      </c>
      <c r="S628" t="inlineStr">
        <is>
          <t>shuffled: 318 of 10,000</t>
        </is>
      </c>
      <c r="T628" t="n">
        <v>0.1722352467955842</v>
      </c>
      <c r="U628" t="n">
        <v>0.06686328115597896</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0.06099902320296288</v>
      </c>
      <c r="AI628">
        <f>IF($Y628="worse","Yes",IF($Y628="worse, not significant","Not sure",IF(OR($Y628="too few losses to test",$Y628="too few loans to test"),"Too few losses",IF($Y628="","","No"))))</f>
        <v/>
      </c>
      <c r="AJ628">
        <f>IF($AA628="yes","Yes",IF($AA628="","","No"))</f>
        <v/>
      </c>
      <c r="AK628" t="n">
        <v>0.0001814633351479667</v>
      </c>
      <c r="AL628" t="n">
        <v>0.02108704376792517</v>
      </c>
      <c r="AM628">
        <f>IF(AND(ISNUMBER($AC628),ISNUMBER(IF($V628,IF($AL628="","",$AL628),IF($AK628="","",$AK628)))),IF(AND(ABS($AC628-significance_bar)&lt;=2.0*IF($V628,IF($AL628="","",$AL628),IF($AK628="","",$AK628)),OR($Y628="worse",$Y628="better",$Y628="worse, not significant",$Y628="better, not significant",AND(profit_kind="test",$Y628="in line",ISNUMBER($AB628),$AB628&lt;&gt;0))),IF(ROUND($AC628,3)=ROUND(significance_bar,3),TEXT($AC628,"0.0000"),TEXT($AC628,"0.000")),""),"")</f>
        <v/>
      </c>
      <c r="AN628">
        <f>IF(AND(ISNUMBER($AC628),ISNUMBER(IF($V628,IF($AL628="","",$AL628),IF($AK628="","",$AK628)))),IF(AND(ABS($AC628-significance_bar)&lt;=2.0*IF($V628,IF($AL628="","",$AL628),IF($AK628="","",$AK628)),OR($Y628="worse",$Y628="worse, not significant",AND(profit_kind="test",$Y628="in line",ISNUMBER($AB628),$AB628&lt;0))),IF(ROUND($AC628,3)=ROUND(significance_bar,3),TEXT($AC628,"0.0000"),TEXT($AC628,"0.000")),""),"")</f>
        <v/>
      </c>
      <c r="AO628">
        <f>IF(OR($AI628="",$AN628=""),$AI628,$AI628&amp;" · borderline (p "&amp;$AN628&amp;")")</f>
        <v/>
      </c>
    </row>
    <row r="629">
      <c r="A629" t="inlineStr">
        <is>
          <t>three-way</t>
        </is>
      </c>
      <c r="B629" t="inlineStr">
        <is>
          <t>FICO x ASSET_CLASS / SYS_FLAG</t>
        </is>
      </c>
      <c r="C629" t="inlineStr">
        <is>
          <t>496 - 653</t>
        </is>
      </c>
      <c r="D629" t="inlineStr">
        <is>
          <t>1 / SYS_FLAG N</t>
        </is>
      </c>
      <c r="E629" t="inlineStr">
        <is>
          <t>outcome_loans</t>
        </is>
      </c>
      <c r="F629" t="inlineStr">
        <is>
          <t>Outcome, share of loans</t>
        </is>
      </c>
      <c r="G629" t="n">
        <v>234</v>
      </c>
      <c r="H629" t="n">
        <v>234</v>
      </c>
      <c r="I629" t="b">
        <v>0</v>
      </c>
      <c r="J629" t="b">
        <v>0</v>
      </c>
      <c r="K629" t="n">
        <v>1.050819088319088</v>
      </c>
      <c r="L629" t="n">
        <v>0.8576970718697251</v>
      </c>
      <c r="M629" t="n">
        <v>0.4988869012124826</v>
      </c>
      <c r="N629" t="n">
        <v>0.008444923799612548</v>
      </c>
      <c r="O629" t="n">
        <v>0.918866709594333</v>
      </c>
      <c r="P629" t="n">
        <v>-19.08478425435276</v>
      </c>
      <c r="Q629">
        <f>'_live'!$C$20</f>
        <v/>
      </c>
      <c r="R629" t="inlineStr">
        <is>
          <t>z test</t>
        </is>
      </c>
      <c r="S629" t="inlineStr">
        <is>
          <t>z test</t>
        </is>
      </c>
      <c r="T629" t="n">
        <v>0.07726980038634901</v>
      </c>
      <c r="U629" t="n">
        <v>0.1627554882664648</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0.0811965811965812</v>
      </c>
      <c r="AI629">
        <f>IF($Y629="worse","Yes",IF($Y629="worse, not significant","Not sure",IF(OR($Y629="too few losses to test",$Y629="too few loans to test"),"Too few losses",IF($Y629="","","No"))))</f>
        <v/>
      </c>
      <c r="AJ629">
        <f>IF($AA629="yes","Yes",IF($AA629="","","No"))</f>
        <v/>
      </c>
      <c r="AM629">
        <f>IF(AND(ISNUMBER($AC629),ISNUMBER(IF($V629,IF($AL629="","",$AL629),IF($AK629="","",$AK629)))),IF(AND(ABS($AC629-significance_bar)&lt;=2.0*IF($V629,IF($AL629="","",$AL629),IF($AK629="","",$AK629)),OR($Y629="worse",$Y629="better",$Y629="worse, not significant",$Y629="better, not significant")),IF(ROUND($AC629,3)=ROUND(significance_bar,3),TEXT($AC629,"0.0000"),TEXT($AC629,"0.000")),""),"")</f>
        <v/>
      </c>
      <c r="AN629">
        <f>IF(AND(ISNUMBER($AC629),ISNUMBER(IF($V629,IF($AL629="","",$AL629),IF($AK629="","",$AK629)))),IF(AND(ABS($AC629-significance_bar)&lt;=2.0*IF($V629,IF($AL629="","",$AL629),IF($AK629="","",$AK629)),OR($Y629="worse",$Y629="worse, not significant")),IF(ROUND($AC629,3)=ROUND(significance_bar,3),TEXT($AC629,"0.0000"),TEXT($AC629,"0.000")),""),"")</f>
        <v/>
      </c>
      <c r="AO629">
        <f>IF(OR($AI629="",$AN629=""),$AI629,$AI629&amp;" · borderline (p "&amp;$AN629&amp;")")</f>
        <v/>
      </c>
    </row>
    <row r="630">
      <c r="A630" t="inlineStr">
        <is>
          <t>three-way</t>
        </is>
      </c>
      <c r="B630" t="inlineStr">
        <is>
          <t>FICO x ASSET_CLASS / SYS_FLAG</t>
        </is>
      </c>
      <c r="C630" t="inlineStr">
        <is>
          <t>496 - 653</t>
        </is>
      </c>
      <c r="D630" t="inlineStr">
        <is>
          <t>1 / SYS_FLAG N</t>
        </is>
      </c>
      <c r="E630" t="inlineStr">
        <is>
          <t>outcome_booked</t>
        </is>
      </c>
      <c r="F630" t="inlineStr">
        <is>
          <t>Outcome, share of booked dollars</t>
        </is>
      </c>
      <c r="G630" t="n">
        <v>234</v>
      </c>
      <c r="H630" t="n">
        <v>7231058.249999998</v>
      </c>
      <c r="I630" t="b">
        <v>0</v>
      </c>
      <c r="J630" t="b">
        <v>0</v>
      </c>
      <c r="K630" t="n">
        <v>0.8969576731166691</v>
      </c>
      <c r="L630" t="n">
        <v>0.7238716128387161</v>
      </c>
      <c r="M630" t="n">
        <v>0.413523644416543</v>
      </c>
      <c r="N630" t="n">
        <v>0.006932640069326402</v>
      </c>
      <c r="O630" t="n">
        <v>-55916.83757044876</v>
      </c>
      <c r="P630" t="n">
        <v>-690317.7727365074</v>
      </c>
      <c r="Q630">
        <f>'_live'!$C$21</f>
        <v/>
      </c>
      <c r="R630" t="inlineStr">
        <is>
          <t>shuffled: 6,960 of 10,000</t>
        </is>
      </c>
      <c r="S630" t="inlineStr">
        <is>
          <t>shuffled: 7 of 10,000</t>
        </is>
      </c>
      <c r="T630" t="n">
        <v>0.07504557407907049</v>
      </c>
      <c r="U630" t="n">
        <v>0.1627783668782515</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0.06731270350366768</v>
      </c>
      <c r="AI630">
        <f>IF($Y630="worse","Yes",IF($Y630="worse, not significant","Not sure",IF(OR($Y630="too few losses to test",$Y630="too few loans to test"),"Too few losses",IF($Y630="","","No"))))</f>
        <v/>
      </c>
      <c r="AJ630">
        <f>IF($AA630="yes","Yes",IF($AA630="","","No"))</f>
        <v/>
      </c>
      <c r="AK630" t="n">
        <v>0.004783684411398191</v>
      </c>
      <c r="AL630" t="n">
        <v>0.002450200381652447</v>
      </c>
      <c r="AM630">
        <f>IF(AND(ISNUMBER($AC630),ISNUMBER(IF($V630,IF($AL630="","",$AL630),IF($AK630="","",$AK630)))),IF(AND(ABS($AC630-significance_bar)&lt;=2.0*IF($V630,IF($AL630="","",$AL630),IF($AK630="","",$AK630)),OR($Y630="worse",$Y630="better",$Y630="worse, not significant",$Y630="better, not significant")),IF(ROUND($AC630,3)=ROUND(significance_bar,3),TEXT($AC630,"0.0000"),TEXT($AC630,"0.000")),""),"")</f>
        <v/>
      </c>
      <c r="AN630">
        <f>IF(AND(ISNUMBER($AC630),ISNUMBER(IF($V630,IF($AL630="","",$AL630),IF($AK630="","",$AK630)))),IF(AND(ABS($AC630-significance_bar)&lt;=2.0*IF($V630,IF($AL630="","",$AL630),IF($AK630="","",$AK630)),OR($Y630="worse",$Y630="worse, not significant")),IF(ROUND($AC630,3)=ROUND(significance_bar,3),TEXT($AC630,"0.0000"),TEXT($AC630,"0.000")),""),"")</f>
        <v/>
      </c>
      <c r="AO630">
        <f>IF(OR($AI630="",$AN630=""),$AI630,$AI630&amp;" · borderline (p "&amp;$AN630&amp;")")</f>
        <v/>
      </c>
    </row>
    <row r="631">
      <c r="A631" t="inlineStr">
        <is>
          <t>three-way</t>
        </is>
      </c>
      <c r="B631" t="inlineStr">
        <is>
          <t>FICO x ASSET_CLASS / SYS_FLAG</t>
        </is>
      </c>
      <c r="C631" t="inlineStr">
        <is>
          <t>496 - 653</t>
        </is>
      </c>
      <c r="D631" t="inlineStr">
        <is>
          <t>1 / SYS_FLAG N</t>
        </is>
      </c>
      <c r="E631" t="inlineStr">
        <is>
          <t>gco_rate</t>
        </is>
      </c>
      <c r="F631" t="inlineStr">
        <is>
          <t>GCO per booked dollar</t>
        </is>
      </c>
      <c r="G631" t="n">
        <v>234</v>
      </c>
      <c r="H631" t="n">
        <v>7231058.249999998</v>
      </c>
      <c r="I631" t="b">
        <v>0</v>
      </c>
      <c r="J631" t="b">
        <v>0</v>
      </c>
      <c r="K631" t="n">
        <v>1.002860244695351</v>
      </c>
      <c r="L631" t="n">
        <v>0.9916008399160086</v>
      </c>
      <c r="M631" t="n">
        <v>0.4615811731793643</v>
      </c>
      <c r="N631" t="n">
        <v>0.0181981801819818</v>
      </c>
      <c r="O631" t="n">
        <v>860.4359251738642</v>
      </c>
      <c r="P631" t="n">
        <v>-351907.0052300379</v>
      </c>
      <c r="Q631">
        <f>'_live'!$C$22</f>
        <v/>
      </c>
      <c r="R631" t="inlineStr">
        <is>
          <t>shuffled: 9,916 of 10,000</t>
        </is>
      </c>
      <c r="S631" t="inlineStr">
        <is>
          <t>shuffled: 27 of 10,000</t>
        </is>
      </c>
      <c r="T631" t="n">
        <v>0.04160193068211367</v>
      </c>
      <c r="U631" t="n">
        <v>0.09038696725061481</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0.04172092238366356</v>
      </c>
      <c r="AI631">
        <f>IF($Y631="worse","Yes",IF($Y631="worse, not significant","Not sure",IF(OR($Y631="too few losses to test",$Y631="too few loans to test"),"Too few losses",IF($Y631="","","No"))))</f>
        <v/>
      </c>
      <c r="AJ631">
        <f>IF($AA631="yes","Yes",IF($AA631="","","No"))</f>
        <v/>
      </c>
      <c r="AK631" t="n">
        <v>0.0009126124146577798</v>
      </c>
      <c r="AL631" t="n">
        <v>0.003434486823689179</v>
      </c>
      <c r="AM631">
        <f>IF(AND(ISNUMBER($AC631),ISNUMBER(IF($V631,IF($AL631="","",$AL631),IF($AK631="","",$AK631)))),IF(AND(ABS($AC631-significance_bar)&lt;=2.0*IF($V631,IF($AL631="","",$AL631),IF($AK631="","",$AK631)),OR($Y631="worse",$Y631="better",$Y631="worse, not significant",$Y631="better, not significant")),IF(ROUND($AC631,3)=ROUND(significance_bar,3),TEXT($AC631,"0.0000"),TEXT($AC631,"0.000")),""),"")</f>
        <v/>
      </c>
      <c r="AN631">
        <f>IF(AND(ISNUMBER($AC631),ISNUMBER(IF($V631,IF($AL631="","",$AL631),IF($AK631="","",$AK631)))),IF(AND(ABS($AC631-significance_bar)&lt;=2.0*IF($V631,IF($AL631="","",$AL631),IF($AK631="","",$AK631)),OR($Y631="worse",$Y631="worse, not significant")),IF(ROUND($AC631,3)=ROUND(significance_bar,3),TEXT($AC631,"0.0000"),TEXT($AC631,"0.000")),""),"")</f>
        <v/>
      </c>
      <c r="AO631">
        <f>IF(OR($AI631="",$AN631=""),$AI631,$AI631&amp;" · borderline (p "&amp;$AN631&amp;")")</f>
        <v/>
      </c>
    </row>
    <row r="632">
      <c r="A632" t="inlineStr">
        <is>
          <t>three-way</t>
        </is>
      </c>
      <c r="B632" t="inlineStr">
        <is>
          <t>FICO x ASSET_CLASS / SYS_FLAG</t>
        </is>
      </c>
      <c r="C632" t="inlineStr">
        <is>
          <t>496 - 653</t>
        </is>
      </c>
      <c r="D632" t="inlineStr">
        <is>
          <t>1 / SYS_FLAG N</t>
        </is>
      </c>
      <c r="E632" t="inlineStr">
        <is>
          <t>ranr_rate</t>
        </is>
      </c>
      <c r="F632" t="inlineStr">
        <is>
          <t>Profit after losses: RANR per booked dollar</t>
        </is>
      </c>
      <c r="G632" t="n">
        <v>234</v>
      </c>
      <c r="H632" t="n">
        <v>7231058.249999998</v>
      </c>
      <c r="I632" t="b">
        <v>0</v>
      </c>
      <c r="J632" t="b">
        <v>0</v>
      </c>
      <c r="K632" t="n">
        <v>0.1151158595810829</v>
      </c>
      <c r="L632" t="n">
        <v>0.0003768853883842385</v>
      </c>
      <c r="M632" t="n">
        <v>0.05796854682993452</v>
      </c>
      <c r="N632" t="n">
        <v>0.0383961603839616</v>
      </c>
      <c r="O632" t="n">
        <v>-832409.4861296313</v>
      </c>
      <c r="P632" t="n">
        <v>-419173.9387951093</v>
      </c>
      <c r="Q632">
        <f>'_live'!$C$23</f>
        <v/>
      </c>
      <c r="R632" t="inlineStr">
        <is>
          <t>shuffled: 0 of 10,000</t>
        </is>
      </c>
      <c r="S632" t="inlineStr">
        <is>
          <t>shuffled: 23 of 10,000</t>
        </is>
      </c>
      <c r="T632" t="n">
        <v>0.1247645120090643</v>
      </c>
      <c r="U632" t="n">
        <v>0.1819118247602127</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0.2398803715901472</v>
      </c>
      <c r="AI632">
        <f>IF($Y632="worse","Yes",IF($Y632="worse, not significant","Not sure",IF(OR($Y632="too few losses to test",$Y632="too few loans to test"),"Too few losses",IF($Y632="","","No"))))</f>
        <v/>
      </c>
      <c r="AJ632">
        <f>IF($AA632="yes","Yes",IF($AA632="","","No"))</f>
        <v/>
      </c>
      <c r="AK632" t="n">
        <v>0.0003768853883842385</v>
      </c>
      <c r="AL632" t="n">
        <v>0.007828565009062356</v>
      </c>
      <c r="AM632">
        <f>IF(AND(ISNUMBER($AC632),ISNUMBER(IF($V632,IF($AL632="","",$AL632),IF($AK632="","",$AK632)))),IF(AND(ABS($AC632-significance_bar)&lt;=2.0*IF($V632,IF($AL632="","",$AL632),IF($AK632="","",$AK632)),OR($Y632="worse",$Y632="better",$Y632="worse, not significant",$Y632="better, not significant",AND(profit_kind="test",$Y632="in line",ISNUMBER($AB632),$AB632&lt;&gt;0))),IF(ROUND($AC632,3)=ROUND(significance_bar,3),TEXT($AC632,"0.0000"),TEXT($AC632,"0.000")),""),"")</f>
        <v/>
      </c>
      <c r="AN632">
        <f>IF(AND(ISNUMBER($AC632),ISNUMBER(IF($V632,IF($AL632="","",$AL632),IF($AK632="","",$AK632)))),IF(AND(ABS($AC632-significance_bar)&lt;=2.0*IF($V632,IF($AL632="","",$AL632),IF($AK632="","",$AK632)),OR($Y632="worse",$Y632="worse, not significant",AND(profit_kind="test",$Y632="in line",ISNUMBER($AB632),$AB632&lt;0))),IF(ROUND($AC632,3)=ROUND(significance_bar,3),TEXT($AC632,"0.0000"),TEXT($AC632,"0.000")),""),"")</f>
        <v/>
      </c>
      <c r="AO632">
        <f>IF(OR($AI632="",$AN632=""),$AI632,$AI632&amp;" · borderline (p "&amp;$AN632&amp;")")</f>
        <v/>
      </c>
    </row>
    <row r="633">
      <c r="A633" t="inlineStr">
        <is>
          <t>three-way</t>
        </is>
      </c>
      <c r="B633" t="inlineStr">
        <is>
          <t>FICO x ASSET_CLASS / SYS_FLAG</t>
        </is>
      </c>
      <c r="C633" t="inlineStr">
        <is>
          <t>496 - 653</t>
        </is>
      </c>
      <c r="D633" t="inlineStr">
        <is>
          <t>1 / SYS_FLAG N</t>
        </is>
      </c>
      <c r="E633" t="inlineStr">
        <is>
          <t>contribution_rate</t>
        </is>
      </c>
      <c r="F633" t="inlineStr">
        <is>
          <t>Contribution before losses per booked dollar</t>
        </is>
      </c>
      <c r="G633" t="n">
        <v>234</v>
      </c>
      <c r="H633" t="n">
        <v>7231058.249999998</v>
      </c>
      <c r="I633" t="b">
        <v>0</v>
      </c>
      <c r="J633" t="b">
        <v>0</v>
      </c>
      <c r="K633" t="n">
        <v>0.1152383033535457</v>
      </c>
      <c r="L633" t="n">
        <v>0.0001814633351479667</v>
      </c>
      <c r="M633" t="n">
        <v>0.009302501962983323</v>
      </c>
      <c r="N633" t="n">
        <v>0.937752378608293</v>
      </c>
      <c r="O633" t="n">
        <v>-833294.8841806592</v>
      </c>
      <c r="P633" t="n">
        <v>-67266.93356507155</v>
      </c>
      <c r="Q633">
        <f>'_live'!$C$24</f>
        <v/>
      </c>
      <c r="R633" t="inlineStr">
        <is>
          <t>shuffled: 0 of 10,000</t>
        </is>
      </c>
      <c r="S633" t="inlineStr">
        <is>
          <t>shuffled: 4,108 of 10,000</t>
        </is>
      </c>
      <c r="T633" t="n">
        <v>0.1663629906202652</v>
      </c>
      <c r="U633" t="n">
        <v>0.2722987920108276</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0.2816012939738109</v>
      </c>
      <c r="AI633">
        <f>IF($Y633="worse","Yes",IF($Y633="worse, not significant","Not sure",IF(OR($Y633="too few losses to test",$Y633="too few loans to test"),"Too few losses",IF($Y633="","","No"))))</f>
        <v/>
      </c>
      <c r="AJ633">
        <f>IF($AA633="yes","Yes",IF($AA633="","","No"))</f>
        <v/>
      </c>
      <c r="AK633" t="n">
        <v>0.0001814633351479667</v>
      </c>
      <c r="AL633" t="n">
        <v>0.009229602574987216</v>
      </c>
      <c r="AM633">
        <f>IF(AND(ISNUMBER($AC633),ISNUMBER(IF($V633,IF($AL633="","",$AL633),IF($AK633="","",$AK633)))),IF(AND(ABS($AC633-significance_bar)&lt;=2.0*IF($V633,IF($AL633="","",$AL633),IF($AK633="","",$AK633)),OR($Y633="worse",$Y633="better",$Y633="worse, not significant",$Y633="better, not significant",AND(profit_kind="test",$Y633="in line",ISNUMBER($AB633),$AB633&lt;&gt;0))),IF(ROUND($AC633,3)=ROUND(significance_bar,3),TEXT($AC633,"0.0000"),TEXT($AC633,"0.000")),""),"")</f>
        <v/>
      </c>
      <c r="AN633">
        <f>IF(AND(ISNUMBER($AC633),ISNUMBER(IF($V633,IF($AL633="","",$AL633),IF($AK633="","",$AK633)))),IF(AND(ABS($AC633-significance_bar)&lt;=2.0*IF($V633,IF($AL633="","",$AL633),IF($AK633="","",$AK633)),OR($Y633="worse",$Y633="worse, not significant",AND(profit_kind="test",$Y633="in line",ISNUMBER($AB633),$AB633&lt;0))),IF(ROUND($AC633,3)=ROUND(significance_bar,3),TEXT($AC633,"0.0000"),TEXT($AC633,"0.000")),""),"")</f>
        <v/>
      </c>
      <c r="AO633">
        <f>IF(OR($AI633="",$AN633=""),$AI633,$AI633&amp;" · borderline (p "&amp;$AN633&amp;")")</f>
        <v/>
      </c>
    </row>
    <row r="634">
      <c r="A634" t="inlineStr">
        <is>
          <t>three-way</t>
        </is>
      </c>
      <c r="B634" t="inlineStr">
        <is>
          <t>FICO x ASSET_CLASS / SYS_FLAG</t>
        </is>
      </c>
      <c r="C634" t="inlineStr">
        <is>
          <t>686 - 711</t>
        </is>
      </c>
      <c r="D634" t="inlineStr">
        <is>
          <t>1 / SYS_FLAG Y</t>
        </is>
      </c>
      <c r="E634" t="inlineStr">
        <is>
          <t>outcome_loans</t>
        </is>
      </c>
      <c r="F634" t="inlineStr">
        <is>
          <t>Outcome, share of loans</t>
        </is>
      </c>
      <c r="G634" t="n">
        <v>167</v>
      </c>
      <c r="H634" t="n">
        <v>167</v>
      </c>
      <c r="I634" t="b">
        <v>1</v>
      </c>
      <c r="J634" t="b">
        <v>0</v>
      </c>
      <c r="K634" t="n">
        <v>0.6919407087464415</v>
      </c>
      <c r="M634" t="n">
        <v>0.8641338013627917</v>
      </c>
      <c r="O634" t="n">
        <v>-4.006894790602656</v>
      </c>
      <c r="P634" t="n">
        <v>-1.415053763440859</v>
      </c>
      <c r="Q634">
        <f>'_live'!$C$20</f>
        <v/>
      </c>
      <c r="T634" t="n">
        <v>0.0778855975485189</v>
      </c>
      <c r="U634" t="n">
        <v>0.06236559139784946</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0.05389221556886228</v>
      </c>
      <c r="AI634">
        <f>IF($Y634="worse","Yes",IF($Y634="worse, not significant","Not sure",IF(OR($Y634="too few losses to test",$Y634="too few loans to test"),"Too few losses",IF($Y634="","","No"))))</f>
        <v/>
      </c>
      <c r="AJ634">
        <f>IF($AA634="yes","Yes",IF($AA634="","","No"))</f>
        <v/>
      </c>
      <c r="AM634">
        <f>IF(AND(ISNUMBER($AC634),ISNUMBER(IF($V634,IF($AL634="","",$AL634),IF($AK634="","",$AK634)))),IF(AND(ABS($AC634-significance_bar)&lt;=2.0*IF($V634,IF($AL634="","",$AL634),IF($AK634="","",$AK634)),OR($Y634="worse",$Y634="better",$Y634="worse, not significant",$Y634="better, not significant")),IF(ROUND($AC634,3)=ROUND(significance_bar,3),TEXT($AC634,"0.0000"),TEXT($AC634,"0.000")),""),"")</f>
        <v/>
      </c>
      <c r="AN634">
        <f>IF(AND(ISNUMBER($AC634),ISNUMBER(IF($V634,IF($AL634="","",$AL634),IF($AK634="","",$AK634)))),IF(AND(ABS($AC634-significance_bar)&lt;=2.0*IF($V634,IF($AL634="","",$AL634),IF($AK634="","",$AK634)),OR($Y634="worse",$Y634="worse, not significant")),IF(ROUND($AC634,3)=ROUND(significance_bar,3),TEXT($AC634,"0.0000"),TEXT($AC634,"0.000")),""),"")</f>
        <v/>
      </c>
      <c r="AO634">
        <f>IF(OR($AI634="",$AN634=""),$AI634,$AI634&amp;" · borderline (p "&amp;$AN634&amp;")")</f>
        <v/>
      </c>
    </row>
    <row r="635">
      <c r="A635" t="inlineStr">
        <is>
          <t>three-way</t>
        </is>
      </c>
      <c r="B635" t="inlineStr">
        <is>
          <t>FICO x ASSET_CLASS / SYS_FLAG</t>
        </is>
      </c>
      <c r="C635" t="inlineStr">
        <is>
          <t>686 - 711</t>
        </is>
      </c>
      <c r="D635" t="inlineStr">
        <is>
          <t>1 / SYS_FLAG Y</t>
        </is>
      </c>
      <c r="E635" t="inlineStr">
        <is>
          <t>outcome_booked</t>
        </is>
      </c>
      <c r="F635" t="inlineStr">
        <is>
          <t>Outcome, share of booked dollars</t>
        </is>
      </c>
      <c r="G635" t="n">
        <v>167</v>
      </c>
      <c r="H635" t="n">
        <v>5577530.330000002</v>
      </c>
      <c r="I635" t="b">
        <v>1</v>
      </c>
      <c r="J635" t="b">
        <v>0</v>
      </c>
      <c r="K635" t="n">
        <v>0.9189623379566556</v>
      </c>
      <c r="M635" t="n">
        <v>1.243727406647254</v>
      </c>
      <c r="O635" t="n">
        <v>-33881.25095053547</v>
      </c>
      <c r="P635" t="n">
        <v>75292.09988123213</v>
      </c>
      <c r="Q635">
        <f>'_live'!$C$21</f>
        <v/>
      </c>
      <c r="T635" t="n">
        <v>0.07496017524131247</v>
      </c>
      <c r="U635" t="n">
        <v>0.0553863953831279</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0.06888557789339712</v>
      </c>
      <c r="AI635">
        <f>IF($Y635="worse","Yes",IF($Y635="worse, not significant","Not sure",IF(OR($Y635="too few losses to test",$Y635="too few loans to test"),"Too few losses",IF($Y635="","","No"))))</f>
        <v/>
      </c>
      <c r="AJ635">
        <f>IF($AA635="yes","Yes",IF($AA635="","","No"))</f>
        <v/>
      </c>
      <c r="AM635">
        <f>IF(AND(ISNUMBER($AC635),ISNUMBER(IF($V635,IF($AL635="","",$AL635),IF($AK635="","",$AK635)))),IF(AND(ABS($AC635-significance_bar)&lt;=2.0*IF($V635,IF($AL635="","",$AL635),IF($AK635="","",$AK635)),OR($Y635="worse",$Y635="better",$Y635="worse, not significant",$Y635="better, not significant")),IF(ROUND($AC635,3)=ROUND(significance_bar,3),TEXT($AC635,"0.0000"),TEXT($AC635,"0.000")),""),"")</f>
        <v/>
      </c>
      <c r="AN635">
        <f>IF(AND(ISNUMBER($AC635),ISNUMBER(IF($V635,IF($AL635="","",$AL635),IF($AK635="","",$AK635)))),IF(AND(ABS($AC635-significance_bar)&lt;=2.0*IF($V635,IF($AL635="","",$AL635),IF($AK635="","",$AK635)),OR($Y635="worse",$Y635="worse, not significant")),IF(ROUND($AC635,3)=ROUND(significance_bar,3),TEXT($AC635,"0.0000"),TEXT($AC635,"0.000")),""),"")</f>
        <v/>
      </c>
      <c r="AO635">
        <f>IF(OR($AI635="",$AN635=""),$AI635,$AI635&amp;" · borderline (p "&amp;$AN635&amp;")")</f>
        <v/>
      </c>
    </row>
    <row r="636">
      <c r="A636" t="inlineStr">
        <is>
          <t>three-way</t>
        </is>
      </c>
      <c r="B636" t="inlineStr">
        <is>
          <t>FICO x ASSET_CLASS / SYS_FLAG</t>
        </is>
      </c>
      <c r="C636" t="inlineStr">
        <is>
          <t>686 - 711</t>
        </is>
      </c>
      <c r="D636" t="inlineStr">
        <is>
          <t>1 / SYS_FLAG Y</t>
        </is>
      </c>
      <c r="E636" t="inlineStr">
        <is>
          <t>gco_rate</t>
        </is>
      </c>
      <c r="F636" t="inlineStr">
        <is>
          <t>GCO per booked dollar</t>
        </is>
      </c>
      <c r="G636" t="n">
        <v>167</v>
      </c>
      <c r="H636" t="n">
        <v>5577530.330000002</v>
      </c>
      <c r="I636" t="b">
        <v>1</v>
      </c>
      <c r="J636" t="b">
        <v>0</v>
      </c>
      <c r="K636" t="n">
        <v>0.8915749810227813</v>
      </c>
      <c r="M636" t="n">
        <v>1.206424156132943</v>
      </c>
      <c r="O636" t="n">
        <v>-25219.63502071818</v>
      </c>
      <c r="P636" t="n">
        <v>35483.59851766282</v>
      </c>
      <c r="Q636">
        <f>'_live'!$C$22</f>
        <v/>
      </c>
      <c r="T636" t="n">
        <v>0.04170300496074902</v>
      </c>
      <c r="U636" t="n">
        <v>0.0308194722954267</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0.03718135585647276</v>
      </c>
      <c r="AI636">
        <f>IF($Y636="worse","Yes",IF($Y636="worse, not significant","Not sure",IF(OR($Y636="too few losses to test",$Y636="too few loans to test"),"Too few losses",IF($Y636="","","No"))))</f>
        <v/>
      </c>
      <c r="AJ636">
        <f>IF($AA636="yes","Yes",IF($AA636="","","No"))</f>
        <v/>
      </c>
      <c r="AM636">
        <f>IF(AND(ISNUMBER($AC636),ISNUMBER(IF($V636,IF($AL636="","",$AL636),IF($AK636="","",$AK636)))),IF(AND(ABS($AC636-significance_bar)&lt;=2.0*IF($V636,IF($AL636="","",$AL636),IF($AK636="","",$AK636)),OR($Y636="worse",$Y636="better",$Y636="worse, not significant",$Y636="better, not significant")),IF(ROUND($AC636,3)=ROUND(significance_bar,3),TEXT($AC636,"0.0000"),TEXT($AC636,"0.000")),""),"")</f>
        <v/>
      </c>
      <c r="AN636">
        <f>IF(AND(ISNUMBER($AC636),ISNUMBER(IF($V636,IF($AL636="","",$AL636),IF($AK636="","",$AK636)))),IF(AND(ABS($AC636-significance_bar)&lt;=2.0*IF($V636,IF($AL636="","",$AL636),IF($AK636="","",$AK636)),OR($Y636="worse",$Y636="worse, not significant")),IF(ROUND($AC636,3)=ROUND(significance_bar,3),TEXT($AC636,"0.0000"),TEXT($AC636,"0.000")),""),"")</f>
        <v/>
      </c>
      <c r="AO636">
        <f>IF(OR($AI636="",$AN636=""),$AI636,$AI636&amp;" · borderline (p "&amp;$AN636&amp;")")</f>
        <v/>
      </c>
    </row>
    <row r="637">
      <c r="A637" t="inlineStr">
        <is>
          <t>three-way</t>
        </is>
      </c>
      <c r="B637" t="inlineStr">
        <is>
          <t>FICO x ASSET_CLASS / SYS_FLAG</t>
        </is>
      </c>
      <c r="C637" t="inlineStr">
        <is>
          <t>686 - 711</t>
        </is>
      </c>
      <c r="D637" t="inlineStr">
        <is>
          <t>1 / SYS_FLAG Y</t>
        </is>
      </c>
      <c r="E637" t="inlineStr">
        <is>
          <t>ranr_rate</t>
        </is>
      </c>
      <c r="F637" t="inlineStr">
        <is>
          <t>Profit after losses: RANR per booked dollar</t>
        </is>
      </c>
      <c r="G637" t="n">
        <v>167</v>
      </c>
      <c r="H637" t="n">
        <v>5577530.330000002</v>
      </c>
      <c r="I637" t="b">
        <v>0</v>
      </c>
      <c r="J637" t="b">
        <v>0</v>
      </c>
      <c r="K637" t="n">
        <v>0.009479383290288135</v>
      </c>
      <c r="L637" t="n">
        <v>0.6264536337063968</v>
      </c>
      <c r="M637" t="n">
        <v>-0.005224994956021911</v>
      </c>
      <c r="N637" t="n">
        <v>0.8858714128587142</v>
      </c>
      <c r="O637" t="n">
        <v>-52871.54781127721</v>
      </c>
      <c r="P637" t="n">
        <v>29142.56784130924</v>
      </c>
      <c r="Q637">
        <f>'_live'!$C$23</f>
        <v/>
      </c>
      <c r="R637" t="inlineStr">
        <is>
          <t>shuffled: 5,497 of 10,000</t>
        </is>
      </c>
      <c r="S637" t="inlineStr">
        <is>
          <t>shuffled: 7,171 of 10,000</t>
        </is>
      </c>
      <c r="T637" t="n">
        <v>0.1277851755202777</v>
      </c>
      <c r="U637" t="n">
        <v>0.1424895537665877</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0.1372645588105658</v>
      </c>
      <c r="AI637">
        <f>IF($Y637="worse","Yes",IF($Y637="worse, not significant","Not sure",IF(OR($Y637="too few losses to test",$Y637="too few loans to test"),"Too few losses",IF($Y637="","","No"))))</f>
        <v/>
      </c>
      <c r="AJ637">
        <f>IF($AA637="yes","Yes",IF($AA637="","","No"))</f>
        <v/>
      </c>
      <c r="AK637" t="n">
        <v>0.005669405731275764</v>
      </c>
      <c r="AL637" t="n">
        <v>0.005275201752636222</v>
      </c>
      <c r="AM637">
        <f>IF(AND(ISNUMBER($AC637),ISNUMBER(IF($V637,IF($AL637="","",$AL637),IF($AK637="","",$AK637)))),IF(AND(ABS($AC637-significance_bar)&lt;=2.0*IF($V637,IF($AL637="","",$AL637),IF($AK637="","",$AK637)),OR($Y637="worse",$Y637="better",$Y637="worse, not significant",$Y637="better, not significant",AND(profit_kind="test",$Y637="in line",ISNUMBER($AB637),$AB637&lt;&gt;0))),IF(ROUND($AC637,3)=ROUND(significance_bar,3),TEXT($AC637,"0.0000"),TEXT($AC637,"0.000")),""),"")</f>
        <v/>
      </c>
      <c r="AN637">
        <f>IF(AND(ISNUMBER($AC637),ISNUMBER(IF($V637,IF($AL637="","",$AL637),IF($AK637="","",$AK637)))),IF(AND(ABS($AC637-significance_bar)&lt;=2.0*IF($V637,IF($AL637="","",$AL637),IF($AK637="","",$AK637)),OR($Y637="worse",$Y637="worse, not significant",AND(profit_kind="test",$Y637="in line",ISNUMBER($AB637),$AB637&lt;0))),IF(ROUND($AC637,3)=ROUND(significance_bar,3),TEXT($AC637,"0.0000"),TEXT($AC637,"0.000")),""),"")</f>
        <v/>
      </c>
      <c r="AO637">
        <f>IF(OR($AI637="",$AN637=""),$AI637,$AI637&amp;" · borderline (p "&amp;$AN637&amp;")")</f>
        <v/>
      </c>
    </row>
    <row r="638">
      <c r="A638" t="inlineStr">
        <is>
          <t>three-way</t>
        </is>
      </c>
      <c r="B638" t="inlineStr">
        <is>
          <t>FICO x ASSET_CLASS / SYS_FLAG</t>
        </is>
      </c>
      <c r="C638" t="inlineStr">
        <is>
          <t>686 - 711</t>
        </is>
      </c>
      <c r="D638" t="inlineStr">
        <is>
          <t>1 / SYS_FLAG Y</t>
        </is>
      </c>
      <c r="E638" t="inlineStr">
        <is>
          <t>contribution_rate</t>
        </is>
      </c>
      <c r="F638" t="inlineStr">
        <is>
          <t>Contribution before losses per booked dollar</t>
        </is>
      </c>
      <c r="G638" t="n">
        <v>167</v>
      </c>
      <c r="H638" t="n">
        <v>5577530.330000002</v>
      </c>
      <c r="I638" t="b">
        <v>0</v>
      </c>
      <c r="J638" t="b">
        <v>0</v>
      </c>
      <c r="K638" t="n">
        <v>0.004960688808745645</v>
      </c>
      <c r="L638" t="n">
        <v>0.7465920074659201</v>
      </c>
      <c r="M638" t="n">
        <v>0.001136888605024172</v>
      </c>
      <c r="N638" t="n">
        <v>0.9799190293736585</v>
      </c>
      <c r="O638" t="n">
        <v>-27668.39228847041</v>
      </c>
      <c r="P638" t="n">
        <v>-6341.030676353723</v>
      </c>
      <c r="Q638">
        <f>'_live'!$C$24</f>
        <v/>
      </c>
      <c r="R638" t="inlineStr">
        <is>
          <t>shuffled: 6,399 of 10,000</t>
        </is>
      </c>
      <c r="S638" t="inlineStr">
        <is>
          <t>shuffled: 8,884 of 10,000</t>
        </is>
      </c>
      <c r="T638" t="n">
        <v>0.1694852258582929</v>
      </c>
      <c r="U638" t="n">
        <v>0.1733090260620144</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0.1744459146670386</v>
      </c>
      <c r="AI638">
        <f>IF($Y638="worse","Yes",IF($Y638="worse, not significant","Not sure",IF(OR($Y638="too few losses to test",$Y638="too few loans to test"),"Too few losses",IF($Y638="","","No"))))</f>
        <v/>
      </c>
      <c r="AJ638">
        <f>IF($AA638="yes","Yes",IF($AA638="","","No"))</f>
        <v/>
      </c>
      <c r="AK638" t="n">
        <v>0.005600217702002732</v>
      </c>
      <c r="AL638" t="n">
        <v>0.002013133534953629</v>
      </c>
      <c r="AM638">
        <f>IF(AND(ISNUMBER($AC638),ISNUMBER(IF($V638,IF($AL638="","",$AL638),IF($AK638="","",$AK638)))),IF(AND(ABS($AC638-significance_bar)&lt;=2.0*IF($V638,IF($AL638="","",$AL638),IF($AK638="","",$AK638)),OR($Y638="worse",$Y638="better",$Y638="worse, not significant",$Y638="better, not significant",AND(profit_kind="test",$Y638="in line",ISNUMBER($AB638),$AB638&lt;&gt;0))),IF(ROUND($AC638,3)=ROUND(significance_bar,3),TEXT($AC638,"0.0000"),TEXT($AC638,"0.000")),""),"")</f>
        <v/>
      </c>
      <c r="AN638">
        <f>IF(AND(ISNUMBER($AC638),ISNUMBER(IF($V638,IF($AL638="","",$AL638),IF($AK638="","",$AK638)))),IF(AND(ABS($AC638-significance_bar)&lt;=2.0*IF($V638,IF($AL638="","",$AL638),IF($AK638="","",$AK638)),OR($Y638="worse",$Y638="worse, not significant",AND(profit_kind="test",$Y638="in line",ISNUMBER($AB638),$AB638&lt;0))),IF(ROUND($AC638,3)=ROUND(significance_bar,3),TEXT($AC638,"0.0000"),TEXT($AC638,"0.000")),""),"")</f>
        <v/>
      </c>
      <c r="AO638">
        <f>IF(OR($AI638="",$AN638=""),$AI638,$AI638&amp;" · borderline (p "&amp;$AN638&amp;")")</f>
        <v/>
      </c>
    </row>
    <row r="639">
      <c r="A639" t="inlineStr">
        <is>
          <t>three-way</t>
        </is>
      </c>
      <c r="B639" t="inlineStr">
        <is>
          <t>FICO x ASSET_CLASS / SYS_FLAG</t>
        </is>
      </c>
      <c r="C639" t="inlineStr">
        <is>
          <t>712 - 745</t>
        </is>
      </c>
      <c r="D639" t="inlineStr">
        <is>
          <t>4 / SYS_FLAG N</t>
        </is>
      </c>
      <c r="E639" t="inlineStr">
        <is>
          <t>outcome_loans</t>
        </is>
      </c>
      <c r="F639" t="inlineStr">
        <is>
          <t>Outcome, share of loans</t>
        </is>
      </c>
      <c r="G639" t="n">
        <v>220</v>
      </c>
      <c r="H639" t="n">
        <v>220</v>
      </c>
      <c r="I639" t="b">
        <v>0</v>
      </c>
      <c r="J639" t="b">
        <v>0</v>
      </c>
      <c r="K639" t="n">
        <v>0.7585283528352835</v>
      </c>
      <c r="L639" t="n">
        <v>0.5254193099970693</v>
      </c>
      <c r="M639" t="n">
        <v>1.110749385749386</v>
      </c>
      <c r="N639" t="n">
        <v>0.7481717174350578</v>
      </c>
      <c r="O639" t="n">
        <v>-4.138449672194369</v>
      </c>
      <c r="P639" t="n">
        <v>1.296189791516895</v>
      </c>
      <c r="Q639">
        <f>'_live'!$C$20</f>
        <v/>
      </c>
      <c r="R639" t="inlineStr">
        <is>
          <t>z test</t>
        </is>
      </c>
      <c r="S639" t="inlineStr">
        <is>
          <t>z test</t>
        </is>
      </c>
      <c r="T639" t="n">
        <v>0.07790204396451986</v>
      </c>
      <c r="U639" t="n">
        <v>0.05319913731128684</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0.05909090909090909</v>
      </c>
      <c r="AI639">
        <f>IF($Y639="worse","Yes",IF($Y639="worse, not significant","Not sure",IF(OR($Y639="too few losses to test",$Y639="too few loans to test"),"Too few losses",IF($Y639="","","No"))))</f>
        <v/>
      </c>
      <c r="AJ639">
        <f>IF($AA639="yes","Yes",IF($AA639="","","No"))</f>
        <v/>
      </c>
      <c r="AM639">
        <f>IF(AND(ISNUMBER($AC639),ISNUMBER(IF($V639,IF($AL639="","",$AL639),IF($AK639="","",$AK639)))),IF(AND(ABS($AC639-significance_bar)&lt;=2.0*IF($V639,IF($AL639="","",$AL639),IF($AK639="","",$AK639)),OR($Y639="worse",$Y639="better",$Y639="worse, not significant",$Y639="better, not significant")),IF(ROUND($AC639,3)=ROUND(significance_bar,3),TEXT($AC639,"0.0000"),TEXT($AC639,"0.000")),""),"")</f>
        <v/>
      </c>
      <c r="AN639">
        <f>IF(AND(ISNUMBER($AC639),ISNUMBER(IF($V639,IF($AL639="","",$AL639),IF($AK639="","",$AK639)))),IF(AND(ABS($AC639-significance_bar)&lt;=2.0*IF($V639,IF($AL639="","",$AL639),IF($AK639="","",$AK639)),OR($Y639="worse",$Y639="worse, not significant")),IF(ROUND($AC639,3)=ROUND(significance_bar,3),TEXT($AC639,"0.0000"),TEXT($AC639,"0.000")),""),"")</f>
        <v/>
      </c>
      <c r="AO639">
        <f>IF(OR($AI639="",$AN639=""),$AI639,$AI639&amp;" · borderline (p "&amp;$AN639&amp;")")</f>
        <v/>
      </c>
    </row>
    <row r="640">
      <c r="A640" t="inlineStr">
        <is>
          <t>three-way</t>
        </is>
      </c>
      <c r="B640" t="inlineStr">
        <is>
          <t>FICO x ASSET_CLASS / SYS_FLAG</t>
        </is>
      </c>
      <c r="C640" t="inlineStr">
        <is>
          <t>712 - 745</t>
        </is>
      </c>
      <c r="D640" t="inlineStr">
        <is>
          <t>4 / SYS_FLAG N</t>
        </is>
      </c>
      <c r="E640" t="inlineStr">
        <is>
          <t>outcome_booked</t>
        </is>
      </c>
      <c r="F640" t="inlineStr">
        <is>
          <t>Outcome, share of booked dollars</t>
        </is>
      </c>
      <c r="G640" t="n">
        <v>220</v>
      </c>
      <c r="H640" t="n">
        <v>6725487.600000002</v>
      </c>
      <c r="I640" t="b">
        <v>0</v>
      </c>
      <c r="J640" t="b">
        <v>0</v>
      </c>
      <c r="K640" t="n">
        <v>0.7348940189703091</v>
      </c>
      <c r="L640" t="n">
        <v>0.4745969847459698</v>
      </c>
      <c r="M640" t="n">
        <v>1.018132545294304</v>
      </c>
      <c r="N640" t="n">
        <v>0.9947005299470053</v>
      </c>
      <c r="O640" t="n">
        <v>-134345.7154964425</v>
      </c>
      <c r="P640" t="n">
        <v>6632.594681714661</v>
      </c>
      <c r="Q640">
        <f>'_live'!$C$21</f>
        <v/>
      </c>
      <c r="R640" t="inlineStr">
        <is>
          <t>shuffled: 3,113 of 10,000</t>
        </is>
      </c>
      <c r="S640" t="inlineStr">
        <is>
          <t>shuffled: 9,608 of 10,000</t>
        </is>
      </c>
      <c r="T640" t="n">
        <v>0.07534952491718851</v>
      </c>
      <c r="U640" t="n">
        <v>0.05438772726579486</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0.05537391519389611</v>
      </c>
      <c r="AI640">
        <f>IF($Y640="worse","Yes",IF($Y640="worse, not significant","Not sure",IF(OR($Y640="too few losses to test",$Y640="too few loans to test"),"Too few losses",IF($Y640="","","No"))))</f>
        <v/>
      </c>
      <c r="AJ640">
        <f>IF($AA640="yes","Yes",IF($AA640="","","No"))</f>
        <v/>
      </c>
      <c r="AK640" t="n">
        <v>0.006784443087213825</v>
      </c>
      <c r="AL640" t="n">
        <v>0.0007260430889521713</v>
      </c>
      <c r="AM640">
        <f>IF(AND(ISNUMBER($AC640),ISNUMBER(IF($V640,IF($AL640="","",$AL640),IF($AK640="","",$AK640)))),IF(AND(ABS($AC640-significance_bar)&lt;=2.0*IF($V640,IF($AL640="","",$AL640),IF($AK640="","",$AK640)),OR($Y640="worse",$Y640="better",$Y640="worse, not significant",$Y640="better, not significant")),IF(ROUND($AC640,3)=ROUND(significance_bar,3),TEXT($AC640,"0.0000"),TEXT($AC640,"0.000")),""),"")</f>
        <v/>
      </c>
      <c r="AN640">
        <f>IF(AND(ISNUMBER($AC640),ISNUMBER(IF($V640,IF($AL640="","",$AL640),IF($AK640="","",$AK640)))),IF(AND(ABS($AC640-significance_bar)&lt;=2.0*IF($V640,IF($AL640="","",$AL640),IF($AK640="","",$AK640)),OR($Y640="worse",$Y640="worse, not significant")),IF(ROUND($AC640,3)=ROUND(significance_bar,3),TEXT($AC640,"0.0000"),TEXT($AC640,"0.000")),""),"")</f>
        <v/>
      </c>
      <c r="AO640">
        <f>IF(OR($AI640="",$AN640=""),$AI640,$AI640&amp;" · borderline (p "&amp;$AN640&amp;")")</f>
        <v/>
      </c>
    </row>
    <row r="641">
      <c r="A641" t="inlineStr">
        <is>
          <t>three-way</t>
        </is>
      </c>
      <c r="B641" t="inlineStr">
        <is>
          <t>FICO x ASSET_CLASS / SYS_FLAG</t>
        </is>
      </c>
      <c r="C641" t="inlineStr">
        <is>
          <t>712 - 745</t>
        </is>
      </c>
      <c r="D641" t="inlineStr">
        <is>
          <t>4 / SYS_FLAG N</t>
        </is>
      </c>
      <c r="E641" t="inlineStr">
        <is>
          <t>gco_rate</t>
        </is>
      </c>
      <c r="F641" t="inlineStr">
        <is>
          <t>GCO per booked dollar</t>
        </is>
      </c>
      <c r="G641" t="n">
        <v>220</v>
      </c>
      <c r="H641" t="n">
        <v>6725487.600000002</v>
      </c>
      <c r="I641" t="b">
        <v>0</v>
      </c>
      <c r="J641" t="b">
        <v>0</v>
      </c>
      <c r="K641" t="n">
        <v>0.634891057527448</v>
      </c>
      <c r="L641" t="n">
        <v>0.3444655534446555</v>
      </c>
      <c r="M641" t="n">
        <v>0.8656044229301525</v>
      </c>
      <c r="N641" t="n">
        <v>0.9513748625137486</v>
      </c>
      <c r="O641" t="n">
        <v>-103144.7922848127</v>
      </c>
      <c r="P641" t="n">
        <v>-27847.71432715244</v>
      </c>
      <c r="Q641">
        <f>'_live'!$C$22</f>
        <v/>
      </c>
      <c r="R641" t="inlineStr">
        <is>
          <t>shuffled: 1,739 of 10,000</t>
        </is>
      </c>
      <c r="S641" t="inlineStr">
        <is>
          <t>shuffled: 7,048 of 10,000</t>
        </is>
      </c>
      <c r="T641" t="n">
        <v>0.04200500678713803</v>
      </c>
      <c r="U641" t="n">
        <v>0.03080922702573303</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0.0266686031805337</v>
      </c>
      <c r="AI641">
        <f>IF($Y641="worse","Yes",IF($Y641="worse, not significant","Not sure",IF(OR($Y641="too few losses to test",$Y641="too few loans to test"),"Too few losses",IF($Y641="","","No"))))</f>
        <v/>
      </c>
      <c r="AJ641">
        <f>IF($AA641="yes","Yes",IF($AA641="","","No"))</f>
        <v/>
      </c>
      <c r="AK641" t="n">
        <v>0.007218484775917799</v>
      </c>
      <c r="AL641" t="n">
        <v>0.005759107502424479</v>
      </c>
      <c r="AM641">
        <f>IF(AND(ISNUMBER($AC641),ISNUMBER(IF($V641,IF($AL641="","",$AL641),IF($AK641="","",$AK641)))),IF(AND(ABS($AC641-significance_bar)&lt;=2.0*IF($V641,IF($AL641="","",$AL641),IF($AK641="","",$AK641)),OR($Y641="worse",$Y641="better",$Y641="worse, not significant",$Y641="better, not significant")),IF(ROUND($AC641,3)=ROUND(significance_bar,3),TEXT($AC641,"0.0000"),TEXT($AC641,"0.000")),""),"")</f>
        <v/>
      </c>
      <c r="AN641">
        <f>IF(AND(ISNUMBER($AC641),ISNUMBER(IF($V641,IF($AL641="","",$AL641),IF($AK641="","",$AK641)))),IF(AND(ABS($AC641-significance_bar)&lt;=2.0*IF($V641,IF($AL641="","",$AL641),IF($AK641="","",$AK641)),OR($Y641="worse",$Y641="worse, not significant")),IF(ROUND($AC641,3)=ROUND(significance_bar,3),TEXT($AC641,"0.0000"),TEXT($AC641,"0.000")),""),"")</f>
        <v/>
      </c>
      <c r="AO641">
        <f>IF(OR($AI641="",$AN641=""),$AI641,$AI641&amp;" · borderline (p "&amp;$AN641&amp;")")</f>
        <v/>
      </c>
    </row>
    <row r="642">
      <c r="A642" t="inlineStr">
        <is>
          <t>three-way</t>
        </is>
      </c>
      <c r="B642" t="inlineStr">
        <is>
          <t>FICO x ASSET_CLASS / SYS_FLAG</t>
        </is>
      </c>
      <c r="C642" t="inlineStr">
        <is>
          <t>712 - 745</t>
        </is>
      </c>
      <c r="D642" t="inlineStr">
        <is>
          <t>4 / SYS_FLAG N</t>
        </is>
      </c>
      <c r="E642" t="inlineStr">
        <is>
          <t>ranr_rate</t>
        </is>
      </c>
      <c r="F642" t="inlineStr">
        <is>
          <t>Profit after losses: RANR per booked dollar</t>
        </is>
      </c>
      <c r="G642" t="n">
        <v>220</v>
      </c>
      <c r="H642" t="n">
        <v>6725487.600000002</v>
      </c>
      <c r="I642" t="b">
        <v>0</v>
      </c>
      <c r="J642" t="b">
        <v>0</v>
      </c>
      <c r="K642" t="n">
        <v>-0.02843063715645888</v>
      </c>
      <c r="L642" t="n">
        <v>0.06999300069993002</v>
      </c>
      <c r="M642" t="n">
        <v>0.004987340694043732</v>
      </c>
      <c r="N642" t="n">
        <v>0.8858714128587142</v>
      </c>
      <c r="O642" t="n">
        <v>191209.8976558635</v>
      </c>
      <c r="P642" t="n">
        <v>-33542.2979947665</v>
      </c>
      <c r="Q642">
        <f>'_live'!$C$23</f>
        <v/>
      </c>
      <c r="R642" t="inlineStr">
        <is>
          <t>shuffled: 399 of 10,000</t>
        </is>
      </c>
      <c r="S642" t="inlineStr">
        <is>
          <t>shuffled: 6,750 of 10,000</t>
        </is>
      </c>
      <c r="T642" t="n">
        <v>0.1287309767184558</v>
      </c>
      <c r="U642" t="n">
        <v>0.09531299886795315</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0.1003003395619969</v>
      </c>
      <c r="AI642">
        <f>IF($Y642="worse","Yes",IF($Y642="worse, not significant","Not sure",IF(OR($Y642="too few losses to test",$Y642="too few loans to test"),"Too few losses",IF($Y642="","","No"))))</f>
        <v/>
      </c>
      <c r="AJ642">
        <f>IF($AA642="yes","Yes",IF($AA642="","","No"))</f>
        <v/>
      </c>
      <c r="AK642" t="n">
        <v>0.003429121331739329</v>
      </c>
      <c r="AL642" t="n">
        <v>0.005275201752636222</v>
      </c>
      <c r="AM642">
        <f>IF(AND(ISNUMBER($AC642),ISNUMBER(IF($V642,IF($AL642="","",$AL642),IF($AK642="","",$AK642)))),IF(AND(ABS($AC642-significance_bar)&lt;=2.0*IF($V642,IF($AL642="","",$AL642),IF($AK642="","",$AK642)),OR($Y642="worse",$Y642="better",$Y642="worse, not significant",$Y642="better, not significant",AND(profit_kind="test",$Y642="in line",ISNUMBER($AB642),$AB642&lt;&gt;0))),IF(ROUND($AC642,3)=ROUND(significance_bar,3),TEXT($AC642,"0.0000"),TEXT($AC642,"0.000")),""),"")</f>
        <v/>
      </c>
      <c r="AN642">
        <f>IF(AND(ISNUMBER($AC642),ISNUMBER(IF($V642,IF($AL642="","",$AL642),IF($AK642="","",$AK642)))),IF(AND(ABS($AC642-significance_bar)&lt;=2.0*IF($V642,IF($AL642="","",$AL642),IF($AK642="","",$AK642)),OR($Y642="worse",$Y642="worse, not significant",AND(profit_kind="test",$Y642="in line",ISNUMBER($AB642),$AB642&lt;0))),IF(ROUND($AC642,3)=ROUND(significance_bar,3),TEXT($AC642,"0.0000"),TEXT($AC642,"0.000")),""),"")</f>
        <v/>
      </c>
      <c r="AO642">
        <f>IF(OR($AI642="",$AN642=""),$AI642,$AI642&amp;" · borderline (p "&amp;$AN642&amp;")")</f>
        <v/>
      </c>
    </row>
    <row r="643">
      <c r="A643" t="inlineStr">
        <is>
          <t>three-way</t>
        </is>
      </c>
      <c r="B643" t="inlineStr">
        <is>
          <t>FICO x ASSET_CLASS / SYS_FLAG</t>
        </is>
      </c>
      <c r="C643" t="inlineStr">
        <is>
          <t>712 - 745</t>
        </is>
      </c>
      <c r="D643" t="inlineStr">
        <is>
          <t>4 / SYS_FLAG N</t>
        </is>
      </c>
      <c r="E643" t="inlineStr">
        <is>
          <t>contribution_rate</t>
        </is>
      </c>
      <c r="F643" t="inlineStr">
        <is>
          <t>Contribution before losses per booked dollar</t>
        </is>
      </c>
      <c r="G643" t="n">
        <v>220</v>
      </c>
      <c r="H643" t="n">
        <v>6725487.600000002</v>
      </c>
      <c r="I643" t="b">
        <v>0</v>
      </c>
      <c r="J643" t="b">
        <v>0</v>
      </c>
      <c r="K643" t="n">
        <v>-0.0437642219992869</v>
      </c>
      <c r="L643" t="n">
        <v>0.0001814633351479667</v>
      </c>
      <c r="M643" t="n">
        <v>0.000892594217316689</v>
      </c>
      <c r="N643" t="n">
        <v>0.9799190293736585</v>
      </c>
      <c r="O643" t="n">
        <v>294335.7323798514</v>
      </c>
      <c r="P643" t="n">
        <v>-6003.131340395077</v>
      </c>
      <c r="Q643">
        <f>'_live'!$C$24</f>
        <v/>
      </c>
      <c r="R643" t="inlineStr">
        <is>
          <t>shuffled: 0 of 10,000</t>
        </is>
      </c>
      <c r="S643" t="inlineStr">
        <is>
          <t>shuffled: 8,816 of 10,000</t>
        </is>
      </c>
      <c r="T643" t="n">
        <v>0.1707331647418175</v>
      </c>
      <c r="U643" t="n">
        <v>0.1260763485252139</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0.1269689427425306</v>
      </c>
      <c r="AI643">
        <f>IF($Y643="worse","Yes",IF($Y643="worse, not significant","Not sure",IF(OR($Y643="too few losses to test",$Y643="too few loans to test"),"Too few losses",IF($Y643="","","No"))))</f>
        <v/>
      </c>
      <c r="AJ643">
        <f>IF($AA643="yes","Yes",IF($AA643="","","No"))</f>
        <v/>
      </c>
      <c r="AK643" t="n">
        <v>0.0001814633351479667</v>
      </c>
      <c r="AL643" t="n">
        <v>0.002013133534953629</v>
      </c>
      <c r="AM643">
        <f>IF(AND(ISNUMBER($AC643),ISNUMBER(IF($V643,IF($AL643="","",$AL643),IF($AK643="","",$AK643)))),IF(AND(ABS($AC643-significance_bar)&lt;=2.0*IF($V643,IF($AL643="","",$AL643),IF($AK643="","",$AK643)),OR($Y643="worse",$Y643="better",$Y643="worse, not significant",$Y643="better, not significant",AND(profit_kind="test",$Y643="in line",ISNUMBER($AB643),$AB643&lt;&gt;0))),IF(ROUND($AC643,3)=ROUND(significance_bar,3),TEXT($AC643,"0.0000"),TEXT($AC643,"0.000")),""),"")</f>
        <v/>
      </c>
      <c r="AN643">
        <f>IF(AND(ISNUMBER($AC643),ISNUMBER(IF($V643,IF($AL643="","",$AL643),IF($AK643="","",$AK643)))),IF(AND(ABS($AC643-significance_bar)&lt;=2.0*IF($V643,IF($AL643="","",$AL643),IF($AK643="","",$AK643)),OR($Y643="worse",$Y643="worse, not significant",AND(profit_kind="test",$Y643="in line",ISNUMBER($AB643),$AB643&lt;0))),IF(ROUND($AC643,3)=ROUND(significance_bar,3),TEXT($AC643,"0.0000"),TEXT($AC643,"0.000")),""),"")</f>
        <v/>
      </c>
      <c r="AO643">
        <f>IF(OR($AI643="",$AN643=""),$AI643,$AI643&amp;" · borderline (p "&amp;$AN643&amp;")")</f>
        <v/>
      </c>
    </row>
    <row r="644">
      <c r="A644" t="inlineStr">
        <is>
          <t>three-way</t>
        </is>
      </c>
      <c r="B644" t="inlineStr">
        <is>
          <t>FICO x ASSET_CLASS / SYS_FLAG</t>
        </is>
      </c>
      <c r="C644" t="inlineStr">
        <is>
          <t>746 - 921</t>
        </is>
      </c>
      <c r="D644" t="inlineStr">
        <is>
          <t>1 / SYS_FLAG N</t>
        </is>
      </c>
      <c r="E644" t="inlineStr">
        <is>
          <t>outcome_loans</t>
        </is>
      </c>
      <c r="F644" t="inlineStr">
        <is>
          <t>Outcome, share of loans</t>
        </is>
      </c>
      <c r="G644" t="n">
        <v>231</v>
      </c>
      <c r="H644" t="n">
        <v>231</v>
      </c>
      <c r="I644" t="b">
        <v>1</v>
      </c>
      <c r="J644" t="b">
        <v>0</v>
      </c>
      <c r="K644" t="n">
        <v>0.2187167845704431</v>
      </c>
      <c r="M644" t="n">
        <v>0.400059710404538</v>
      </c>
      <c r="O644" t="n">
        <v>-14.288491246138</v>
      </c>
      <c r="P644" t="n">
        <v>-5.998507462686568</v>
      </c>
      <c r="Q644">
        <f>'_live'!$C$20</f>
        <v/>
      </c>
      <c r="T644" t="n">
        <v>0.07917095777548919</v>
      </c>
      <c r="U644" t="n">
        <v>0.04328358208955224</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0.01731601731601732</v>
      </c>
      <c r="AI644">
        <f>IF($Y644="worse","Yes",IF($Y644="worse, not significant","Not sure",IF(OR($Y644="too few losses to test",$Y644="too few loans to test"),"Too few losses",IF($Y644="","","No"))))</f>
        <v/>
      </c>
      <c r="AJ644">
        <f>IF($AA644="yes","Yes",IF($AA644="","","No"))</f>
        <v/>
      </c>
      <c r="AM644">
        <f>IF(AND(ISNUMBER($AC644),ISNUMBER(IF($V644,IF($AL644="","",$AL644),IF($AK644="","",$AK644)))),IF(AND(ABS($AC644-significance_bar)&lt;=2.0*IF($V644,IF($AL644="","",$AL644),IF($AK644="","",$AK644)),OR($Y644="worse",$Y644="better",$Y644="worse, not significant",$Y644="better, not significant")),IF(ROUND($AC644,3)=ROUND(significance_bar,3),TEXT($AC644,"0.0000"),TEXT($AC644,"0.000")),""),"")</f>
        <v/>
      </c>
      <c r="AN644">
        <f>IF(AND(ISNUMBER($AC644),ISNUMBER(IF($V644,IF($AL644="","",$AL644),IF($AK644="","",$AK644)))),IF(AND(ABS($AC644-significance_bar)&lt;=2.0*IF($V644,IF($AL644="","",$AL644),IF($AK644="","",$AK644)),OR($Y644="worse",$Y644="worse, not significant")),IF(ROUND($AC644,3)=ROUND(significance_bar,3),TEXT($AC644,"0.0000"),TEXT($AC644,"0.000")),""),"")</f>
        <v/>
      </c>
      <c r="AO644">
        <f>IF(OR($AI644="",$AN644=""),$AI644,$AI644&amp;" · borderline (p "&amp;$AN644&amp;")")</f>
        <v/>
      </c>
    </row>
    <row r="645">
      <c r="A645" t="inlineStr">
        <is>
          <t>three-way</t>
        </is>
      </c>
      <c r="B645" t="inlineStr">
        <is>
          <t>FICO x ASSET_CLASS / SYS_FLAG</t>
        </is>
      </c>
      <c r="C645" t="inlineStr">
        <is>
          <t>746 - 921</t>
        </is>
      </c>
      <c r="D645" t="inlineStr">
        <is>
          <t>1 / SYS_FLAG N</t>
        </is>
      </c>
      <c r="E645" t="inlineStr">
        <is>
          <t>outcome_booked</t>
        </is>
      </c>
      <c r="F645" t="inlineStr">
        <is>
          <t>Outcome, share of booked dollars</t>
        </is>
      </c>
      <c r="G645" t="n">
        <v>231</v>
      </c>
      <c r="H645" t="n">
        <v>7339528.739999998</v>
      </c>
      <c r="I645" t="b">
        <v>1</v>
      </c>
      <c r="J645" t="b">
        <v>0</v>
      </c>
      <c r="K645" t="n">
        <v>0.2353915483966933</v>
      </c>
      <c r="M645" t="n">
        <v>0.4498148998765341</v>
      </c>
      <c r="O645" t="n">
        <v>-429265.5573193027</v>
      </c>
      <c r="P645" t="n">
        <v>-161641.4743064261</v>
      </c>
      <c r="Q645">
        <f>'_live'!$C$21</f>
        <v/>
      </c>
      <c r="T645" t="n">
        <v>0.07649248571772781</v>
      </c>
      <c r="U645" t="n">
        <v>0.04002909787726047</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0.0180056846538079</v>
      </c>
      <c r="AI645">
        <f>IF($Y645="worse","Yes",IF($Y645="worse, not significant","Not sure",IF(OR($Y645="too few losses to test",$Y645="too few loans to test"),"Too few losses",IF($Y645="","","No"))))</f>
        <v/>
      </c>
      <c r="AJ645">
        <f>IF($AA645="yes","Yes",IF($AA645="","","No"))</f>
        <v/>
      </c>
      <c r="AM645">
        <f>IF(AND(ISNUMBER($AC645),ISNUMBER(IF($V645,IF($AL645="","",$AL645),IF($AK645="","",$AK645)))),IF(AND(ABS($AC645-significance_bar)&lt;=2.0*IF($V645,IF($AL645="","",$AL645),IF($AK645="","",$AK645)),OR($Y645="worse",$Y645="better",$Y645="worse, not significant",$Y645="better, not significant")),IF(ROUND($AC645,3)=ROUND(significance_bar,3),TEXT($AC645,"0.0000"),TEXT($AC645,"0.000")),""),"")</f>
        <v/>
      </c>
      <c r="AN645">
        <f>IF(AND(ISNUMBER($AC645),ISNUMBER(IF($V645,IF($AL645="","",$AL645),IF($AK645="","",$AK645)))),IF(AND(ABS($AC645-significance_bar)&lt;=2.0*IF($V645,IF($AL645="","",$AL645),IF($AK645="","",$AK645)),OR($Y645="worse",$Y645="worse, not significant")),IF(ROUND($AC645,3)=ROUND(significance_bar,3),TEXT($AC645,"0.0000"),TEXT($AC645,"0.000")),""),"")</f>
        <v/>
      </c>
      <c r="AO645">
        <f>IF(OR($AI645="",$AN645=""),$AI645,$AI645&amp;" · borderline (p "&amp;$AN645&amp;")")</f>
        <v/>
      </c>
    </row>
    <row r="646">
      <c r="A646" t="inlineStr">
        <is>
          <t>three-way</t>
        </is>
      </c>
      <c r="B646" t="inlineStr">
        <is>
          <t>FICO x ASSET_CLASS / SYS_FLAG</t>
        </is>
      </c>
      <c r="C646" t="inlineStr">
        <is>
          <t>746 - 921</t>
        </is>
      </c>
      <c r="D646" t="inlineStr">
        <is>
          <t>1 / SYS_FLAG N</t>
        </is>
      </c>
      <c r="E646" t="inlineStr">
        <is>
          <t>gco_rate</t>
        </is>
      </c>
      <c r="F646" t="inlineStr">
        <is>
          <t>GCO per booked dollar</t>
        </is>
      </c>
      <c r="G646" t="n">
        <v>231</v>
      </c>
      <c r="H646" t="n">
        <v>7339528.739999998</v>
      </c>
      <c r="I646" t="b">
        <v>1</v>
      </c>
      <c r="J646" t="b">
        <v>0</v>
      </c>
      <c r="K646" t="n">
        <v>0.3012030531891984</v>
      </c>
      <c r="M646" t="n">
        <v>0.6226679886366112</v>
      </c>
      <c r="O646" t="n">
        <v>-217714.269180203</v>
      </c>
      <c r="P646" t="n">
        <v>-56867.26956227582</v>
      </c>
      <c r="Q646">
        <f>'_live'!$C$22</f>
        <v/>
      </c>
      <c r="T646" t="n">
        <v>0.04244902502830216</v>
      </c>
      <c r="U646" t="n">
        <v>0.02053385781309385</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0.01278577594342931</v>
      </c>
      <c r="AI646">
        <f>IF($Y646="worse","Yes",IF($Y646="worse, not significant","Not sure",IF(OR($Y646="too few losses to test",$Y646="too few loans to test"),"Too few losses",IF($Y646="","","No"))))</f>
        <v/>
      </c>
      <c r="AJ646">
        <f>IF($AA646="yes","Yes",IF($AA646="","","No"))</f>
        <v/>
      </c>
      <c r="AM646">
        <f>IF(AND(ISNUMBER($AC646),ISNUMBER(IF($V646,IF($AL646="","",$AL646),IF($AK646="","",$AK646)))),IF(AND(ABS($AC646-significance_bar)&lt;=2.0*IF($V646,IF($AL646="","",$AL646),IF($AK646="","",$AK646)),OR($Y646="worse",$Y646="better",$Y646="worse, not significant",$Y646="better, not significant")),IF(ROUND($AC646,3)=ROUND(significance_bar,3),TEXT($AC646,"0.0000"),TEXT($AC646,"0.000")),""),"")</f>
        <v/>
      </c>
      <c r="AN646">
        <f>IF(AND(ISNUMBER($AC646),ISNUMBER(IF($V646,IF($AL646="","",$AL646),IF($AK646="","",$AK646)))),IF(AND(ABS($AC646-significance_bar)&lt;=2.0*IF($V646,IF($AL646="","",$AL646),IF($AK646="","",$AK646)),OR($Y646="worse",$Y646="worse, not significant")),IF(ROUND($AC646,3)=ROUND(significance_bar,3),TEXT($AC646,"0.0000"),TEXT($AC646,"0.000")),""),"")</f>
        <v/>
      </c>
      <c r="AO646">
        <f>IF(OR($AI646="",$AN646=""),$AI646,$AI646&amp;" · borderline (p "&amp;$AN646&amp;")")</f>
        <v/>
      </c>
    </row>
    <row r="647">
      <c r="A647" t="inlineStr">
        <is>
          <t>three-way</t>
        </is>
      </c>
      <c r="B647" t="inlineStr">
        <is>
          <t>FICO x ASSET_CLASS / SYS_FLAG</t>
        </is>
      </c>
      <c r="C647" t="inlineStr">
        <is>
          <t>746 - 921</t>
        </is>
      </c>
      <c r="D647" t="inlineStr">
        <is>
          <t>1 / SYS_FLAG N</t>
        </is>
      </c>
      <c r="E647" t="inlineStr">
        <is>
          <t>ranr_rate</t>
        </is>
      </c>
      <c r="F647" t="inlineStr">
        <is>
          <t>Profit after losses: RANR per booked dollar</t>
        </is>
      </c>
      <c r="G647" t="n">
        <v>231</v>
      </c>
      <c r="H647" t="n">
        <v>7339528.739999998</v>
      </c>
      <c r="I647" t="b">
        <v>0</v>
      </c>
      <c r="J647" t="b">
        <v>0</v>
      </c>
      <c r="K647" t="n">
        <v>-0.07436888902258183</v>
      </c>
      <c r="L647" t="n">
        <v>0.0003768853883842385</v>
      </c>
      <c r="M647" t="n">
        <v>0.01052114723186474</v>
      </c>
      <c r="N647" t="n">
        <v>0.5190338109046239</v>
      </c>
      <c r="O647" t="n">
        <v>545832.5983431097</v>
      </c>
      <c r="P647" t="n">
        <v>-77220.26248604263</v>
      </c>
      <c r="Q647">
        <f>'_live'!$C$23</f>
        <v/>
      </c>
      <c r="R647" t="inlineStr">
        <is>
          <t>shuffled: 0 of 10,000</t>
        </is>
      </c>
      <c r="S647" t="inlineStr">
        <is>
          <t>shuffled: 1,953 of 10,000</t>
        </is>
      </c>
      <c r="T647" t="n">
        <v>0.1301051187576806</v>
      </c>
      <c r="U647" t="n">
        <v>0.04521508250323403</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0.05573622973509877</v>
      </c>
      <c r="AI647">
        <f>IF($Y647="worse","Yes",IF($Y647="worse, not significant","Not sure",IF(OR($Y647="too few losses to test",$Y647="too few loans to test"),"Too few losses",IF($Y647="","","No"))))</f>
        <v/>
      </c>
      <c r="AJ647">
        <f>IF($AA647="yes","Yes",IF($AA647="","","No"))</f>
        <v/>
      </c>
      <c r="AK647" t="n">
        <v>0.0003768853883842385</v>
      </c>
      <c r="AL647" t="n">
        <v>0.009575838863991234</v>
      </c>
      <c r="AM647">
        <f>IF(AND(ISNUMBER($AC647),ISNUMBER(IF($V647,IF($AL647="","",$AL647),IF($AK647="","",$AK647)))),IF(AND(ABS($AC647-significance_bar)&lt;=2.0*IF($V647,IF($AL647="","",$AL647),IF($AK647="","",$AK647)),OR($Y647="worse",$Y647="better",$Y647="worse, not significant",$Y647="better, not significant",AND(profit_kind="test",$Y647="in line",ISNUMBER($AB647),$AB647&lt;&gt;0))),IF(ROUND($AC647,3)=ROUND(significance_bar,3),TEXT($AC647,"0.0000"),TEXT($AC647,"0.000")),""),"")</f>
        <v/>
      </c>
      <c r="AN647">
        <f>IF(AND(ISNUMBER($AC647),ISNUMBER(IF($V647,IF($AL647="","",$AL647),IF($AK647="","",$AK647)))),IF(AND(ABS($AC647-significance_bar)&lt;=2.0*IF($V647,IF($AL647="","",$AL647),IF($AK647="","",$AK647)),OR($Y647="worse",$Y647="worse, not significant",AND(profit_kind="test",$Y647="in line",ISNUMBER($AB647),$AB647&lt;0))),IF(ROUND($AC647,3)=ROUND(significance_bar,3),TEXT($AC647,"0.0000"),TEXT($AC647,"0.000")),""),"")</f>
        <v/>
      </c>
      <c r="AO647">
        <f>IF(OR($AI647="",$AN647=""),$AI647,$AI647&amp;" · borderline (p "&amp;$AN647&amp;")")</f>
        <v/>
      </c>
    </row>
    <row r="648">
      <c r="A648" t="inlineStr">
        <is>
          <t>three-way</t>
        </is>
      </c>
      <c r="B648" t="inlineStr">
        <is>
          <t>FICO x ASSET_CLASS / SYS_FLAG</t>
        </is>
      </c>
      <c r="C648" t="inlineStr">
        <is>
          <t>746 - 921</t>
        </is>
      </c>
      <c r="D648" t="inlineStr">
        <is>
          <t>1 / SYS_FLAG N</t>
        </is>
      </c>
      <c r="E648" t="inlineStr">
        <is>
          <t>contribution_rate</t>
        </is>
      </c>
      <c r="F648" t="inlineStr">
        <is>
          <t>Contribution before losses per booked dollar</t>
        </is>
      </c>
      <c r="G648" t="n">
        <v>231</v>
      </c>
      <c r="H648" t="n">
        <v>7339528.739999998</v>
      </c>
      <c r="I648" t="b">
        <v>0</v>
      </c>
      <c r="J648" t="b">
        <v>0</v>
      </c>
      <c r="K648" t="n">
        <v>-0.1040295299678286</v>
      </c>
      <c r="L648" t="n">
        <v>0.0001814633351479667</v>
      </c>
      <c r="M648" t="n">
        <v>0.002773065362200192</v>
      </c>
      <c r="N648" t="n">
        <v>0.8663133686631337</v>
      </c>
      <c r="O648" t="n">
        <v>763527.7250075691</v>
      </c>
      <c r="P648" t="n">
        <v>-20352.99292376684</v>
      </c>
      <c r="Q648">
        <f>'_live'!$C$24</f>
        <v/>
      </c>
      <c r="R648" t="inlineStr">
        <is>
          <t>shuffled: 0 of 10,000</t>
        </is>
      </c>
      <c r="S648" t="inlineStr">
        <is>
          <t>shuffled: 2,526 of 10,000</t>
        </is>
      </c>
      <c r="T648" t="n">
        <v>0.1725515356463567</v>
      </c>
      <c r="U648" t="n">
        <v>0.06574894031632787</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0.06852200567852806</v>
      </c>
      <c r="AI648">
        <f>IF($Y648="worse","Yes",IF($Y648="worse, not significant","Not sure",IF(OR($Y648="too few losses to test",$Y648="too few loans to test"),"Too few losses",IF($Y648="","","No"))))</f>
        <v/>
      </c>
      <c r="AJ648">
        <f>IF($AA648="yes","Yes",IF($AA648="","","No"))</f>
        <v/>
      </c>
      <c r="AK648" t="n">
        <v>0.0001814633351479667</v>
      </c>
      <c r="AL648" t="n">
        <v>0.01489871944585648</v>
      </c>
      <c r="AM648">
        <f>IF(AND(ISNUMBER($AC648),ISNUMBER(IF($V648,IF($AL648="","",$AL648),IF($AK648="","",$AK648)))),IF(AND(ABS($AC648-significance_bar)&lt;=2.0*IF($V648,IF($AL648="","",$AL648),IF($AK648="","",$AK648)),OR($Y648="worse",$Y648="better",$Y648="worse, not significant",$Y648="better, not significant",AND(profit_kind="test",$Y648="in line",ISNUMBER($AB648),$AB648&lt;&gt;0))),IF(ROUND($AC648,3)=ROUND(significance_bar,3),TEXT($AC648,"0.0000"),TEXT($AC648,"0.000")),""),"")</f>
        <v/>
      </c>
      <c r="AN648">
        <f>IF(AND(ISNUMBER($AC648),ISNUMBER(IF($V648,IF($AL648="","",$AL648),IF($AK648="","",$AK648)))),IF(AND(ABS($AC648-significance_bar)&lt;=2.0*IF($V648,IF($AL648="","",$AL648),IF($AK648="","",$AK648)),OR($Y648="worse",$Y648="worse, not significant",AND(profit_kind="test",$Y648="in line",ISNUMBER($AB648),$AB648&lt;0))),IF(ROUND($AC648,3)=ROUND(significance_bar,3),TEXT($AC648,"0.0000"),TEXT($AC648,"0.000")),""),"")</f>
        <v/>
      </c>
      <c r="AO648">
        <f>IF(OR($AI648="",$AN648=""),$AI648,$AI648&amp;" · borderline (p "&amp;$AN648&amp;")")</f>
        <v/>
      </c>
    </row>
    <row r="649">
      <c r="A649" t="inlineStr">
        <is>
          <t>three-way</t>
        </is>
      </c>
      <c r="B649" t="inlineStr">
        <is>
          <t>FICO x ASSET_CLASS / SYS_FLAG</t>
        </is>
      </c>
      <c r="C649" t="inlineStr">
        <is>
          <t>496 - 653</t>
        </is>
      </c>
      <c r="D649" t="inlineStr">
        <is>
          <t>4 / SYS_FLAG N</t>
        </is>
      </c>
      <c r="E649" t="inlineStr">
        <is>
          <t>outcome_loans</t>
        </is>
      </c>
      <c r="F649" t="inlineStr">
        <is>
          <t>Outcome, share of loans</t>
        </is>
      </c>
      <c r="G649" t="n">
        <v>203</v>
      </c>
      <c r="H649" t="n">
        <v>203</v>
      </c>
      <c r="I649" t="b">
        <v>0</v>
      </c>
      <c r="J649" t="b">
        <v>0</v>
      </c>
      <c r="K649" t="n">
        <v>2.232023914782535</v>
      </c>
      <c r="L649" t="n">
        <v>7.377316778302022e-06</v>
      </c>
      <c r="M649" t="n">
        <v>1.132216748768473</v>
      </c>
      <c r="N649" t="n">
        <v>0.6825786161040511</v>
      </c>
      <c r="O649" t="n">
        <v>18.76718830169318</v>
      </c>
      <c r="P649" t="n">
        <v>3.970414201183431</v>
      </c>
      <c r="Q649">
        <f>'_live'!$C$20</f>
        <v/>
      </c>
      <c r="R649" t="inlineStr">
        <is>
          <t>z test</t>
        </is>
      </c>
      <c r="S649" t="inlineStr">
        <is>
          <t>z test</t>
        </is>
      </c>
      <c r="T649" t="n">
        <v>0.0750384812724474</v>
      </c>
      <c r="U649" t="n">
        <v>0.1479289940828402</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0.167487684729064</v>
      </c>
      <c r="AI649">
        <f>IF($Y649="worse","Yes",IF($Y649="worse, not significant","Not sure",IF(OR($Y649="too few losses to test",$Y649="too few loans to test"),"Too few losses",IF($Y649="","","No"))))</f>
        <v/>
      </c>
      <c r="AJ649">
        <f>IF($AA649="yes","Yes",IF($AA649="","","No"))</f>
        <v/>
      </c>
      <c r="AM649">
        <f>IF(AND(ISNUMBER($AC649),ISNUMBER(IF($V649,IF($AL649="","",$AL649),IF($AK649="","",$AK649)))),IF(AND(ABS($AC649-significance_bar)&lt;=2.0*IF($V649,IF($AL649="","",$AL649),IF($AK649="","",$AK649)),OR($Y649="worse",$Y649="better",$Y649="worse, not significant",$Y649="better, not significant")),IF(ROUND($AC649,3)=ROUND(significance_bar,3),TEXT($AC649,"0.0000"),TEXT($AC649,"0.000")),""),"")</f>
        <v/>
      </c>
      <c r="AN649">
        <f>IF(AND(ISNUMBER($AC649),ISNUMBER(IF($V649,IF($AL649="","",$AL649),IF($AK649="","",$AK649)))),IF(AND(ABS($AC649-significance_bar)&lt;=2.0*IF($V649,IF($AL649="","",$AL649),IF($AK649="","",$AK649)),OR($Y649="worse",$Y649="worse, not significant")),IF(ROUND($AC649,3)=ROUND(significance_bar,3),TEXT($AC649,"0.0000"),TEXT($AC649,"0.000")),""),"")</f>
        <v/>
      </c>
      <c r="AO649">
        <f>IF(OR($AI649="",$AN649=""),$AI649,$AI649&amp;" · borderline (p "&amp;$AN649&amp;")")</f>
        <v/>
      </c>
    </row>
    <row r="650">
      <c r="A650" t="inlineStr">
        <is>
          <t>three-way</t>
        </is>
      </c>
      <c r="B650" t="inlineStr">
        <is>
          <t>FICO x ASSET_CLASS / SYS_FLAG</t>
        </is>
      </c>
      <c r="C650" t="inlineStr">
        <is>
          <t>496 - 653</t>
        </is>
      </c>
      <c r="D650" t="inlineStr">
        <is>
          <t>4 / SYS_FLAG N</t>
        </is>
      </c>
      <c r="E650" t="inlineStr">
        <is>
          <t>outcome_booked</t>
        </is>
      </c>
      <c r="F650" t="inlineStr">
        <is>
          <t>Outcome, share of booked dollars</t>
        </is>
      </c>
      <c r="G650" t="n">
        <v>203</v>
      </c>
      <c r="H650" t="n">
        <v>6530674.840000001</v>
      </c>
      <c r="I650" t="b">
        <v>0</v>
      </c>
      <c r="J650" t="b">
        <v>0</v>
      </c>
      <c r="K650" t="n">
        <v>2.212788377516995</v>
      </c>
      <c r="L650" t="n">
        <v>0.00194980501949805</v>
      </c>
      <c r="M650" t="n">
        <v>1.089383564187331</v>
      </c>
      <c r="N650" t="n">
        <v>0.9032044164004653</v>
      </c>
      <c r="O650" t="n">
        <v>575018.7596230221</v>
      </c>
      <c r="P650" t="n">
        <v>86082.27149408939</v>
      </c>
      <c r="Q650">
        <f>'_live'!$C$21</f>
        <v/>
      </c>
      <c r="R650" t="inlineStr">
        <is>
          <t>shuffled: 2 of 10,000</t>
        </is>
      </c>
      <c r="S650" t="inlineStr">
        <is>
          <t>shuffled: 6,600 of 10,000</t>
        </is>
      </c>
      <c r="T650" t="n">
        <v>0.07260038541085559</v>
      </c>
      <c r="U650" t="n">
        <v>0.1474680675582235</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0.1606492890403957</v>
      </c>
      <c r="AI650">
        <f>IF($Y650="worse","Yes",IF($Y650="worse, not significant","Not sure",IF(OR($Y650="too few losses to test",$Y650="too few loans to test"),"Too few losses",IF($Y650="","","No"))))</f>
        <v/>
      </c>
      <c r="AJ650">
        <f>IF($AA650="yes","Yes",IF($AA650="","","No"))</f>
        <v/>
      </c>
      <c r="AK650" t="n">
        <v>0.00112560787520003</v>
      </c>
      <c r="AL650" t="n">
        <v>0.006482173404244217</v>
      </c>
      <c r="AM650">
        <f>IF(AND(ISNUMBER($AC650),ISNUMBER(IF($V650,IF($AL650="","",$AL650),IF($AK650="","",$AK650)))),IF(AND(ABS($AC650-significance_bar)&lt;=2.0*IF($V650,IF($AL650="","",$AL650),IF($AK650="","",$AK650)),OR($Y650="worse",$Y650="better",$Y650="worse, not significant",$Y650="better, not significant")),IF(ROUND($AC650,3)=ROUND(significance_bar,3),TEXT($AC650,"0.0000"),TEXT($AC650,"0.000")),""),"")</f>
        <v/>
      </c>
      <c r="AN650">
        <f>IF(AND(ISNUMBER($AC650),ISNUMBER(IF($V650,IF($AL650="","",$AL650),IF($AK650="","",$AK650)))),IF(AND(ABS($AC650-significance_bar)&lt;=2.0*IF($V650,IF($AL650="","",$AL650),IF($AK650="","",$AK650)),OR($Y650="worse",$Y650="worse, not significant")),IF(ROUND($AC650,3)=ROUND(significance_bar,3),TEXT($AC650,"0.0000"),TEXT($AC650,"0.000")),""),"")</f>
        <v/>
      </c>
      <c r="AO650">
        <f>IF(OR($AI650="",$AN650=""),$AI650,$AI650&amp;" · borderline (p "&amp;$AN650&amp;")")</f>
        <v/>
      </c>
    </row>
    <row r="651">
      <c r="A651" t="inlineStr">
        <is>
          <t>three-way</t>
        </is>
      </c>
      <c r="B651" t="inlineStr">
        <is>
          <t>FICO x ASSET_CLASS / SYS_FLAG</t>
        </is>
      </c>
      <c r="C651" t="inlineStr">
        <is>
          <t>496 - 653</t>
        </is>
      </c>
      <c r="D651" t="inlineStr">
        <is>
          <t>4 / SYS_FLAG N</t>
        </is>
      </c>
      <c r="E651" t="inlineStr">
        <is>
          <t>gco_rate</t>
        </is>
      </c>
      <c r="F651" t="inlineStr">
        <is>
          <t>GCO per booked dollar</t>
        </is>
      </c>
      <c r="G651" t="n">
        <v>203</v>
      </c>
      <c r="H651" t="n">
        <v>6530674.840000001</v>
      </c>
      <c r="I651" t="b">
        <v>0</v>
      </c>
      <c r="J651" t="b">
        <v>0</v>
      </c>
      <c r="K651" t="n">
        <v>2.443690944030755</v>
      </c>
      <c r="L651" t="n">
        <v>0.0006499350064993501</v>
      </c>
      <c r="M651" t="n">
        <v>1.20660476623423</v>
      </c>
      <c r="N651" t="n">
        <v>0.6096390360963904</v>
      </c>
      <c r="O651" t="n">
        <v>378437.9463278894</v>
      </c>
      <c r="P651" t="n">
        <v>109683.6827311813</v>
      </c>
      <c r="Q651">
        <f>'_live'!$C$22</f>
        <v/>
      </c>
      <c r="R651" t="inlineStr">
        <is>
          <t>shuffled: 0 of 10,000</t>
        </is>
      </c>
      <c r="S651" t="inlineStr">
        <is>
          <t>shuffled: 3,282 of 10,000</t>
        </is>
      </c>
      <c r="T651" t="n">
        <v>0.04013861508868366</v>
      </c>
      <c r="U651" t="n">
        <v>0.08129121725938186</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0.09808637019815246</v>
      </c>
      <c r="AI651">
        <f>IF($Y651="worse","Yes",IF($Y651="worse, not significant","Not sure",IF(OR($Y651="too few losses to test",$Y651="too few loans to test"),"Too few losses",IF($Y651="","","No"))))</f>
        <v/>
      </c>
      <c r="AJ651">
        <f>IF($AA651="yes","Yes",IF($AA651="","","No"))</f>
        <v/>
      </c>
      <c r="AK651" t="n">
        <v>0.0006499350064993501</v>
      </c>
      <c r="AL651" t="n">
        <v>0.008720820070322124</v>
      </c>
      <c r="AM651">
        <f>IF(AND(ISNUMBER($AC651),ISNUMBER(IF($V651,IF($AL651="","",$AL651),IF($AK651="","",$AK651)))),IF(AND(ABS($AC651-significance_bar)&lt;=2.0*IF($V651,IF($AL651="","",$AL651),IF($AK651="","",$AK651)),OR($Y651="worse",$Y651="better",$Y651="worse, not significant",$Y651="better, not significant")),IF(ROUND($AC651,3)=ROUND(significance_bar,3),TEXT($AC651,"0.0000"),TEXT($AC651,"0.000")),""),"")</f>
        <v/>
      </c>
      <c r="AN651">
        <f>IF(AND(ISNUMBER($AC651),ISNUMBER(IF($V651,IF($AL651="","",$AL651),IF($AK651="","",$AK651)))),IF(AND(ABS($AC651-significance_bar)&lt;=2.0*IF($V651,IF($AL651="","",$AL651),IF($AK651="","",$AK651)),OR($Y651="worse",$Y651="worse, not significant")),IF(ROUND($AC651,3)=ROUND(significance_bar,3),TEXT($AC651,"0.0000"),TEXT($AC651,"0.000")),""),"")</f>
        <v/>
      </c>
      <c r="AO651">
        <f>IF(OR($AI651="",$AN651=""),$AI651,$AI651&amp;" · borderline (p "&amp;$AN651&amp;")")</f>
        <v/>
      </c>
    </row>
    <row r="652">
      <c r="A652" t="inlineStr">
        <is>
          <t>three-way</t>
        </is>
      </c>
      <c r="B652" t="inlineStr">
        <is>
          <t>FICO x ASSET_CLASS / SYS_FLAG</t>
        </is>
      </c>
      <c r="C652" t="inlineStr">
        <is>
          <t>496 - 653</t>
        </is>
      </c>
      <c r="D652" t="inlineStr">
        <is>
          <t>4 / SYS_FLAG N</t>
        </is>
      </c>
      <c r="E652" t="inlineStr">
        <is>
          <t>ranr_rate</t>
        </is>
      </c>
      <c r="F652" t="inlineStr">
        <is>
          <t>Profit after losses: RANR per booked dollar</t>
        </is>
      </c>
      <c r="G652" t="n">
        <v>203</v>
      </c>
      <c r="H652" t="n">
        <v>6530674.840000001</v>
      </c>
      <c r="I652" t="b">
        <v>0</v>
      </c>
      <c r="J652" t="b">
        <v>0</v>
      </c>
      <c r="K652" t="n">
        <v>0.05343059413205792</v>
      </c>
      <c r="L652" t="n">
        <v>0.0014410323673515</v>
      </c>
      <c r="M652" t="n">
        <v>-0.0115954076913283</v>
      </c>
      <c r="N652" t="n">
        <v>0.8858714128587142</v>
      </c>
      <c r="O652" t="n">
        <v>-348937.8367844822</v>
      </c>
      <c r="P652" t="n">
        <v>75725.83726930036</v>
      </c>
      <c r="Q652">
        <f>'_live'!$C$23</f>
        <v/>
      </c>
      <c r="R652" t="inlineStr">
        <is>
          <t>shuffled: 4 of 10,000</t>
        </is>
      </c>
      <c r="S652" t="inlineStr">
        <is>
          <t>shuffled: 5,744 of 10,000</t>
        </is>
      </c>
      <c r="T652" t="n">
        <v>0.1266379361210882</v>
      </c>
      <c r="U652" t="n">
        <v>0.1916639379444744</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0.1800685302531461</v>
      </c>
      <c r="AI652">
        <f>IF($Y652="worse","Yes",IF($Y652="worse, not significant","Not sure",IF(OR($Y652="too few losses to test",$Y652="too few loans to test"),"Too few losses",IF($Y652="","","No"))))</f>
        <v/>
      </c>
      <c r="AJ652">
        <f>IF($AA652="yes","Yes",IF($AA652="","","No"))</f>
        <v/>
      </c>
      <c r="AK652" t="n">
        <v>0.0006443203634902698</v>
      </c>
      <c r="AL652" t="n">
        <v>0.005275201752636222</v>
      </c>
      <c r="AM652">
        <f>IF(AND(ISNUMBER($AC652),ISNUMBER(IF($V652,IF($AL652="","",$AL652),IF($AK652="","",$AK652)))),IF(AND(ABS($AC652-significance_bar)&lt;=2.0*IF($V652,IF($AL652="","",$AL652),IF($AK652="","",$AK652)),OR($Y652="worse",$Y652="better",$Y652="worse, not significant",$Y652="better, not significant",AND(profit_kind="test",$Y652="in line",ISNUMBER($AB652),$AB652&lt;&gt;0))),IF(ROUND($AC652,3)=ROUND(significance_bar,3),TEXT($AC652,"0.0000"),TEXT($AC652,"0.000")),""),"")</f>
        <v/>
      </c>
      <c r="AN652">
        <f>IF(AND(ISNUMBER($AC652),ISNUMBER(IF($V652,IF($AL652="","",$AL652),IF($AK652="","",$AK652)))),IF(AND(ABS($AC652-significance_bar)&lt;=2.0*IF($V652,IF($AL652="","",$AL652),IF($AK652="","",$AK652)),OR($Y652="worse",$Y652="worse, not significant",AND(profit_kind="test",$Y652="in line",ISNUMBER($AB652),$AB652&lt;0))),IF(ROUND($AC652,3)=ROUND(significance_bar,3),TEXT($AC652,"0.0000"),TEXT($AC652,"0.000")),""),"")</f>
        <v/>
      </c>
      <c r="AO652">
        <f>IF(OR($AI652="",$AN652=""),$AI652,$AI652&amp;" · borderline (p "&amp;$AN652&amp;")")</f>
        <v/>
      </c>
    </row>
    <row r="653">
      <c r="A653" t="inlineStr">
        <is>
          <t>three-way</t>
        </is>
      </c>
      <c r="B653" t="inlineStr">
        <is>
          <t>FICO x ASSET_CLASS / SYS_FLAG</t>
        </is>
      </c>
      <c r="C653" t="inlineStr">
        <is>
          <t>496 - 653</t>
        </is>
      </c>
      <c r="D653" t="inlineStr">
        <is>
          <t>4 / SYS_FLAG N</t>
        </is>
      </c>
      <c r="E653" t="inlineStr">
        <is>
          <t>contribution_rate</t>
        </is>
      </c>
      <c r="F653" t="inlineStr">
        <is>
          <t>Contribution before losses per booked dollar</t>
        </is>
      </c>
      <c r="G653" t="n">
        <v>203</v>
      </c>
      <c r="H653" t="n">
        <v>6530674.840000001</v>
      </c>
      <c r="I653" t="b">
        <v>0</v>
      </c>
      <c r="J653" t="b">
        <v>0</v>
      </c>
      <c r="K653" t="n">
        <v>0.1113814960872897</v>
      </c>
      <c r="L653" t="n">
        <v>0.0001814633351479667</v>
      </c>
      <c r="M653" t="n">
        <v>0.005199745247442322</v>
      </c>
      <c r="N653" t="n">
        <v>0.9799190293736585</v>
      </c>
      <c r="O653" t="n">
        <v>-727396.3341388211</v>
      </c>
      <c r="P653" t="n">
        <v>-33957.84546188102</v>
      </c>
      <c r="Q653">
        <f>'_live'!$C$24</f>
        <v/>
      </c>
      <c r="R653" t="inlineStr">
        <is>
          <t>shuffled: 0 of 10,000</t>
        </is>
      </c>
      <c r="S653" t="inlineStr">
        <is>
          <t>shuffled: 6,674 of 10,000</t>
        </is>
      </c>
      <c r="T653" t="n">
        <v>0.166773404364009</v>
      </c>
      <c r="U653" t="n">
        <v>0.2729551552038563</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0.2781549004512986</v>
      </c>
      <c r="AI653">
        <f>IF($Y653="worse","Yes",IF($Y653="worse, not significant","Not sure",IF(OR($Y653="too few losses to test",$Y653="too few loans to test"),"Too few losses",IF($Y653="","","No"))))</f>
        <v/>
      </c>
      <c r="AJ653">
        <f>IF($AA653="yes","Yes",IF($AA653="","","No"))</f>
        <v/>
      </c>
      <c r="AK653" t="n">
        <v>0.0001814633351479667</v>
      </c>
      <c r="AL653" t="n">
        <v>0.002013133534953629</v>
      </c>
      <c r="AM653">
        <f>IF(AND(ISNUMBER($AC653),ISNUMBER(IF($V653,IF($AL653="","",$AL653),IF($AK653="","",$AK653)))),IF(AND(ABS($AC653-significance_bar)&lt;=2.0*IF($V653,IF($AL653="","",$AL653),IF($AK653="","",$AK653)),OR($Y653="worse",$Y653="better",$Y653="worse, not significant",$Y653="better, not significant",AND(profit_kind="test",$Y653="in line",ISNUMBER($AB653),$AB653&lt;&gt;0))),IF(ROUND($AC653,3)=ROUND(significance_bar,3),TEXT($AC653,"0.0000"),TEXT($AC653,"0.000")),""),"")</f>
        <v/>
      </c>
      <c r="AN653">
        <f>IF(AND(ISNUMBER($AC653),ISNUMBER(IF($V653,IF($AL653="","",$AL653),IF($AK653="","",$AK653)))),IF(AND(ABS($AC653-significance_bar)&lt;=2.0*IF($V653,IF($AL653="","",$AL653),IF($AK653="","",$AK653)),OR($Y653="worse",$Y653="worse, not significant",AND(profit_kind="test",$Y653="in line",ISNUMBER($AB653),$AB653&lt;0))),IF(ROUND($AC653,3)=ROUND(significance_bar,3),TEXT($AC653,"0.0000"),TEXT($AC653,"0.000")),""),"")</f>
        <v/>
      </c>
      <c r="AO653">
        <f>IF(OR($AI653="",$AN653=""),$AI653,$AI653&amp;" · borderline (p "&amp;$AN653&amp;")")</f>
        <v/>
      </c>
    </row>
    <row r="654">
      <c r="A654" t="inlineStr">
        <is>
          <t>three-way</t>
        </is>
      </c>
      <c r="B654" t="inlineStr">
        <is>
          <t>FICO x ASSET_CLASS / SYS_FLAG</t>
        </is>
      </c>
      <c r="C654" t="inlineStr">
        <is>
          <t>686 - 711</t>
        </is>
      </c>
      <c r="D654" t="inlineStr">
        <is>
          <t>4 / SYS_FLAG Y</t>
        </is>
      </c>
      <c r="E654" t="inlineStr">
        <is>
          <t>outcome_loans</t>
        </is>
      </c>
      <c r="F654" t="inlineStr">
        <is>
          <t>Outcome, share of loans</t>
        </is>
      </c>
      <c r="G654" t="n">
        <v>172</v>
      </c>
      <c r="H654" t="n">
        <v>172</v>
      </c>
      <c r="I654" t="b">
        <v>0</v>
      </c>
      <c r="J654" t="b">
        <v>0</v>
      </c>
      <c r="K654" t="n">
        <v>1.130111273679347</v>
      </c>
      <c r="L654" t="n">
        <v>0.707554357141477</v>
      </c>
      <c r="M654" t="n">
        <v>1.496554694229113</v>
      </c>
      <c r="N654" t="n">
        <v>0.3538064683800896</v>
      </c>
      <c r="O654" t="n">
        <v>1.726970742302289</v>
      </c>
      <c r="P654" t="n">
        <v>4.976978417266187</v>
      </c>
      <c r="Q654">
        <f>'_live'!$C$20</f>
        <v/>
      </c>
      <c r="R654" t="inlineStr">
        <is>
          <t>z test</t>
        </is>
      </c>
      <c r="S654" t="inlineStr">
        <is>
          <t>z test</t>
        </is>
      </c>
      <c r="T654" t="n">
        <v>0.07716877475405647</v>
      </c>
      <c r="U654" t="n">
        <v>0.05827338129496403</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0.0872093023255814</v>
      </c>
      <c r="AI654">
        <f>IF($Y654="worse","Yes",IF($Y654="worse, not significant","Not sure",IF(OR($Y654="too few losses to test",$Y654="too few loans to test"),"Too few losses",IF($Y654="","","No"))))</f>
        <v/>
      </c>
      <c r="AJ654">
        <f>IF($AA654="yes","Yes",IF($AA654="","","No"))</f>
        <v/>
      </c>
      <c r="AM654">
        <f>IF(AND(ISNUMBER($AC654),ISNUMBER(IF($V654,IF($AL654="","",$AL654),IF($AK654="","",$AK654)))),IF(AND(ABS($AC654-significance_bar)&lt;=2.0*IF($V654,IF($AL654="","",$AL654),IF($AK654="","",$AK654)),OR($Y654="worse",$Y654="better",$Y654="worse, not significant",$Y654="better, not significant")),IF(ROUND($AC654,3)=ROUND(significance_bar,3),TEXT($AC654,"0.0000"),TEXT($AC654,"0.000")),""),"")</f>
        <v/>
      </c>
      <c r="AN654">
        <f>IF(AND(ISNUMBER($AC654),ISNUMBER(IF($V654,IF($AL654="","",$AL654),IF($AK654="","",$AK654)))),IF(AND(ABS($AC654-significance_bar)&lt;=2.0*IF($V654,IF($AL654="","",$AL654),IF($AK654="","",$AK654)),OR($Y654="worse",$Y654="worse, not significant")),IF(ROUND($AC654,3)=ROUND(significance_bar,3),TEXT($AC654,"0.0000"),TEXT($AC654,"0.000")),""),"")</f>
        <v/>
      </c>
      <c r="AO654">
        <f>IF(OR($AI654="",$AN654=""),$AI654,$AI654&amp;" · borderline (p "&amp;$AN654&amp;")")</f>
        <v/>
      </c>
    </row>
    <row r="655">
      <c r="A655" t="inlineStr">
        <is>
          <t>three-way</t>
        </is>
      </c>
      <c r="B655" t="inlineStr">
        <is>
          <t>FICO x ASSET_CLASS / SYS_FLAG</t>
        </is>
      </c>
      <c r="C655" t="inlineStr">
        <is>
          <t>686 - 711</t>
        </is>
      </c>
      <c r="D655" t="inlineStr">
        <is>
          <t>4 / SYS_FLAG Y</t>
        </is>
      </c>
      <c r="E655" t="inlineStr">
        <is>
          <t>outcome_booked</t>
        </is>
      </c>
      <c r="F655" t="inlineStr">
        <is>
          <t>Outcome, share of booked dollars</t>
        </is>
      </c>
      <c r="G655" t="n">
        <v>172</v>
      </c>
      <c r="H655" t="n">
        <v>5966272.880000001</v>
      </c>
      <c r="I655" t="b">
        <v>0</v>
      </c>
      <c r="J655" t="b">
        <v>0</v>
      </c>
      <c r="K655" t="n">
        <v>0.9957997938986642</v>
      </c>
      <c r="L655" t="n">
        <v>0.9877012298770123</v>
      </c>
      <c r="M655" t="n">
        <v>1.366784097711207</v>
      </c>
      <c r="N655" t="n">
        <v>0.5657034296570344</v>
      </c>
      <c r="O655" t="n">
        <v>-1875.361832461262</v>
      </c>
      <c r="P655" t="n">
        <v>119315.5601517432</v>
      </c>
      <c r="Q655">
        <f>'_live'!$C$21</f>
        <v/>
      </c>
      <c r="R655" t="inlineStr">
        <is>
          <t>shuffled: 9,877 of 10,000</t>
        </is>
      </c>
      <c r="S655" t="inlineStr">
        <is>
          <t>shuffled: 3,263 of 10,000</t>
        </is>
      </c>
      <c r="T655" t="n">
        <v>0.07483613653159982</v>
      </c>
      <c r="U655" t="n">
        <v>0.05452346823403371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0.0745218093343394</v>
      </c>
      <c r="AI655">
        <f>IF($Y655="worse","Yes",IF($Y655="worse, not significant","Not sure",IF(OR($Y655="too few losses to test",$Y655="too few loans to test"),"Too few losses",IF($Y655="","","No"))))</f>
        <v/>
      </c>
      <c r="AJ655">
        <f>IF($AA655="yes","Yes",IF($AA655="","","No"))</f>
        <v/>
      </c>
      <c r="AK655" t="n">
        <v>0.001102157446849117</v>
      </c>
      <c r="AL655" t="n">
        <v>0.00812731346189991</v>
      </c>
      <c r="AM655">
        <f>IF(AND(ISNUMBER($AC655),ISNUMBER(IF($V655,IF($AL655="","",$AL655),IF($AK655="","",$AK655)))),IF(AND(ABS($AC655-significance_bar)&lt;=2.0*IF($V655,IF($AL655="","",$AL655),IF($AK655="","",$AK655)),OR($Y655="worse",$Y655="better",$Y655="worse, not significant",$Y655="better, not significant")),IF(ROUND($AC655,3)=ROUND(significance_bar,3),TEXT($AC655,"0.0000"),TEXT($AC655,"0.000")),""),"")</f>
        <v/>
      </c>
      <c r="AN655">
        <f>IF(AND(ISNUMBER($AC655),ISNUMBER(IF($V655,IF($AL655="","",$AL655),IF($AK655="","",$AK655)))),IF(AND(ABS($AC655-significance_bar)&lt;=2.0*IF($V655,IF($AL655="","",$AL655),IF($AK655="","",$AK655)),OR($Y655="worse",$Y655="worse, not significant")),IF(ROUND($AC655,3)=ROUND(significance_bar,3),TEXT($AC655,"0.0000"),TEXT($AC655,"0.000")),""),"")</f>
        <v/>
      </c>
      <c r="AO655">
        <f>IF(OR($AI655="",$AN655=""),$AI655,$AI655&amp;" · borderline (p "&amp;$AN655&amp;")")</f>
        <v/>
      </c>
    </row>
    <row r="656">
      <c r="A656" t="inlineStr">
        <is>
          <t>three-way</t>
        </is>
      </c>
      <c r="B656" t="inlineStr">
        <is>
          <t>FICO x ASSET_CLASS / SYS_FLAG</t>
        </is>
      </c>
      <c r="C656" t="inlineStr">
        <is>
          <t>686 - 711</t>
        </is>
      </c>
      <c r="D656" t="inlineStr">
        <is>
          <t>4 / SYS_FLAG Y</t>
        </is>
      </c>
      <c r="E656" t="inlineStr">
        <is>
          <t>gco_rate</t>
        </is>
      </c>
      <c r="F656" t="inlineStr">
        <is>
          <t>GCO per booked dollar</t>
        </is>
      </c>
      <c r="G656" t="n">
        <v>172</v>
      </c>
      <c r="H656" t="n">
        <v>5966272.880000001</v>
      </c>
      <c r="I656" t="b">
        <v>0</v>
      </c>
      <c r="J656" t="b">
        <v>0</v>
      </c>
      <c r="K656" t="n">
        <v>1.105712882707915</v>
      </c>
      <c r="L656" t="n">
        <v>0.8618138186181382</v>
      </c>
      <c r="M656" t="n">
        <v>1.549802678879262</v>
      </c>
      <c r="N656" t="n">
        <v>0.4351964803519648</v>
      </c>
      <c r="O656" t="n">
        <v>26176.95060498663</v>
      </c>
      <c r="P656" t="n">
        <v>97132.36241023208</v>
      </c>
      <c r="Q656">
        <f>'_live'!$C$22</f>
        <v/>
      </c>
      <c r="R656" t="inlineStr">
        <is>
          <t>shuffled: 7,292 of 10,000</t>
        </is>
      </c>
      <c r="S656" t="inlineStr">
        <is>
          <t>shuffled: 1,673 of 10,000</t>
        </is>
      </c>
      <c r="T656" t="n">
        <v>0.04150381559400168</v>
      </c>
      <c r="U656" t="n">
        <v>0.02961106223987661</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0.04589130358382132</v>
      </c>
      <c r="AI656">
        <f>IF($Y656="worse","Yes",IF($Y656="worse, not significant","Not sure",IF(OR($Y656="too few losses to test",$Y656="too few loans to test"),"Too few losses",IF($Y656="","","No"))))</f>
        <v/>
      </c>
      <c r="AJ656">
        <f>IF($AA656="yes","Yes",IF($AA656="","","No"))</f>
        <v/>
      </c>
      <c r="AK656" t="n">
        <v>0.005251515802355499</v>
      </c>
      <c r="AL656" t="n">
        <v>0.009706260208774388</v>
      </c>
      <c r="AM656">
        <f>IF(AND(ISNUMBER($AC656),ISNUMBER(IF($V656,IF($AL656="","",$AL656),IF($AK656="","",$AK656)))),IF(AND(ABS($AC656-significance_bar)&lt;=2.0*IF($V656,IF($AL656="","",$AL656),IF($AK656="","",$AK656)),OR($Y656="worse",$Y656="better",$Y656="worse, not significant",$Y656="better, not significant")),IF(ROUND($AC656,3)=ROUND(significance_bar,3),TEXT($AC656,"0.0000"),TEXT($AC656,"0.000")),""),"")</f>
        <v/>
      </c>
      <c r="AN656">
        <f>IF(AND(ISNUMBER($AC656),ISNUMBER(IF($V656,IF($AL656="","",$AL656),IF($AK656="","",$AK656)))),IF(AND(ABS($AC656-significance_bar)&lt;=2.0*IF($V656,IF($AL656="","",$AL656),IF($AK656="","",$AK656)),OR($Y656="worse",$Y656="worse, not significant")),IF(ROUND($AC656,3)=ROUND(significance_bar,3),TEXT($AC656,"0.0000"),TEXT($AC656,"0.000")),""),"")</f>
        <v/>
      </c>
      <c r="AO656">
        <f>IF(OR($AI656="",$AN656=""),$AI656,$AI656&amp;" · borderline (p "&amp;$AN656&amp;")")</f>
        <v/>
      </c>
    </row>
    <row r="657">
      <c r="A657" t="inlineStr">
        <is>
          <t>three-way</t>
        </is>
      </c>
      <c r="B657" t="inlineStr">
        <is>
          <t>FICO x ASSET_CLASS / SYS_FLAG</t>
        </is>
      </c>
      <c r="C657" t="inlineStr">
        <is>
          <t>686 - 711</t>
        </is>
      </c>
      <c r="D657" t="inlineStr">
        <is>
          <t>4 / SYS_FLAG Y</t>
        </is>
      </c>
      <c r="E657" t="inlineStr">
        <is>
          <t>ranr_rate</t>
        </is>
      </c>
      <c r="F657" t="inlineStr">
        <is>
          <t>Profit after losses: RANR per booked dollar</t>
        </is>
      </c>
      <c r="G657" t="n">
        <v>172</v>
      </c>
      <c r="H657" t="n">
        <v>5966272.880000001</v>
      </c>
      <c r="I657" t="b">
        <v>0</v>
      </c>
      <c r="J657" t="b">
        <v>0</v>
      </c>
      <c r="K657" t="n">
        <v>-0.001617130080056151</v>
      </c>
      <c r="L657" t="n">
        <v>0.9443805619438056</v>
      </c>
      <c r="M657" t="n">
        <v>-0.01756183126682659</v>
      </c>
      <c r="N657" t="n">
        <v>0.5190338109046239</v>
      </c>
      <c r="O657" t="n">
        <v>9648.239340071217</v>
      </c>
      <c r="P657" t="n">
        <v>104778.6776104035</v>
      </c>
      <c r="Q657">
        <f>'_live'!$C$23</f>
        <v/>
      </c>
      <c r="R657" t="inlineStr">
        <is>
          <t>shuffled: 9,165 of 10,000</t>
        </is>
      </c>
      <c r="S657" t="inlineStr">
        <is>
          <t>shuffled: 2,270 of 10,000</t>
        </is>
      </c>
      <c r="T657" t="n">
        <v>0.1280274360062577</v>
      </c>
      <c r="U657" t="n">
        <v>0.1439721371930281</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0.1264103059262016</v>
      </c>
      <c r="AI657">
        <f>IF($Y657="worse","Yes",IF($Y657="worse, not significant","Not sure",IF(OR($Y657="too few losses to test",$Y657="too few loans to test"),"Too few losses",IF($Y657="","","No"))))</f>
        <v/>
      </c>
      <c r="AJ657">
        <f>IF($AA657="yes","Yes",IF($AA657="","","No"))</f>
        <v/>
      </c>
      <c r="AK657" t="n">
        <v>0.002687015281069378</v>
      </c>
      <c r="AL657" t="n">
        <v>0.009575838863991234</v>
      </c>
      <c r="AM657">
        <f>IF(AND(ISNUMBER($AC657),ISNUMBER(IF($V657,IF($AL657="","",$AL657),IF($AK657="","",$AK657)))),IF(AND(ABS($AC657-significance_bar)&lt;=2.0*IF($V657,IF($AL657="","",$AL657),IF($AK657="","",$AK657)),OR($Y657="worse",$Y657="better",$Y657="worse, not significant",$Y657="better, not significant",AND(profit_kind="test",$Y657="in line",ISNUMBER($AB657),$AB657&lt;&gt;0))),IF(ROUND($AC657,3)=ROUND(significance_bar,3),TEXT($AC657,"0.0000"),TEXT($AC657,"0.000")),""),"")</f>
        <v/>
      </c>
      <c r="AN657">
        <f>IF(AND(ISNUMBER($AC657),ISNUMBER(IF($V657,IF($AL657="","",$AL657),IF($AK657="","",$AK657)))),IF(AND(ABS($AC657-significance_bar)&lt;=2.0*IF($V657,IF($AL657="","",$AL657),IF($AK657="","",$AK657)),OR($Y657="worse",$Y657="worse, not significant",AND(profit_kind="test",$Y657="in line",ISNUMBER($AB657),$AB657&lt;0))),IF(ROUND($AC657,3)=ROUND(significance_bar,3),TEXT($AC657,"0.0000"),TEXT($AC657,"0.000")),""),"")</f>
        <v/>
      </c>
      <c r="AO657">
        <f>IF(OR($AI657="",$AN657=""),$AI657,$AI657&amp;" · borderline (p "&amp;$AN657&amp;")")</f>
        <v/>
      </c>
    </row>
    <row r="658">
      <c r="A658" t="inlineStr">
        <is>
          <t>three-way</t>
        </is>
      </c>
      <c r="B658" t="inlineStr">
        <is>
          <t>FICO x ASSET_CLASS / SYS_FLAG</t>
        </is>
      </c>
      <c r="C658" t="inlineStr">
        <is>
          <t>686 - 711</t>
        </is>
      </c>
      <c r="D658" t="inlineStr">
        <is>
          <t>4 / SYS_FLAG Y</t>
        </is>
      </c>
      <c r="E658" t="inlineStr">
        <is>
          <t>contribution_rate</t>
        </is>
      </c>
      <c r="F658" t="inlineStr">
        <is>
          <t>Contribution before losses per booked dollar</t>
        </is>
      </c>
      <c r="G658" t="n">
        <v>172</v>
      </c>
      <c r="H658" t="n">
        <v>5966272.880000001</v>
      </c>
      <c r="I658" t="b">
        <v>0</v>
      </c>
      <c r="J658" t="b">
        <v>0</v>
      </c>
      <c r="K658" t="n">
        <v>0.002773278948040553</v>
      </c>
      <c r="L658" t="n">
        <v>0.8485951404859514</v>
      </c>
      <c r="M658" t="n">
        <v>-0.001281589922881965</v>
      </c>
      <c r="N658" t="n">
        <v>0.9799190293736585</v>
      </c>
      <c r="O658" t="n">
        <v>-16546.13897636917</v>
      </c>
      <c r="P658" t="n">
        <v>7646.315200172015</v>
      </c>
      <c r="Q658">
        <f>'_live'!$C$24</f>
        <v/>
      </c>
      <c r="R658" t="inlineStr">
        <is>
          <t>shuffled: 7,793 of 10,000</t>
        </is>
      </c>
      <c r="S658" t="inlineStr">
        <is>
          <t>shuffled: 8,738 of 10,000</t>
        </is>
      </c>
      <c r="T658" t="n">
        <v>0.1695283305619823</v>
      </c>
      <c r="U658" t="n">
        <v>0.1735831994329048</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0.1723016095100228</v>
      </c>
      <c r="AI658">
        <f>IF($Y658="worse","Yes",IF($Y658="worse, not significant","Not sure",IF(OR($Y658="too few losses to test",$Y658="too few loans to test"),"Too few losses",IF($Y658="","","No"))))</f>
        <v/>
      </c>
      <c r="AJ658">
        <f>IF($AA658="yes","Yes",IF($AA658="","","No"))</f>
        <v/>
      </c>
      <c r="AK658" t="n">
        <v>0.004515662821600906</v>
      </c>
      <c r="AL658" t="n">
        <v>0.002013133534953629</v>
      </c>
      <c r="AM658">
        <f>IF(AND(ISNUMBER($AC658),ISNUMBER(IF($V658,IF($AL658="","",$AL658),IF($AK658="","",$AK658)))),IF(AND(ABS($AC658-significance_bar)&lt;=2.0*IF($V658,IF($AL658="","",$AL658),IF($AK658="","",$AK658)),OR($Y658="worse",$Y658="better",$Y658="worse, not significant",$Y658="better, not significant",AND(profit_kind="test",$Y658="in line",ISNUMBER($AB658),$AB658&lt;&gt;0))),IF(ROUND($AC658,3)=ROUND(significance_bar,3),TEXT($AC658,"0.0000"),TEXT($AC658,"0.000")),""),"")</f>
        <v/>
      </c>
      <c r="AN658">
        <f>IF(AND(ISNUMBER($AC658),ISNUMBER(IF($V658,IF($AL658="","",$AL658),IF($AK658="","",$AK658)))),IF(AND(ABS($AC658-significance_bar)&lt;=2.0*IF($V658,IF($AL658="","",$AL658),IF($AK658="","",$AK658)),OR($Y658="worse",$Y658="worse, not significant",AND(profit_kind="test",$Y658="in line",ISNUMBER($AB658),$AB658&lt;0))),IF(ROUND($AC658,3)=ROUND(significance_bar,3),TEXT($AC658,"0.0000"),TEXT($AC658,"0.000")),""),"")</f>
        <v/>
      </c>
      <c r="AO658">
        <f>IF(OR($AI658="",$AN658=""),$AI658,$AI658&amp;" · borderline (p "&amp;$AN658&amp;")")</f>
        <v/>
      </c>
    </row>
    <row r="659">
      <c r="A659" t="inlineStr">
        <is>
          <t>three-way</t>
        </is>
      </c>
      <c r="B659" t="inlineStr">
        <is>
          <t>FICO x ASSET_CLASS / SYS_FLAG</t>
        </is>
      </c>
      <c r="C659" t="inlineStr">
        <is>
          <t>654 - 685</t>
        </is>
      </c>
      <c r="D659" t="inlineStr">
        <is>
          <t>2 / SYS_FLAG N</t>
        </is>
      </c>
      <c r="E659" t="inlineStr">
        <is>
          <t>outcome_loans</t>
        </is>
      </c>
      <c r="F659" t="inlineStr">
        <is>
          <t>Outcome, share of loans</t>
        </is>
      </c>
      <c r="G659" t="n">
        <v>192</v>
      </c>
      <c r="H659" t="n">
        <v>192</v>
      </c>
      <c r="I659" t="b">
        <v>1</v>
      </c>
      <c r="J659" t="b">
        <v>0</v>
      </c>
      <c r="K659" t="n">
        <v>0.2644647696476965</v>
      </c>
      <c r="M659" t="n">
        <v>0.222718253968254</v>
      </c>
      <c r="O659" t="n">
        <v>-11.12488792109645</v>
      </c>
      <c r="P659" t="n">
        <v>-13.95991091314031</v>
      </c>
      <c r="Q659">
        <f>'_live'!$C$20</f>
        <v/>
      </c>
      <c r="T659" t="n">
        <v>0.07877545792237735</v>
      </c>
      <c r="U659" t="n">
        <v>0.09354120267260579</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0.02083333333333333</v>
      </c>
      <c r="AI659">
        <f>IF($Y659="worse","Yes",IF($Y659="worse, not significant","Not sure",IF(OR($Y659="too few losses to test",$Y659="too few loans to test"),"Too few losses",IF($Y659="","","No"))))</f>
        <v/>
      </c>
      <c r="AJ659">
        <f>IF($AA659="yes","Yes",IF($AA659="","","No"))</f>
        <v/>
      </c>
      <c r="AM659">
        <f>IF(AND(ISNUMBER($AC659),ISNUMBER(IF($V659,IF($AL659="","",$AL659),IF($AK659="","",$AK659)))),IF(AND(ABS($AC659-significance_bar)&lt;=2.0*IF($V659,IF($AL659="","",$AL659),IF($AK659="","",$AK659)),OR($Y659="worse",$Y659="better",$Y659="worse, not significant",$Y659="better, not significant")),IF(ROUND($AC659,3)=ROUND(significance_bar,3),TEXT($AC659,"0.0000"),TEXT($AC659,"0.000")),""),"")</f>
        <v/>
      </c>
      <c r="AN659">
        <f>IF(AND(ISNUMBER($AC659),ISNUMBER(IF($V659,IF($AL659="","",$AL659),IF($AK659="","",$AK659)))),IF(AND(ABS($AC659-significance_bar)&lt;=2.0*IF($V659,IF($AL659="","",$AL659),IF($AK659="","",$AK659)),OR($Y659="worse",$Y659="worse, not significant")),IF(ROUND($AC659,3)=ROUND(significance_bar,3),TEXT($AC659,"0.0000"),TEXT($AC659,"0.000")),""),"")</f>
        <v/>
      </c>
      <c r="AO659">
        <f>IF(OR($AI659="",$AN659=""),$AI659,$AI659&amp;" · borderline (p "&amp;$AN659&amp;")")</f>
        <v/>
      </c>
    </row>
    <row r="660">
      <c r="A660" t="inlineStr">
        <is>
          <t>three-way</t>
        </is>
      </c>
      <c r="B660" t="inlineStr">
        <is>
          <t>FICO x ASSET_CLASS / SYS_FLAG</t>
        </is>
      </c>
      <c r="C660" t="inlineStr">
        <is>
          <t>654 - 685</t>
        </is>
      </c>
      <c r="D660" t="inlineStr">
        <is>
          <t>2 / SYS_FLAG N</t>
        </is>
      </c>
      <c r="E660" t="inlineStr">
        <is>
          <t>outcome_booked</t>
        </is>
      </c>
      <c r="F660" t="inlineStr">
        <is>
          <t>Outcome, share of booked dollars</t>
        </is>
      </c>
      <c r="G660" t="n">
        <v>192</v>
      </c>
      <c r="H660" t="n">
        <v>6057877.170000002</v>
      </c>
      <c r="I660" t="b">
        <v>1</v>
      </c>
      <c r="J660" t="b">
        <v>0</v>
      </c>
      <c r="K660" t="n">
        <v>0.2110902024746771</v>
      </c>
      <c r="M660" t="n">
        <v>0.1812755952941922</v>
      </c>
      <c r="O660" t="n">
        <v>-364364.6049797368</v>
      </c>
      <c r="P660" t="n">
        <v>-440326.9886576746</v>
      </c>
      <c r="Q660">
        <f>'_live'!$C$21</f>
        <v/>
      </c>
      <c r="T660" t="n">
        <v>0.07624096230721969</v>
      </c>
      <c r="U660" t="n">
        <v>0.08878040170921367</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0.01609372017029523</v>
      </c>
      <c r="AI660">
        <f>IF($Y660="worse","Yes",IF($Y660="worse, not significant","Not sure",IF(OR($Y660="too few losses to test",$Y660="too few loans to test"),"Too few losses",IF($Y660="","","No"))))</f>
        <v/>
      </c>
      <c r="AJ660">
        <f>IF($AA660="yes","Yes",IF($AA660="","","No"))</f>
        <v/>
      </c>
      <c r="AM660">
        <f>IF(AND(ISNUMBER($AC660),ISNUMBER(IF($V660,IF($AL660="","",$AL660),IF($AK660="","",$AK660)))),IF(AND(ABS($AC660-significance_bar)&lt;=2.0*IF($V660,IF($AL660="","",$AL660),IF($AK660="","",$AK660)),OR($Y660="worse",$Y660="better",$Y660="worse, not significant",$Y660="better, not significant")),IF(ROUND($AC660,3)=ROUND(significance_bar,3),TEXT($AC660,"0.0000"),TEXT($AC660,"0.000")),""),"")</f>
        <v/>
      </c>
      <c r="AN660">
        <f>IF(AND(ISNUMBER($AC660),ISNUMBER(IF($V660,IF($AL660="","",$AL660),IF($AK660="","",$AK660)))),IF(AND(ABS($AC660-significance_bar)&lt;=2.0*IF($V660,IF($AL660="","",$AL660),IF($AK660="","",$AK660)),OR($Y660="worse",$Y660="worse, not significant")),IF(ROUND($AC660,3)=ROUND(significance_bar,3),TEXT($AC660,"0.0000"),TEXT($AC660,"0.000")),""),"")</f>
        <v/>
      </c>
      <c r="AO660">
        <f>IF(OR($AI660="",$AN660=""),$AI660,$AI660&amp;" · borderline (p "&amp;$AN660&amp;")")</f>
        <v/>
      </c>
    </row>
    <row r="661">
      <c r="A661" t="inlineStr">
        <is>
          <t>three-way</t>
        </is>
      </c>
      <c r="B661" t="inlineStr">
        <is>
          <t>FICO x ASSET_CLASS / SYS_FLAG</t>
        </is>
      </c>
      <c r="C661" t="inlineStr">
        <is>
          <t>654 - 685</t>
        </is>
      </c>
      <c r="D661" t="inlineStr">
        <is>
          <t>2 / SYS_FLAG N</t>
        </is>
      </c>
      <c r="E661" t="inlineStr">
        <is>
          <t>gco_rate</t>
        </is>
      </c>
      <c r="F661" t="inlineStr">
        <is>
          <t>GCO per booked dollar</t>
        </is>
      </c>
      <c r="G661" t="n">
        <v>192</v>
      </c>
      <c r="H661" t="n">
        <v>6057877.170000002</v>
      </c>
      <c r="I661" t="b">
        <v>1</v>
      </c>
      <c r="J661" t="b">
        <v>0</v>
      </c>
      <c r="K661" t="n">
        <v>0.2837204944918056</v>
      </c>
      <c r="M661" t="n">
        <v>0.240790655140238</v>
      </c>
      <c r="O661" t="n">
        <v>-183618.6078033958</v>
      </c>
      <c r="P661" t="n">
        <v>-229322.5645536474</v>
      </c>
      <c r="Q661">
        <f>'_live'!$C$22</f>
        <v/>
      </c>
      <c r="T661" t="n">
        <v>0.04231688603276777</v>
      </c>
      <c r="U661" t="n">
        <v>0.04986143595804325</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0.01200616783057025</v>
      </c>
      <c r="AI661">
        <f>IF($Y661="worse","Yes",IF($Y661="worse, not significant","Not sure",IF(OR($Y661="too few losses to test",$Y661="too few loans to test"),"Too few losses",IF($Y661="","","No"))))</f>
        <v/>
      </c>
      <c r="AJ661">
        <f>IF($AA661="yes","Yes",IF($AA661="","","No"))</f>
        <v/>
      </c>
      <c r="AM661">
        <f>IF(AND(ISNUMBER($AC661),ISNUMBER(IF($V661,IF($AL661="","",$AL661),IF($AK661="","",$AK661)))),IF(AND(ABS($AC661-significance_bar)&lt;=2.0*IF($V661,IF($AL661="","",$AL661),IF($AK661="","",$AK661)),OR($Y661="worse",$Y661="better",$Y661="worse, not significant",$Y661="better, not significant")),IF(ROUND($AC661,3)=ROUND(significance_bar,3),TEXT($AC661,"0.0000"),TEXT($AC661,"0.000")),""),"")</f>
        <v/>
      </c>
      <c r="AN661">
        <f>IF(AND(ISNUMBER($AC661),ISNUMBER(IF($V661,IF($AL661="","",$AL661),IF($AK661="","",$AK661)))),IF(AND(ABS($AC661-significance_bar)&lt;=2.0*IF($V661,IF($AL661="","",$AL661),IF($AK661="","",$AK661)),OR($Y661="worse",$Y661="worse, not significant")),IF(ROUND($AC661,3)=ROUND(significance_bar,3),TEXT($AC661,"0.0000"),TEXT($AC661,"0.000")),""),"")</f>
        <v/>
      </c>
      <c r="AO661">
        <f>IF(OR($AI661="",$AN661=""),$AI661,$AI661&amp;" · borderline (p "&amp;$AN661&amp;")")</f>
        <v/>
      </c>
    </row>
    <row r="662">
      <c r="A662" t="inlineStr">
        <is>
          <t>three-way</t>
        </is>
      </c>
      <c r="B662" t="inlineStr">
        <is>
          <t>FICO x ASSET_CLASS / SYS_FLAG</t>
        </is>
      </c>
      <c r="C662" t="inlineStr">
        <is>
          <t>654 - 685</t>
        </is>
      </c>
      <c r="D662" t="inlineStr">
        <is>
          <t>2 / SYS_FLAG N</t>
        </is>
      </c>
      <c r="E662" t="inlineStr">
        <is>
          <t>ranr_rate</t>
        </is>
      </c>
      <c r="F662" t="inlineStr">
        <is>
          <t>Profit after losses: RANR per booked dollar</t>
        </is>
      </c>
      <c r="G662" t="n">
        <v>192</v>
      </c>
      <c r="H662" t="n">
        <v>6057877.170000002</v>
      </c>
      <c r="I662" t="b">
        <v>0</v>
      </c>
      <c r="J662" t="b">
        <v>0</v>
      </c>
      <c r="K662" t="n">
        <v>0.0756198177217928</v>
      </c>
      <c r="L662" t="n">
        <v>0.0003768853883842385</v>
      </c>
      <c r="M662" t="n">
        <v>0.04418298674093832</v>
      </c>
      <c r="N662" t="n">
        <v>0.07103289671032896</v>
      </c>
      <c r="O662" t="n">
        <v>-458095.5673764101</v>
      </c>
      <c r="P662" t="n">
        <v>-267655.106680343</v>
      </c>
      <c r="Q662">
        <f>'_live'!$C$23</f>
        <v/>
      </c>
      <c r="R662" t="inlineStr">
        <is>
          <t>shuffled: 0 of 10,000</t>
        </is>
      </c>
      <c r="S662" t="inlineStr">
        <is>
          <t>shuffled: 73 of 10,000</t>
        </is>
      </c>
      <c r="T662" t="n">
        <v>0.1262149563563353</v>
      </c>
      <c r="U662" t="n">
        <v>0.1576517873371898</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0.2018347740781281</v>
      </c>
      <c r="AI662">
        <f>IF($Y662="worse","Yes",IF($Y662="worse, not significant","Not sure",IF(OR($Y662="too few losses to test",$Y662="too few loans to test"),"Too few losses",IF($Y662="","","No"))))</f>
        <v/>
      </c>
      <c r="AJ662">
        <f>IF($AA662="yes","Yes",IF($AA662="","","No"))</f>
        <v/>
      </c>
      <c r="AK662" t="n">
        <v>0.0003768853883842385</v>
      </c>
      <c r="AL662" t="n">
        <v>0.008227211775590184</v>
      </c>
      <c r="AM662">
        <f>IF(AND(ISNUMBER($AC662),ISNUMBER(IF($V662,IF($AL662="","",$AL662),IF($AK662="","",$AK662)))),IF(AND(ABS($AC662-significance_bar)&lt;=2.0*IF($V662,IF($AL662="","",$AL662),IF($AK662="","",$AK662)),OR($Y662="worse",$Y662="better",$Y662="worse, not significant",$Y662="better, not significant",AND(profit_kind="test",$Y662="in line",ISNUMBER($AB662),$AB662&lt;&gt;0))),IF(ROUND($AC662,3)=ROUND(significance_bar,3),TEXT($AC662,"0.0000"),TEXT($AC662,"0.000")),""),"")</f>
        <v/>
      </c>
      <c r="AN662">
        <f>IF(AND(ISNUMBER($AC662),ISNUMBER(IF($V662,IF($AL662="","",$AL662),IF($AK662="","",$AK662)))),IF(AND(ABS($AC662-significance_bar)&lt;=2.0*IF($V662,IF($AL662="","",$AL662),IF($AK662="","",$AK662)),OR($Y662="worse",$Y662="worse, not significant",AND(profit_kind="test",$Y662="in line",ISNUMBER($AB662),$AB662&lt;0))),IF(ROUND($AC662,3)=ROUND(significance_bar,3),TEXT($AC662,"0.0000"),TEXT($AC662,"0.000")),""),"")</f>
        <v/>
      </c>
      <c r="AO662">
        <f>IF(OR($AI662="",$AN662=""),$AI662,$AI662&amp;" · borderline (p "&amp;$AN662&amp;")")</f>
        <v/>
      </c>
    </row>
    <row r="663">
      <c r="A663" t="inlineStr">
        <is>
          <t>three-way</t>
        </is>
      </c>
      <c r="B663" t="inlineStr">
        <is>
          <t>FICO x ASSET_CLASS / SYS_FLAG</t>
        </is>
      </c>
      <c r="C663" t="inlineStr">
        <is>
          <t>654 - 685</t>
        </is>
      </c>
      <c r="D663" t="inlineStr">
        <is>
          <t>2 / SYS_FLAG N</t>
        </is>
      </c>
      <c r="E663" t="inlineStr">
        <is>
          <t>contribution_rate</t>
        </is>
      </c>
      <c r="F663" t="inlineStr">
        <is>
          <t>Contribution before losses per booked dollar</t>
        </is>
      </c>
      <c r="G663" t="n">
        <v>192</v>
      </c>
      <c r="H663" t="n">
        <v>6057877.170000002</v>
      </c>
      <c r="I663" t="b">
        <v>0</v>
      </c>
      <c r="J663" t="b">
        <v>0</v>
      </c>
      <c r="K663" t="n">
        <v>0.04531230707828374</v>
      </c>
      <c r="L663" t="n">
        <v>0.0001814633351479667</v>
      </c>
      <c r="M663" t="n">
        <v>0.006327718613465372</v>
      </c>
      <c r="N663" t="n">
        <v>0.937752378608293</v>
      </c>
      <c r="O663" t="n">
        <v>-274496.3905695645</v>
      </c>
      <c r="P663" t="n">
        <v>-38332.54212669586</v>
      </c>
      <c r="Q663">
        <f>'_live'!$C$24</f>
        <v/>
      </c>
      <c r="R663" t="inlineStr">
        <is>
          <t>shuffled: 0 of 10,000</t>
        </is>
      </c>
      <c r="S663" t="inlineStr">
        <is>
          <t>shuffled: 4,900 of 10,000</t>
        </is>
      </c>
      <c r="T663" t="n">
        <v>0.1685286348304147</v>
      </c>
      <c r="U663" t="n">
        <v>0.2075132232952331</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0.2138409419086984</v>
      </c>
      <c r="AI663">
        <f>IF($Y663="worse","Yes",IF($Y663="worse, not significant","Not sure",IF(OR($Y663="too few losses to test",$Y663="too few loans to test"),"Too few losses",IF($Y663="","","No"))))</f>
        <v/>
      </c>
      <c r="AJ663">
        <f>IF($AA663="yes","Yes",IF($AA663="","","No"))</f>
        <v/>
      </c>
      <c r="AK663" t="n">
        <v>0.0001814633351479667</v>
      </c>
      <c r="AL663" t="n">
        <v>0.009229602574987216</v>
      </c>
      <c r="AM663">
        <f>IF(AND(ISNUMBER($AC663),ISNUMBER(IF($V663,IF($AL663="","",$AL663),IF($AK663="","",$AK663)))),IF(AND(ABS($AC663-significance_bar)&lt;=2.0*IF($V663,IF($AL663="","",$AL663),IF($AK663="","",$AK663)),OR($Y663="worse",$Y663="better",$Y663="worse, not significant",$Y663="better, not significant",AND(profit_kind="test",$Y663="in line",ISNUMBER($AB663),$AB663&lt;&gt;0))),IF(ROUND($AC663,3)=ROUND(significance_bar,3),TEXT($AC663,"0.0000"),TEXT($AC663,"0.000")),""),"")</f>
        <v/>
      </c>
      <c r="AN663">
        <f>IF(AND(ISNUMBER($AC663),ISNUMBER(IF($V663,IF($AL663="","",$AL663),IF($AK663="","",$AK663)))),IF(AND(ABS($AC663-significance_bar)&lt;=2.0*IF($V663,IF($AL663="","",$AL663),IF($AK663="","",$AK663)),OR($Y663="worse",$Y663="worse, not significant",AND(profit_kind="test",$Y663="in line",ISNUMBER($AB663),$AB663&lt;0))),IF(ROUND($AC663,3)=ROUND(significance_bar,3),TEXT($AC663,"0.0000"),TEXT($AC663,"0.000")),""),"")</f>
        <v/>
      </c>
      <c r="AO663">
        <f>IF(OR($AI663="",$AN663=""),$AI663,$AI663&amp;" · borderline (p "&amp;$AN663&amp;")")</f>
        <v/>
      </c>
    </row>
    <row r="664">
      <c r="A664" t="inlineStr">
        <is>
          <t>three-way</t>
        </is>
      </c>
      <c r="B664" t="inlineStr">
        <is>
          <t>FICO x ASSET_CLASS / SYS_FLAG</t>
        </is>
      </c>
      <c r="C664" t="inlineStr">
        <is>
          <t>746 - 921</t>
        </is>
      </c>
      <c r="D664" t="inlineStr">
        <is>
          <t>4 / SYS_FLAG Y</t>
        </is>
      </c>
      <c r="E664" t="inlineStr">
        <is>
          <t>outcome_loans</t>
        </is>
      </c>
      <c r="F664" t="inlineStr">
        <is>
          <t>Outcome, share of loans</t>
        </is>
      </c>
      <c r="G664" t="n">
        <v>164</v>
      </c>
      <c r="H664" t="n">
        <v>164</v>
      </c>
      <c r="I664" t="b">
        <v>1</v>
      </c>
      <c r="J664" t="b">
        <v>0</v>
      </c>
      <c r="K664" t="n">
        <v>0.625523931180392</v>
      </c>
      <c r="M664" t="n">
        <v>1.2710027100271</v>
      </c>
      <c r="O664" t="n">
        <v>-4.789278876834716</v>
      </c>
      <c r="P664" t="n">
        <v>1.705756929637526</v>
      </c>
      <c r="Q664">
        <f>'_live'!$C$20</f>
        <v/>
      </c>
      <c r="T664" t="n">
        <v>0.07798340778557754</v>
      </c>
      <c r="U664" t="n">
        <v>0.03837953091684435</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0.04878048780487805</v>
      </c>
      <c r="AI664">
        <f>IF($Y664="worse","Yes",IF($Y664="worse, not significant","Not sure",IF(OR($Y664="too few losses to test",$Y664="too few loans to test"),"Too few losses",IF($Y664="","","No"))))</f>
        <v/>
      </c>
      <c r="AJ664">
        <f>IF($AA664="yes","Yes",IF($AA664="","","No"))</f>
        <v/>
      </c>
      <c r="AM664">
        <f>IF(AND(ISNUMBER($AC664),ISNUMBER(IF($V664,IF($AL664="","",$AL664),IF($AK664="","",$AK664)))),IF(AND(ABS($AC664-significance_bar)&lt;=2.0*IF($V664,IF($AL664="","",$AL664),IF($AK664="","",$AK664)),OR($Y664="worse",$Y664="better",$Y664="worse, not significant",$Y664="better, not significant")),IF(ROUND($AC664,3)=ROUND(significance_bar,3),TEXT($AC664,"0.0000"),TEXT($AC664,"0.000")),""),"")</f>
        <v/>
      </c>
      <c r="AN664">
        <f>IF(AND(ISNUMBER($AC664),ISNUMBER(IF($V664,IF($AL664="","",$AL664),IF($AK664="","",$AK664)))),IF(AND(ABS($AC664-significance_bar)&lt;=2.0*IF($V664,IF($AL664="","",$AL664),IF($AK664="","",$AK664)),OR($Y664="worse",$Y664="worse, not significant")),IF(ROUND($AC664,3)=ROUND(significance_bar,3),TEXT($AC664,"0.0000"),TEXT($AC664,"0.000")),""),"")</f>
        <v/>
      </c>
      <c r="AO664">
        <f>IF(OR($AI664="",$AN664=""),$AI664,$AI664&amp;" · borderline (p "&amp;$AN664&amp;")")</f>
        <v/>
      </c>
    </row>
    <row r="665">
      <c r="A665" t="inlineStr">
        <is>
          <t>three-way</t>
        </is>
      </c>
      <c r="B665" t="inlineStr">
        <is>
          <t>FICO x ASSET_CLASS / SYS_FLAG</t>
        </is>
      </c>
      <c r="C665" t="inlineStr">
        <is>
          <t>746 - 921</t>
        </is>
      </c>
      <c r="D665" t="inlineStr">
        <is>
          <t>4 / SYS_FLAG Y</t>
        </is>
      </c>
      <c r="E665" t="inlineStr">
        <is>
          <t>outcome_booked</t>
        </is>
      </c>
      <c r="F665" t="inlineStr">
        <is>
          <t>Outcome, share of booked dollars</t>
        </is>
      </c>
      <c r="G665" t="n">
        <v>164</v>
      </c>
      <c r="H665" t="n">
        <v>4957137.470000002</v>
      </c>
      <c r="I665" t="b">
        <v>1</v>
      </c>
      <c r="J665" t="b">
        <v>0</v>
      </c>
      <c r="K665" t="n">
        <v>0.5137559107388919</v>
      </c>
      <c r="M665" t="n">
        <v>1.059849095695514</v>
      </c>
      <c r="O665" t="n">
        <v>-182066.6783241454</v>
      </c>
      <c r="P665" t="n">
        <v>10862.9185781822</v>
      </c>
      <c r="Q665">
        <f>'_live'!$C$21</f>
        <v/>
      </c>
      <c r="T665" t="n">
        <v>0.07553446733930202</v>
      </c>
      <c r="U665" t="n">
        <v>0.03661490981847185</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0.0388062790600802</v>
      </c>
      <c r="AI665">
        <f>IF($Y665="worse","Yes",IF($Y665="worse, not significant","Not sure",IF(OR($Y665="too few losses to test",$Y665="too few loans to test"),"Too few losses",IF($Y665="","","No"))))</f>
        <v/>
      </c>
      <c r="AJ665">
        <f>IF($AA665="yes","Yes",IF($AA665="","","No"))</f>
        <v/>
      </c>
      <c r="AM665">
        <f>IF(AND(ISNUMBER($AC665),ISNUMBER(IF($V665,IF($AL665="","",$AL665),IF($AK665="","",$AK665)))),IF(AND(ABS($AC665-significance_bar)&lt;=2.0*IF($V665,IF($AL665="","",$AL665),IF($AK665="","",$AK665)),OR($Y665="worse",$Y665="better",$Y665="worse, not significant",$Y665="better, not significant")),IF(ROUND($AC665,3)=ROUND(significance_bar,3),TEXT($AC665,"0.0000"),TEXT($AC665,"0.000")),""),"")</f>
        <v/>
      </c>
      <c r="AN665">
        <f>IF(AND(ISNUMBER($AC665),ISNUMBER(IF($V665,IF($AL665="","",$AL665),IF($AK665="","",$AK665)))),IF(AND(ABS($AC665-significance_bar)&lt;=2.0*IF($V665,IF($AL665="","",$AL665),IF($AK665="","",$AK665)),OR($Y665="worse",$Y665="worse, not significant")),IF(ROUND($AC665,3)=ROUND(significance_bar,3),TEXT($AC665,"0.0000"),TEXT($AC665,"0.000")),""),"")</f>
        <v/>
      </c>
      <c r="AO665">
        <f>IF(OR($AI665="",$AN665=""),$AI665,$AI665&amp;" · borderline (p "&amp;$AN665&amp;")")</f>
        <v/>
      </c>
    </row>
    <row r="666">
      <c r="A666" t="inlineStr">
        <is>
          <t>three-way</t>
        </is>
      </c>
      <c r="B666" t="inlineStr">
        <is>
          <t>FICO x ASSET_CLASS / SYS_FLAG</t>
        </is>
      </c>
      <c r="C666" t="inlineStr">
        <is>
          <t>746 - 921</t>
        </is>
      </c>
      <c r="D666" t="inlineStr">
        <is>
          <t>4 / SYS_FLAG Y</t>
        </is>
      </c>
      <c r="E666" t="inlineStr">
        <is>
          <t>gco_rate</t>
        </is>
      </c>
      <c r="F666" t="inlineStr">
        <is>
          <t>GCO per booked dollar</t>
        </is>
      </c>
      <c r="G666" t="n">
        <v>164</v>
      </c>
      <c r="H666" t="n">
        <v>4957137.470000002</v>
      </c>
      <c r="I666" t="b">
        <v>1</v>
      </c>
      <c r="J666" t="b">
        <v>0</v>
      </c>
      <c r="K666" t="n">
        <v>0.4742338765712008</v>
      </c>
      <c r="M666" t="n">
        <v>1.030001360523514</v>
      </c>
      <c r="O666" t="n">
        <v>-109542.0545197541</v>
      </c>
      <c r="P666" t="n">
        <v>2877.955059804764</v>
      </c>
      <c r="Q666">
        <f>'_live'!$C$22</f>
        <v/>
      </c>
      <c r="T666" t="n">
        <v>0.04202979961331475</v>
      </c>
      <c r="U666" t="n">
        <v>0.01935138686807393</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0.01993195480213301</v>
      </c>
      <c r="AI666">
        <f>IF($Y666="worse","Yes",IF($Y666="worse, not significant","Not sure",IF(OR($Y666="too few losses to test",$Y666="too few loans to test"),"Too few losses",IF($Y666="","","No"))))</f>
        <v/>
      </c>
      <c r="AJ666">
        <f>IF($AA666="yes","Yes",IF($AA666="","","No"))</f>
        <v/>
      </c>
      <c r="AM666">
        <f>IF(AND(ISNUMBER($AC666),ISNUMBER(IF($V666,IF($AL666="","",$AL666),IF($AK666="","",$AK666)))),IF(AND(ABS($AC666-significance_bar)&lt;=2.0*IF($V666,IF($AL666="","",$AL666),IF($AK666="","",$AK666)),OR($Y666="worse",$Y666="better",$Y666="worse, not significant",$Y666="better, not significant")),IF(ROUND($AC666,3)=ROUND(significance_bar,3),TEXT($AC666,"0.0000"),TEXT($AC666,"0.000")),""),"")</f>
        <v/>
      </c>
      <c r="AN666">
        <f>IF(AND(ISNUMBER($AC666),ISNUMBER(IF($V666,IF($AL666="","",$AL666),IF($AK666="","",$AK666)))),IF(AND(ABS($AC666-significance_bar)&lt;=2.0*IF($V666,IF($AL666="","",$AL666),IF($AK666="","",$AK666)),OR($Y666="worse",$Y666="worse, not significant")),IF(ROUND($AC666,3)=ROUND(significance_bar,3),TEXT($AC666,"0.0000"),TEXT($AC666,"0.000")),""),"")</f>
        <v/>
      </c>
      <c r="AO666">
        <f>IF(OR($AI666="",$AN666=""),$AI666,$AI666&amp;" · borderline (p "&amp;$AN666&amp;")")</f>
        <v/>
      </c>
    </row>
    <row r="667">
      <c r="A667" t="inlineStr">
        <is>
          <t>three-way</t>
        </is>
      </c>
      <c r="B667" t="inlineStr">
        <is>
          <t>FICO x ASSET_CLASS / SYS_FLAG</t>
        </is>
      </c>
      <c r="C667" t="inlineStr">
        <is>
          <t>746 - 921</t>
        </is>
      </c>
      <c r="D667" t="inlineStr">
        <is>
          <t>4 / SYS_FLAG Y</t>
        </is>
      </c>
      <c r="E667" t="inlineStr">
        <is>
          <t>ranr_rate</t>
        </is>
      </c>
      <c r="F667" t="inlineStr">
        <is>
          <t>Profit after losses: RANR per booked dollar</t>
        </is>
      </c>
      <c r="G667" t="n">
        <v>164</v>
      </c>
      <c r="H667" t="n">
        <v>4957137.470000002</v>
      </c>
      <c r="I667" t="b">
        <v>0</v>
      </c>
      <c r="J667" t="b">
        <v>0</v>
      </c>
      <c r="K667" t="n">
        <v>-0.08395041505701092</v>
      </c>
      <c r="L667" t="n">
        <v>0.0003768853883842385</v>
      </c>
      <c r="M667" t="n">
        <v>-0.001209918098676391</v>
      </c>
      <c r="N667" t="n">
        <v>0.9703029697030296</v>
      </c>
      <c r="O667" t="n">
        <v>416153.7481011612</v>
      </c>
      <c r="P667" t="n">
        <v>5997.730342579918</v>
      </c>
      <c r="Q667">
        <f>'_live'!$C$23</f>
        <v/>
      </c>
      <c r="R667" t="inlineStr">
        <is>
          <t>shuffled: 0 of 10,000</t>
        </is>
      </c>
      <c r="S667" t="inlineStr">
        <is>
          <t>shuffled: 9,007 of 10,000</t>
        </is>
      </c>
      <c r="T667" t="n">
        <v>0.129602620865215</v>
      </c>
      <c r="U667" t="n">
        <v>0.04686212390688044</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0.04565220580820405</v>
      </c>
      <c r="AI667">
        <f>IF($Y667="worse","Yes",IF($Y667="worse, not significant","Not sure",IF(OR($Y667="too few losses to test",$Y667="too few loans to test"),"Too few losses",IF($Y667="","","No"))))</f>
        <v/>
      </c>
      <c r="AJ667">
        <f>IF($AA667="yes","Yes",IF($AA667="","","No"))</f>
        <v/>
      </c>
      <c r="AK667" t="n">
        <v>0.0003768853883842385</v>
      </c>
      <c r="AL667" t="n">
        <v>0.001697501596126236</v>
      </c>
      <c r="AM667">
        <f>IF(AND(ISNUMBER($AC667),ISNUMBER(IF($V667,IF($AL667="","",$AL667),IF($AK667="","",$AK667)))),IF(AND(ABS($AC667-significance_bar)&lt;=2.0*IF($V667,IF($AL667="","",$AL667),IF($AK667="","",$AK667)),OR($Y667="worse",$Y667="better",$Y667="worse, not significant",$Y667="better, not significant",AND(profit_kind="test",$Y667="in line",ISNUMBER($AB667),$AB667&lt;&gt;0))),IF(ROUND($AC667,3)=ROUND(significance_bar,3),TEXT($AC667,"0.0000"),TEXT($AC667,"0.000")),""),"")</f>
        <v/>
      </c>
      <c r="AN667">
        <f>IF(AND(ISNUMBER($AC667),ISNUMBER(IF($V667,IF($AL667="","",$AL667),IF($AK667="","",$AK667)))),IF(AND(ABS($AC667-significance_bar)&lt;=2.0*IF($V667,IF($AL667="","",$AL667),IF($AK667="","",$AK667)),OR($Y667="worse",$Y667="worse, not significant",AND(profit_kind="test",$Y667="in line",ISNUMBER($AB667),$AB667&lt;0))),IF(ROUND($AC667,3)=ROUND(significance_bar,3),TEXT($AC667,"0.0000"),TEXT($AC667,"0.000")),""),"")</f>
        <v/>
      </c>
      <c r="AO667">
        <f>IF(OR($AI667="",$AN667=""),$AI667,$AI667&amp;" · borderline (p "&amp;$AN667&amp;")")</f>
        <v/>
      </c>
    </row>
    <row r="668">
      <c r="A668" t="inlineStr">
        <is>
          <t>three-way</t>
        </is>
      </c>
      <c r="B668" t="inlineStr">
        <is>
          <t>FICO x ASSET_CLASS / SYS_FLAG</t>
        </is>
      </c>
      <c r="C668" t="inlineStr">
        <is>
          <t>746 - 921</t>
        </is>
      </c>
      <c r="D668" t="inlineStr">
        <is>
          <t>4 / SYS_FLAG Y</t>
        </is>
      </c>
      <c r="E668" t="inlineStr">
        <is>
          <t>contribution_rate</t>
        </is>
      </c>
      <c r="F668" t="inlineStr">
        <is>
          <t>Contribution before losses per booked dollar</t>
        </is>
      </c>
      <c r="G668" t="n">
        <v>164</v>
      </c>
      <c r="H668" t="n">
        <v>4957137.470000002</v>
      </c>
      <c r="I668" t="b">
        <v>0</v>
      </c>
      <c r="J668" t="b">
        <v>0</v>
      </c>
      <c r="K668" t="n">
        <v>-0.1060455974841074</v>
      </c>
      <c r="L668" t="n">
        <v>0.0001814633351479667</v>
      </c>
      <c r="M668" t="n">
        <v>-0.0006293501646172789</v>
      </c>
      <c r="N668" t="n">
        <v>0.9799190293736585</v>
      </c>
      <c r="O668" t="n">
        <v>525682.6048170069</v>
      </c>
      <c r="P668" t="n">
        <v>3119.775282774935</v>
      </c>
      <c r="Q668">
        <f>'_live'!$C$24</f>
        <v/>
      </c>
      <c r="R668" t="inlineStr">
        <is>
          <t>shuffled: 0 of 10,000</t>
        </is>
      </c>
      <c r="S668" t="inlineStr">
        <is>
          <t>shuffled: 8,312 of 10,000</t>
        </is>
      </c>
      <c r="T668" t="n">
        <v>0.1716297580944445</v>
      </c>
      <c r="U668" t="n">
        <v>0.06621351077495437</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0.06558416061033709</v>
      </c>
      <c r="AI668">
        <f>IF($Y668="worse","Yes",IF($Y668="worse, not significant","Not sure",IF(OR($Y668="too few losses to test",$Y668="too few loans to test"),"Too few losses",IF($Y668="","","No"))))</f>
        <v/>
      </c>
      <c r="AJ668">
        <f>IF($AA668="yes","Yes",IF($AA668="","","No"))</f>
        <v/>
      </c>
      <c r="AK668" t="n">
        <v>0.0001814633351479667</v>
      </c>
      <c r="AL668" t="n">
        <v>0.002013133534953629</v>
      </c>
      <c r="AM668">
        <f>IF(AND(ISNUMBER($AC668),ISNUMBER(IF($V668,IF($AL668="","",$AL668),IF($AK668="","",$AK668)))),IF(AND(ABS($AC668-significance_bar)&lt;=2.0*IF($V668,IF($AL668="","",$AL668),IF($AK668="","",$AK668)),OR($Y668="worse",$Y668="better",$Y668="worse, not significant",$Y668="better, not significant",AND(profit_kind="test",$Y668="in line",ISNUMBER($AB668),$AB668&lt;&gt;0))),IF(ROUND($AC668,3)=ROUND(significance_bar,3),TEXT($AC668,"0.0000"),TEXT($AC668,"0.000")),""),"")</f>
        <v/>
      </c>
      <c r="AN668">
        <f>IF(AND(ISNUMBER($AC668),ISNUMBER(IF($V668,IF($AL668="","",$AL668),IF($AK668="","",$AK668)))),IF(AND(ABS($AC668-significance_bar)&lt;=2.0*IF($V668,IF($AL668="","",$AL668),IF($AK668="","",$AK668)),OR($Y668="worse",$Y668="worse, not significant",AND(profit_kind="test",$Y668="in line",ISNUMBER($AB668),$AB668&lt;0))),IF(ROUND($AC668,3)=ROUND(significance_bar,3),TEXT($AC668,"0.0000"),TEXT($AC668,"0.000")),""),"")</f>
        <v/>
      </c>
      <c r="AO668">
        <f>IF(OR($AI668="",$AN668=""),$AI668,$AI668&amp;" · borderline (p "&amp;$AN668&amp;")")</f>
        <v/>
      </c>
    </row>
    <row r="669">
      <c r="A669" t="inlineStr">
        <is>
          <t>three-way</t>
        </is>
      </c>
      <c r="B669" t="inlineStr">
        <is>
          <t>FICO x ASSET_CLASS / SYS_FLAG</t>
        </is>
      </c>
      <c r="C669" t="inlineStr">
        <is>
          <t>654 - 685</t>
        </is>
      </c>
      <c r="D669" t="inlineStr">
        <is>
          <t>1 / SYS_FLAG Y</t>
        </is>
      </c>
      <c r="E669" t="inlineStr">
        <is>
          <t>outcome_loans</t>
        </is>
      </c>
      <c r="F669" t="inlineStr">
        <is>
          <t>Outcome, share of loans</t>
        </is>
      </c>
      <c r="G669" t="n">
        <v>187</v>
      </c>
      <c r="H669" t="n">
        <v>187</v>
      </c>
      <c r="I669" t="b">
        <v>0</v>
      </c>
      <c r="J669" t="b">
        <v>0</v>
      </c>
      <c r="K669" t="n">
        <v>1.394838099149206</v>
      </c>
      <c r="L669" t="n">
        <v>0.326876491628326</v>
      </c>
      <c r="M669" t="n">
        <v>1.314535731648031</v>
      </c>
      <c r="N669" t="n">
        <v>0.4764213521112365</v>
      </c>
      <c r="O669" t="n">
        <v>5.66141833077317</v>
      </c>
      <c r="P669" t="n">
        <v>4.785502958579881</v>
      </c>
      <c r="Q669">
        <f>'_live'!$C$20</f>
        <v/>
      </c>
      <c r="R669" t="inlineStr">
        <is>
          <t>z test</t>
        </is>
      </c>
      <c r="S669" t="inlineStr">
        <is>
          <t>z test</t>
        </is>
      </c>
      <c r="T669" t="n">
        <v>0.07667690732206861</v>
      </c>
      <c r="U669" t="n">
        <v>0.08136094674556213</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0.106951871657754</v>
      </c>
      <c r="AI669">
        <f>IF($Y669="worse","Yes",IF($Y669="worse, not significant","Not sure",IF(OR($Y669="too few losses to test",$Y669="too few loans to test"),"Too few losses",IF($Y669="","","No"))))</f>
        <v/>
      </c>
      <c r="AJ669">
        <f>IF($AA669="yes","Yes",IF($AA669="","","No"))</f>
        <v/>
      </c>
      <c r="AM669">
        <f>IF(AND(ISNUMBER($AC669),ISNUMBER(IF($V669,IF($AL669="","",$AL669),IF($AK669="","",$AK669)))),IF(AND(ABS($AC669-significance_bar)&lt;=2.0*IF($V669,IF($AL669="","",$AL669),IF($AK669="","",$AK669)),OR($Y669="worse",$Y669="better",$Y669="worse, not significant",$Y669="better, not significant")),IF(ROUND($AC669,3)=ROUND(significance_bar,3),TEXT($AC669,"0.0000"),TEXT($AC669,"0.000")),""),"")</f>
        <v/>
      </c>
      <c r="AN669">
        <f>IF(AND(ISNUMBER($AC669),ISNUMBER(IF($V669,IF($AL669="","",$AL669),IF($AK669="","",$AK669)))),IF(AND(ABS($AC669-significance_bar)&lt;=2.0*IF($V669,IF($AL669="","",$AL669),IF($AK669="","",$AK669)),OR($Y669="worse",$Y669="worse, not significant")),IF(ROUND($AC669,3)=ROUND(significance_bar,3),TEXT($AC669,"0.0000"),TEXT($AC669,"0.000")),""),"")</f>
        <v/>
      </c>
      <c r="AO669">
        <f>IF(OR($AI669="",$AN669=""),$AI669,$AI669&amp;" · borderline (p "&amp;$AN669&amp;")")</f>
        <v/>
      </c>
    </row>
    <row r="670">
      <c r="A670" t="inlineStr">
        <is>
          <t>three-way</t>
        </is>
      </c>
      <c r="B670" t="inlineStr">
        <is>
          <t>FICO x ASSET_CLASS / SYS_FLAG</t>
        </is>
      </c>
      <c r="C670" t="inlineStr">
        <is>
          <t>654 - 685</t>
        </is>
      </c>
      <c r="D670" t="inlineStr">
        <is>
          <t>1 / SYS_FLAG Y</t>
        </is>
      </c>
      <c r="E670" t="inlineStr">
        <is>
          <t>outcome_booked</t>
        </is>
      </c>
      <c r="F670" t="inlineStr">
        <is>
          <t>Outcome, share of booked dollars</t>
        </is>
      </c>
      <c r="G670" t="n">
        <v>187</v>
      </c>
      <c r="H670" t="n">
        <v>5778557.439999999</v>
      </c>
      <c r="I670" t="b">
        <v>0</v>
      </c>
      <c r="J670" t="b">
        <v>0</v>
      </c>
      <c r="K670" t="n">
        <v>1.230812679438625</v>
      </c>
      <c r="L670" t="n">
        <v>0.5488051194880512</v>
      </c>
      <c r="M670" t="n">
        <v>1.170245990008331</v>
      </c>
      <c r="N670" t="n">
        <v>0.8189181081891811</v>
      </c>
      <c r="O670" t="n">
        <v>99290.84120918933</v>
      </c>
      <c r="P670" t="n">
        <v>77026.68698606506</v>
      </c>
      <c r="Q670">
        <f>'_live'!$C$21</f>
        <v/>
      </c>
      <c r="R670" t="inlineStr">
        <is>
          <t>shuffled: 4,221 of 10,000</t>
        </is>
      </c>
      <c r="S670" t="inlineStr">
        <is>
          <t>shuffled: 5,669 of 10,000</t>
        </is>
      </c>
      <c r="T670" t="n">
        <v>0.07444406727067347</v>
      </c>
      <c r="U670" t="n">
        <v>0.07829695866342984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0.09162670190572685</v>
      </c>
      <c r="AI670">
        <f>IF($Y670="worse","Yes",IF($Y670="worse, not significant","Not sure",IF(OR($Y670="too few losses to test",$Y670="too few loans to test"),"Too few losses",IF($Y670="","","No"))))</f>
        <v/>
      </c>
      <c r="AJ670">
        <f>IF($AA670="yes","Yes",IF($AA670="","","No"))</f>
        <v/>
      </c>
      <c r="AK670" t="n">
        <v>0.00642074447520046</v>
      </c>
      <c r="AL670" t="n">
        <v>0.00715719808241095</v>
      </c>
      <c r="AM670">
        <f>IF(AND(ISNUMBER($AC670),ISNUMBER(IF($V670,IF($AL670="","",$AL670),IF($AK670="","",$AK670)))),IF(AND(ABS($AC670-significance_bar)&lt;=2.0*IF($V670,IF($AL670="","",$AL670),IF($AK670="","",$AK670)),OR($Y670="worse",$Y670="better",$Y670="worse, not significant",$Y670="better, not significant")),IF(ROUND($AC670,3)=ROUND(significance_bar,3),TEXT($AC670,"0.0000"),TEXT($AC670,"0.000")),""),"")</f>
        <v/>
      </c>
      <c r="AN670">
        <f>IF(AND(ISNUMBER($AC670),ISNUMBER(IF($V670,IF($AL670="","",$AL670),IF($AK670="","",$AK670)))),IF(AND(ABS($AC670-significance_bar)&lt;=2.0*IF($V670,IF($AL670="","",$AL670),IF($AK670="","",$AK670)),OR($Y670="worse",$Y670="worse, not significant")),IF(ROUND($AC670,3)=ROUND(significance_bar,3),TEXT($AC670,"0.0000"),TEXT($AC670,"0.000")),""),"")</f>
        <v/>
      </c>
      <c r="AO670">
        <f>IF(OR($AI670="",$AN670=""),$AI670,$AI670&amp;" · borderline (p "&amp;$AN670&amp;")")</f>
        <v/>
      </c>
    </row>
    <row r="671">
      <c r="A671" t="inlineStr">
        <is>
          <t>three-way</t>
        </is>
      </c>
      <c r="B671" t="inlineStr">
        <is>
          <t>FICO x ASSET_CLASS / SYS_FLAG</t>
        </is>
      </c>
      <c r="C671" t="inlineStr">
        <is>
          <t>654 - 685</t>
        </is>
      </c>
      <c r="D671" t="inlineStr">
        <is>
          <t>1 / SYS_FLAG Y</t>
        </is>
      </c>
      <c r="E671" t="inlineStr">
        <is>
          <t>gco_rate</t>
        </is>
      </c>
      <c r="F671" t="inlineStr">
        <is>
          <t>GCO per booked dollar</t>
        </is>
      </c>
      <c r="G671" t="n">
        <v>187</v>
      </c>
      <c r="H671" t="n">
        <v>5778557.439999999</v>
      </c>
      <c r="I671" t="b">
        <v>0</v>
      </c>
      <c r="J671" t="b">
        <v>0</v>
      </c>
      <c r="K671" t="n">
        <v>1.189567683885081</v>
      </c>
      <c r="L671" t="n">
        <v>0.6483256436261137</v>
      </c>
      <c r="M671" t="n">
        <v>1.103147257759286</v>
      </c>
      <c r="N671" t="n">
        <v>0.9513748625137486</v>
      </c>
      <c r="O671" t="n">
        <v>45382.89498264543</v>
      </c>
      <c r="P671" t="n">
        <v>26628.16543165239</v>
      </c>
      <c r="Q671">
        <f>'_live'!$C$22</f>
        <v/>
      </c>
      <c r="R671" t="inlineStr">
        <is>
          <t>shuffled: 5,236 of 10,000</t>
        </is>
      </c>
      <c r="S671" t="inlineStr">
        <is>
          <t>shuffled: 7,318 of 10,000</t>
        </is>
      </c>
      <c r="T671" t="n">
        <v>0.04142938224688732</v>
      </c>
      <c r="U671" t="n">
        <v>0.04467495516810986</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0.04928305428421943</v>
      </c>
      <c r="AI671">
        <f>IF($Y671="worse","Yes",IF($Y671="worse, not significant","Not sure",IF(OR($Y671="too few losses to test",$Y671="too few loans to test"),"Too few losses",IF($Y671="","","No"))))</f>
        <v/>
      </c>
      <c r="AJ671">
        <f>IF($AA671="yes","Yes",IF($AA671="","","No"))</f>
        <v/>
      </c>
      <c r="AK671" t="n">
        <v>0.006183548753954375</v>
      </c>
      <c r="AL671" t="n">
        <v>0.005759107502424479</v>
      </c>
      <c r="AM671">
        <f>IF(AND(ISNUMBER($AC671),ISNUMBER(IF($V671,IF($AL671="","",$AL671),IF($AK671="","",$AK671)))),IF(AND(ABS($AC671-significance_bar)&lt;=2.0*IF($V671,IF($AL671="","",$AL671),IF($AK671="","",$AK671)),OR($Y671="worse",$Y671="better",$Y671="worse, not significant",$Y671="better, not significant")),IF(ROUND($AC671,3)=ROUND(significance_bar,3),TEXT($AC671,"0.0000"),TEXT($AC671,"0.000")),""),"")</f>
        <v/>
      </c>
      <c r="AN671">
        <f>IF(AND(ISNUMBER($AC671),ISNUMBER(IF($V671,IF($AL671="","",$AL671),IF($AK671="","",$AK671)))),IF(AND(ABS($AC671-significance_bar)&lt;=2.0*IF($V671,IF($AL671="","",$AL671),IF($AK671="","",$AK671)),OR($Y671="worse",$Y671="worse, not significant")),IF(ROUND($AC671,3)=ROUND(significance_bar,3),TEXT($AC671,"0.0000"),TEXT($AC671,"0.000")),""),"")</f>
        <v/>
      </c>
      <c r="AO671">
        <f>IF(OR($AI671="",$AN671=""),$AI671,$AI671&amp;" · borderline (p "&amp;$AN671&amp;")")</f>
        <v/>
      </c>
    </row>
    <row r="672">
      <c r="A672" t="inlineStr">
        <is>
          <t>three-way</t>
        </is>
      </c>
      <c r="B672" t="inlineStr">
        <is>
          <t>FICO x ASSET_CLASS / SYS_FLAG</t>
        </is>
      </c>
      <c r="C672" t="inlineStr">
        <is>
          <t>654 - 685</t>
        </is>
      </c>
      <c r="D672" t="inlineStr">
        <is>
          <t>1 / SYS_FLAG Y</t>
        </is>
      </c>
      <c r="E672" t="inlineStr">
        <is>
          <t>ranr_rate</t>
        </is>
      </c>
      <c r="F672" t="inlineStr">
        <is>
          <t>Profit after losses: RANR per booked dollar</t>
        </is>
      </c>
      <c r="G672" t="n">
        <v>187</v>
      </c>
      <c r="H672" t="n">
        <v>5778557.439999999</v>
      </c>
      <c r="I672" t="b">
        <v>0</v>
      </c>
      <c r="J672" t="b">
        <v>0</v>
      </c>
      <c r="K672" t="n">
        <v>0.04486649271602502</v>
      </c>
      <c r="L672" t="n">
        <v>0.006124387561243876</v>
      </c>
      <c r="M672" t="n">
        <v>0.009940439376323995</v>
      </c>
      <c r="N672" t="n">
        <v>0.8852631978181492</v>
      </c>
      <c r="O672" t="n">
        <v>-259263.6052908922</v>
      </c>
      <c r="P672" t="n">
        <v>-57441.39991492592</v>
      </c>
      <c r="Q672">
        <f>'_live'!$C$23</f>
        <v/>
      </c>
      <c r="R672" t="inlineStr">
        <is>
          <t>shuffled: 24 of 10,000</t>
        </is>
      </c>
      <c r="S672" t="inlineStr">
        <is>
          <t>shuffled: 5,348 of 10,000</t>
        </is>
      </c>
      <c r="T672" t="n">
        <v>0.1269854184765373</v>
      </c>
      <c r="U672" t="n">
        <v>0.1619114718162383</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0.1718519111925623</v>
      </c>
      <c r="AI672">
        <f>IF($Y672="worse","Yes",IF($Y672="worse, not significant","Not sure",IF(OR($Y672="too few losses to test",$Y672="too few loans to test"),"Too few losses",IF($Y672="","","No"))))</f>
        <v/>
      </c>
      <c r="AJ672">
        <f>IF($AA672="yes","Yes",IF($AA672="","","No"))</f>
        <v/>
      </c>
      <c r="AK672" t="n">
        <v>0.001223406776262384</v>
      </c>
      <c r="AL672" t="n">
        <v>0.008255739182917858</v>
      </c>
      <c r="AM672">
        <f>IF(AND(ISNUMBER($AC672),ISNUMBER(IF($V672,IF($AL672="","",$AL672),IF($AK672="","",$AK672)))),IF(AND(ABS($AC672-significance_bar)&lt;=2.0*IF($V672,IF($AL672="","",$AL672),IF($AK672="","",$AK672)),OR($Y672="worse",$Y672="better",$Y672="worse, not significant",$Y672="better, not significant",AND(profit_kind="test",$Y672="in line",ISNUMBER($AB672),$AB672&lt;&gt;0))),IF(ROUND($AC672,3)=ROUND(significance_bar,3),TEXT($AC672,"0.0000"),TEXT($AC672,"0.000")),""),"")</f>
        <v/>
      </c>
      <c r="AN672">
        <f>IF(AND(ISNUMBER($AC672),ISNUMBER(IF($V672,IF($AL672="","",$AL672),IF($AK672="","",$AK672)))),IF(AND(ABS($AC672-significance_bar)&lt;=2.0*IF($V672,IF($AL672="","",$AL672),IF($AK672="","",$AK672)),OR($Y672="worse",$Y672="worse, not significant",AND(profit_kind="test",$Y672="in line",ISNUMBER($AB672),$AB672&lt;0))),IF(ROUND($AC672,3)=ROUND(significance_bar,3),TEXT($AC672,"0.0000"),TEXT($AC672,"0.000")),""),"")</f>
        <v/>
      </c>
      <c r="AO672">
        <f>IF(OR($AI672="",$AN672=""),$AI672,$AI672&amp;" · borderline (p "&amp;$AN672&amp;")")</f>
        <v/>
      </c>
    </row>
    <row r="673">
      <c r="A673" t="inlineStr">
        <is>
          <t>three-way</t>
        </is>
      </c>
      <c r="B673" t="inlineStr">
        <is>
          <t>FICO x ASSET_CLASS / SYS_FLAG</t>
        </is>
      </c>
      <c r="C673" t="inlineStr">
        <is>
          <t>654 - 685</t>
        </is>
      </c>
      <c r="D673" t="inlineStr">
        <is>
          <t>1 / SYS_FLAG Y</t>
        </is>
      </c>
      <c r="E673" t="inlineStr">
        <is>
          <t>contribution_rate</t>
        </is>
      </c>
      <c r="F673" t="inlineStr">
        <is>
          <t>Contribution before losses per booked dollar</t>
        </is>
      </c>
      <c r="G673" t="n">
        <v>187</v>
      </c>
      <c r="H673" t="n">
        <v>5778557.439999999</v>
      </c>
      <c r="I673" t="b">
        <v>0</v>
      </c>
      <c r="J673" t="b">
        <v>0</v>
      </c>
      <c r="K673" t="n">
        <v>0.05272324754986887</v>
      </c>
      <c r="L673" t="n">
        <v>0.0001814633351479667</v>
      </c>
      <c r="M673" t="n">
        <v>0.01454853849243345</v>
      </c>
      <c r="N673" t="n">
        <v>0.5536900855369009</v>
      </c>
      <c r="O673" t="n">
        <v>-304664.3143902564</v>
      </c>
      <c r="P673" t="n">
        <v>-84069.56534657767</v>
      </c>
      <c r="Q673">
        <f>'_live'!$C$24</f>
        <v/>
      </c>
      <c r="R673" t="inlineStr">
        <is>
          <t>shuffled: 0 of 10,000</t>
        </is>
      </c>
      <c r="S673" t="inlineStr">
        <is>
          <t>shuffled: 1,158 of 10,000</t>
        </is>
      </c>
      <c r="T673" t="n">
        <v>0.1684117179269128</v>
      </c>
      <c r="U673" t="n">
        <v>0.2065864269843482</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0.2211349654767817</v>
      </c>
      <c r="AI673">
        <f>IF($Y673="worse","Yes",IF($Y673="worse, not significant","Not sure",IF(OR($Y673="too few losses to test",$Y673="too few loans to test"),"Too few losses",IF($Y673="","","No"))))</f>
        <v/>
      </c>
      <c r="AJ673">
        <f>IF($AA673="yes","Yes",IF($AA673="","","No"))</f>
        <v/>
      </c>
      <c r="AK673" t="n">
        <v>0.0001814633351479667</v>
      </c>
      <c r="AL673" t="n">
        <v>0.01452421936150749</v>
      </c>
      <c r="AM673">
        <f>IF(AND(ISNUMBER($AC673),ISNUMBER(IF($V673,IF($AL673="","",$AL673),IF($AK673="","",$AK673)))),IF(AND(ABS($AC673-significance_bar)&lt;=2.0*IF($V673,IF($AL673="","",$AL673),IF($AK673="","",$AK673)),OR($Y673="worse",$Y673="better",$Y673="worse, not significant",$Y673="better, not significant",AND(profit_kind="test",$Y673="in line",ISNUMBER($AB673),$AB673&lt;&gt;0))),IF(ROUND($AC673,3)=ROUND(significance_bar,3),TEXT($AC673,"0.0000"),TEXT($AC673,"0.000")),""),"")</f>
        <v/>
      </c>
      <c r="AN673">
        <f>IF(AND(ISNUMBER($AC673),ISNUMBER(IF($V673,IF($AL673="","",$AL673),IF($AK673="","",$AK673)))),IF(AND(ABS($AC673-significance_bar)&lt;=2.0*IF($V673,IF($AL673="","",$AL673),IF($AK673="","",$AK673)),OR($Y673="worse",$Y673="worse, not significant",AND(profit_kind="test",$Y673="in line",ISNUMBER($AB673),$AB673&lt;0))),IF(ROUND($AC673,3)=ROUND(significance_bar,3),TEXT($AC673,"0.0000"),TEXT($AC673,"0.000")),""),"")</f>
        <v/>
      </c>
      <c r="AO673">
        <f>IF(OR($AI673="",$AN673=""),$AI673,$AI673&amp;" · borderline (p "&amp;$AN673&amp;")")</f>
        <v/>
      </c>
    </row>
    <row r="674">
      <c r="A674" t="inlineStr">
        <is>
          <t>three-way</t>
        </is>
      </c>
      <c r="B674" t="inlineStr">
        <is>
          <t>FICO x ASSET_CLASS / SYS_FLAG</t>
        </is>
      </c>
      <c r="C674" t="inlineStr">
        <is>
          <t>496 - 653</t>
        </is>
      </c>
      <c r="D674" t="inlineStr">
        <is>
          <t>3 / SYS_FLAG N</t>
        </is>
      </c>
      <c r="E674" t="inlineStr">
        <is>
          <t>outcome_loans</t>
        </is>
      </c>
      <c r="F674" t="inlineStr">
        <is>
          <t>Outcome, share of loans</t>
        </is>
      </c>
      <c r="G674" t="n">
        <v>184</v>
      </c>
      <c r="H674" t="n">
        <v>184</v>
      </c>
      <c r="I674" t="b">
        <v>0</v>
      </c>
      <c r="J674" t="b">
        <v>0</v>
      </c>
      <c r="K674" t="n">
        <v>1.565162770373607</v>
      </c>
      <c r="L674" t="n">
        <v>0.1124737656379982</v>
      </c>
      <c r="M674" t="n">
        <v>0.7732260049220673</v>
      </c>
      <c r="N674" t="n">
        <v>0.458464728625219</v>
      </c>
      <c r="O674" t="n">
        <v>7.943953934740883</v>
      </c>
      <c r="P674" t="n">
        <v>-6.452224653537566</v>
      </c>
      <c r="Q674">
        <f>'_live'!$C$20</f>
        <v/>
      </c>
      <c r="R674" t="inlineStr">
        <is>
          <t>z test</t>
        </is>
      </c>
      <c r="S674" t="inlineStr">
        <is>
          <t>z test</t>
        </is>
      </c>
      <c r="T674" t="n">
        <v>0.0763915547024952</v>
      </c>
      <c r="U674" t="n">
        <v>0.1546316557257476</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0.1195652173913044</v>
      </c>
      <c r="AI674">
        <f>IF($Y674="worse","Yes",IF($Y674="worse, not significant","Not sure",IF(OR($Y674="too few losses to test",$Y674="too few loans to test"),"Too few losses",IF($Y674="","","No"))))</f>
        <v/>
      </c>
      <c r="AJ674">
        <f>IF($AA674="yes","Yes",IF($AA674="","","No"))</f>
        <v/>
      </c>
      <c r="AM674">
        <f>IF(AND(ISNUMBER($AC674),ISNUMBER(IF($V674,IF($AL674="","",$AL674),IF($AK674="","",$AK674)))),IF(AND(ABS($AC674-significance_bar)&lt;=2.0*IF($V674,IF($AL674="","",$AL674),IF($AK674="","",$AK674)),OR($Y674="worse",$Y674="better",$Y674="worse, not significant",$Y674="better, not significant")),IF(ROUND($AC674,3)=ROUND(significance_bar,3),TEXT($AC674,"0.0000"),TEXT($AC674,"0.000")),""),"")</f>
        <v/>
      </c>
      <c r="AN674">
        <f>IF(AND(ISNUMBER($AC674),ISNUMBER(IF($V674,IF($AL674="","",$AL674),IF($AK674="","",$AK674)))),IF(AND(ABS($AC674-significance_bar)&lt;=2.0*IF($V674,IF($AL674="","",$AL674),IF($AK674="","",$AK674)),OR($Y674="worse",$Y674="worse, not significant")),IF(ROUND($AC674,3)=ROUND(significance_bar,3),TEXT($AC674,"0.0000"),TEXT($AC674,"0.000")),""),"")</f>
        <v/>
      </c>
      <c r="AO674">
        <f>IF(OR($AI674="",$AN674=""),$AI674,$AI674&amp;" · borderline (p "&amp;$AN674&amp;")")</f>
        <v/>
      </c>
    </row>
    <row r="675">
      <c r="A675" t="inlineStr">
        <is>
          <t>three-way</t>
        </is>
      </c>
      <c r="B675" t="inlineStr">
        <is>
          <t>FICO x ASSET_CLASS / SYS_FLAG</t>
        </is>
      </c>
      <c r="C675" t="inlineStr">
        <is>
          <t>496 - 653</t>
        </is>
      </c>
      <c r="D675" t="inlineStr">
        <is>
          <t>3 / SYS_FLAG N</t>
        </is>
      </c>
      <c r="E675" t="inlineStr">
        <is>
          <t>outcome_booked</t>
        </is>
      </c>
      <c r="F675" t="inlineStr">
        <is>
          <t>Outcome, share of booked dollars</t>
        </is>
      </c>
      <c r="G675" t="n">
        <v>184</v>
      </c>
      <c r="H675" t="n">
        <v>6326090.790000003</v>
      </c>
      <c r="I675" t="b">
        <v>0</v>
      </c>
      <c r="J675" t="b">
        <v>0</v>
      </c>
      <c r="K675" t="n">
        <v>1.454057995961855</v>
      </c>
      <c r="L675" t="n">
        <v>0.3267006632670066</v>
      </c>
      <c r="M675" t="n">
        <v>0.6938454510545362</v>
      </c>
      <c r="N675" t="n">
        <v>0.3622304436223044</v>
      </c>
      <c r="O675" t="n">
        <v>212572.9807024834</v>
      </c>
      <c r="P675" t="n">
        <v>-300369.9170360903</v>
      </c>
      <c r="Q675">
        <f>'_live'!$C$21</f>
        <v/>
      </c>
      <c r="R675" t="inlineStr">
        <is>
          <t>shuffled: 1,130 of 10,000</t>
        </is>
      </c>
      <c r="S675" t="inlineStr">
        <is>
          <t>shuffled: 1,253 of 10,000</t>
        </is>
      </c>
      <c r="T675" t="n">
        <v>0.07400504274101896</v>
      </c>
      <c r="U675" t="n">
        <v>0.1550887506368036</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0.1076076241390775</v>
      </c>
      <c r="AI675">
        <f>IF($Y675="worse","Yes",IF($Y675="worse, not significant","Not sure",IF(OR($Y675="too few losses to test",$Y675="too few loans to test"),"Too few losses",IF($Y675="","","No"))))</f>
        <v/>
      </c>
      <c r="AJ675">
        <f>IF($AA675="yes","Yes",IF($AA675="","","No"))</f>
        <v/>
      </c>
      <c r="AK675" t="n">
        <v>0.009149145275519369</v>
      </c>
      <c r="AL675" t="n">
        <v>0.009566779026981637</v>
      </c>
      <c r="AM675">
        <f>IF(AND(ISNUMBER($AC675),ISNUMBER(IF($V675,IF($AL675="","",$AL675),IF($AK675="","",$AK675)))),IF(AND(ABS($AC675-significance_bar)&lt;=2.0*IF($V675,IF($AL675="","",$AL675),IF($AK675="","",$AK675)),OR($Y675="worse",$Y675="better",$Y675="worse, not significant",$Y675="better, not significant")),IF(ROUND($AC675,3)=ROUND(significance_bar,3),TEXT($AC675,"0.0000"),TEXT($AC675,"0.000")),""),"")</f>
        <v/>
      </c>
      <c r="AN675">
        <f>IF(AND(ISNUMBER($AC675),ISNUMBER(IF($V675,IF($AL675="","",$AL675),IF($AK675="","",$AK675)))),IF(AND(ABS($AC675-significance_bar)&lt;=2.0*IF($V675,IF($AL675="","",$AL675),IF($AK675="","",$AK675)),OR($Y675="worse",$Y675="worse, not significant")),IF(ROUND($AC675,3)=ROUND(significance_bar,3),TEXT($AC675,"0.0000"),TEXT($AC675,"0.000")),""),"")</f>
        <v/>
      </c>
      <c r="AO675">
        <f>IF(OR($AI675="",$AN675=""),$AI675,$AI675&amp;" · borderline (p "&amp;$AN675&amp;")")</f>
        <v/>
      </c>
    </row>
    <row r="676">
      <c r="A676" t="inlineStr">
        <is>
          <t>three-way</t>
        </is>
      </c>
      <c r="B676" t="inlineStr">
        <is>
          <t>FICO x ASSET_CLASS / SYS_FLAG</t>
        </is>
      </c>
      <c r="C676" t="inlineStr">
        <is>
          <t>496 - 653</t>
        </is>
      </c>
      <c r="D676" t="inlineStr">
        <is>
          <t>3 / SYS_FLAG N</t>
        </is>
      </c>
      <c r="E676" t="inlineStr">
        <is>
          <t>gco_rate</t>
        </is>
      </c>
      <c r="F676" t="inlineStr">
        <is>
          <t>GCO per booked dollar</t>
        </is>
      </c>
      <c r="G676" t="n">
        <v>184</v>
      </c>
      <c r="H676" t="n">
        <v>6326090.790000003</v>
      </c>
      <c r="I676" t="b">
        <v>0</v>
      </c>
      <c r="J676" t="b">
        <v>0</v>
      </c>
      <c r="K676" t="n">
        <v>1.484548022719975</v>
      </c>
      <c r="L676" t="n">
        <v>0.2995478229954782</v>
      </c>
      <c r="M676" t="n">
        <v>0.7044878453041398</v>
      </c>
      <c r="N676" t="n">
        <v>0.4351964803519648</v>
      </c>
      <c r="O676" t="n">
        <v>126035.147700514</v>
      </c>
      <c r="P676" t="n">
        <v>-161976.1021945646</v>
      </c>
      <c r="Q676">
        <f>'_live'!$C$22</f>
        <v/>
      </c>
      <c r="R676" t="inlineStr">
        <is>
          <t>shuffled: 1,018 of 10,000</t>
        </is>
      </c>
      <c r="S676" t="inlineStr">
        <is>
          <t>shuffled: 1,510 of 10,000</t>
        </is>
      </c>
      <c r="T676" t="n">
        <v>0.04111681146129833</v>
      </c>
      <c r="U676" t="n">
        <v>0.08664433540236374</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0.06103988115542043</v>
      </c>
      <c r="AI676">
        <f>IF($Y676="worse","Yes",IF($Y676="worse, not significant","Not sure",IF(OR($Y676="too few losses to test",$Y676="too few loans to test"),"Too few losses",IF($Y676="","","No"))))</f>
        <v/>
      </c>
      <c r="AJ676">
        <f>IF($AA676="yes","Yes",IF($AA676="","","No"))</f>
        <v/>
      </c>
      <c r="AK676" t="n">
        <v>0.008806994261841904</v>
      </c>
      <c r="AL676" t="n">
        <v>0.009706260208774388</v>
      </c>
      <c r="AM676">
        <f>IF(AND(ISNUMBER($AC676),ISNUMBER(IF($V676,IF($AL676="","",$AL676),IF($AK676="","",$AK676)))),IF(AND(ABS($AC676-significance_bar)&lt;=2.0*IF($V676,IF($AL676="","",$AL676),IF($AK676="","",$AK676)),OR($Y676="worse",$Y676="better",$Y676="worse, not significant",$Y676="better, not significant")),IF(ROUND($AC676,3)=ROUND(significance_bar,3),TEXT($AC676,"0.0000"),TEXT($AC676,"0.000")),""),"")</f>
        <v/>
      </c>
      <c r="AN676">
        <f>IF(AND(ISNUMBER($AC676),ISNUMBER(IF($V676,IF($AL676="","",$AL676),IF($AK676="","",$AK676)))),IF(AND(ABS($AC676-significance_bar)&lt;=2.0*IF($V676,IF($AL676="","",$AL676),IF($AK676="","",$AK676)),OR($Y676="worse",$Y676="worse, not significant")),IF(ROUND($AC676,3)=ROUND(significance_bar,3),TEXT($AC676,"0.0000"),TEXT($AC676,"0.000")),""),"")</f>
        <v/>
      </c>
      <c r="AO676">
        <f>IF(OR($AI676="",$AN676=""),$AI676,$AI676&amp;" · borderline (p "&amp;$AN676&amp;")")</f>
        <v/>
      </c>
    </row>
    <row r="677">
      <c r="A677" t="inlineStr">
        <is>
          <t>three-way</t>
        </is>
      </c>
      <c r="B677" t="inlineStr">
        <is>
          <t>FICO x ASSET_CLASS / SYS_FLAG</t>
        </is>
      </c>
      <c r="C677" t="inlineStr">
        <is>
          <t>496 - 653</t>
        </is>
      </c>
      <c r="D677" t="inlineStr">
        <is>
          <t>3 / SYS_FLAG N</t>
        </is>
      </c>
      <c r="E677" t="inlineStr">
        <is>
          <t>ranr_rate</t>
        </is>
      </c>
      <c r="F677" t="inlineStr">
        <is>
          <t>Profit after losses: RANR per booked dollar</t>
        </is>
      </c>
      <c r="G677" t="n">
        <v>184</v>
      </c>
      <c r="H677" t="n">
        <v>6326090.790000003</v>
      </c>
      <c r="I677" t="b">
        <v>0</v>
      </c>
      <c r="J677" t="b">
        <v>0</v>
      </c>
      <c r="K677" t="n">
        <v>0.07867581087637532</v>
      </c>
      <c r="L677" t="n">
        <v>0.0003768853883842385</v>
      </c>
      <c r="M677" t="n">
        <v>0.01663978629456031</v>
      </c>
      <c r="N677" t="n">
        <v>0.7878323278783234</v>
      </c>
      <c r="O677" t="n">
        <v>-497710.3225808198</v>
      </c>
      <c r="P677" t="n">
        <v>-105264.7988255862</v>
      </c>
      <c r="Q677">
        <f>'_live'!$C$23</f>
        <v/>
      </c>
      <c r="R677" t="inlineStr">
        <is>
          <t>shuffled: 0 of 10,000</t>
        </is>
      </c>
      <c r="S677" t="inlineStr">
        <is>
          <t>shuffled: 4,363 of 10,000</t>
        </is>
      </c>
      <c r="T677" t="n">
        <v>0.1260614515175461</v>
      </c>
      <c r="U677" t="n">
        <v>0.1880974760993611</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0.2047372623939214</v>
      </c>
      <c r="AI677">
        <f>IF($Y677="worse","Yes",IF($Y677="worse, not significant","Not sure",IF(OR($Y677="too few losses to test",$Y677="too few loans to test"),"Too few losses",IF($Y677="","","No"))))</f>
        <v/>
      </c>
      <c r="AJ677">
        <f>IF($AA677="yes","Yes",IF($AA677="","","No"))</f>
        <v/>
      </c>
      <c r="AK677" t="n">
        <v>0.0003768853883842385</v>
      </c>
      <c r="AL677" t="n">
        <v>0.008831257148712414</v>
      </c>
      <c r="AM677">
        <f>IF(AND(ISNUMBER($AC677),ISNUMBER(IF($V677,IF($AL677="","",$AL677),IF($AK677="","",$AK677)))),IF(AND(ABS($AC677-significance_bar)&lt;=2.0*IF($V677,IF($AL677="","",$AL677),IF($AK677="","",$AK677)),OR($Y677="worse",$Y677="better",$Y677="worse, not significant",$Y677="better, not significant",AND(profit_kind="test",$Y677="in line",ISNUMBER($AB677),$AB677&lt;&gt;0))),IF(ROUND($AC677,3)=ROUND(significance_bar,3),TEXT($AC677,"0.0000"),TEXT($AC677,"0.000")),""),"")</f>
        <v/>
      </c>
      <c r="AN677">
        <f>IF(AND(ISNUMBER($AC677),ISNUMBER(IF($V677,IF($AL677="","",$AL677),IF($AK677="","",$AK677)))),IF(AND(ABS($AC677-significance_bar)&lt;=2.0*IF($V677,IF($AL677="","",$AL677),IF($AK677="","",$AK677)),OR($Y677="worse",$Y677="worse, not significant",AND(profit_kind="test",$Y677="in line",ISNUMBER($AB677),$AB677&lt;0))),IF(ROUND($AC677,3)=ROUND(significance_bar,3),TEXT($AC677,"0.0000"),TEXT($AC677,"0.000")),""),"")</f>
        <v/>
      </c>
      <c r="AO677">
        <f>IF(OR($AI677="",$AN677=""),$AI677,$AI677&amp;" · borderline (p "&amp;$AN677&amp;")")</f>
        <v/>
      </c>
    </row>
    <row r="678">
      <c r="A678" t="inlineStr">
        <is>
          <t>three-way</t>
        </is>
      </c>
      <c r="B678" t="inlineStr">
        <is>
          <t>FICO x ASSET_CLASS / SYS_FLAG</t>
        </is>
      </c>
      <c r="C678" t="inlineStr">
        <is>
          <t>496 - 653</t>
        </is>
      </c>
      <c r="D678" t="inlineStr">
        <is>
          <t>3 / SYS_FLAG N</t>
        </is>
      </c>
      <c r="E678" t="inlineStr">
        <is>
          <t>contribution_rate</t>
        </is>
      </c>
      <c r="F678" t="inlineStr">
        <is>
          <t>Contribution before losses per booked dollar</t>
        </is>
      </c>
      <c r="G678" t="n">
        <v>184</v>
      </c>
      <c r="H678" t="n">
        <v>6326090.790000003</v>
      </c>
      <c r="I678" t="b">
        <v>0</v>
      </c>
      <c r="J678" t="b">
        <v>0</v>
      </c>
      <c r="K678" t="n">
        <v>0.0986021157493257</v>
      </c>
      <c r="L678" t="n">
        <v>0.0001814633351479667</v>
      </c>
      <c r="M678" t="n">
        <v>-0.008964667952382932</v>
      </c>
      <c r="N678" t="n">
        <v>0.937752378608293</v>
      </c>
      <c r="O678" t="n">
        <v>-623765.9363163235</v>
      </c>
      <c r="P678" t="n">
        <v>56711.30336897797</v>
      </c>
      <c r="Q678">
        <f>'_live'!$C$24</f>
        <v/>
      </c>
      <c r="R678" t="inlineStr">
        <is>
          <t>shuffled: 0 of 10,000</t>
        </is>
      </c>
      <c r="S678" t="inlineStr">
        <is>
          <t>shuffled: 4,728 of 10,000</t>
        </is>
      </c>
      <c r="T678" t="n">
        <v>0.1671750278000163</v>
      </c>
      <c r="U678" t="n">
        <v>0.2747418115017249</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0.265777143549342</v>
      </c>
      <c r="AI678">
        <f>IF($Y678="worse","Yes",IF($Y678="worse, not significant","Not sure",IF(OR($Y678="too few losses to test",$Y678="too few loans to test"),"Too few losses",IF($Y678="","","No"))))</f>
        <v/>
      </c>
      <c r="AJ678">
        <f>IF($AA678="yes","Yes",IF($AA678="","","No"))</f>
        <v/>
      </c>
      <c r="AK678" t="n">
        <v>0.0001814633351479667</v>
      </c>
      <c r="AL678" t="n">
        <v>0.009229602574987216</v>
      </c>
      <c r="AM678">
        <f>IF(AND(ISNUMBER($AC678),ISNUMBER(IF($V678,IF($AL678="","",$AL678),IF($AK678="","",$AK678)))),IF(AND(ABS($AC678-significance_bar)&lt;=2.0*IF($V678,IF($AL678="","",$AL678),IF($AK678="","",$AK678)),OR($Y678="worse",$Y678="better",$Y678="worse, not significant",$Y678="better, not significant",AND(profit_kind="test",$Y678="in line",ISNUMBER($AB678),$AB678&lt;&gt;0))),IF(ROUND($AC678,3)=ROUND(significance_bar,3),TEXT($AC678,"0.0000"),TEXT($AC678,"0.000")),""),"")</f>
        <v/>
      </c>
      <c r="AN678">
        <f>IF(AND(ISNUMBER($AC678),ISNUMBER(IF($V678,IF($AL678="","",$AL678),IF($AK678="","",$AK678)))),IF(AND(ABS($AC678-significance_bar)&lt;=2.0*IF($V678,IF($AL678="","",$AL678),IF($AK678="","",$AK678)),OR($Y678="worse",$Y678="worse, not significant",AND(profit_kind="test",$Y678="in line",ISNUMBER($AB678),$AB678&lt;0))),IF(ROUND($AC678,3)=ROUND(significance_bar,3),TEXT($AC678,"0.0000"),TEXT($AC678,"0.000")),""),"")</f>
        <v/>
      </c>
      <c r="AO678">
        <f>IF(OR($AI678="",$AN678=""),$AI678,$AI678&amp;" · borderline (p "&amp;$AN678&amp;")")</f>
        <v/>
      </c>
    </row>
    <row r="679">
      <c r="A679" t="inlineStr">
        <is>
          <t>three-way</t>
        </is>
      </c>
      <c r="B679" t="inlineStr">
        <is>
          <t>FICO x ASSET_CLASS / SYS_FLAG</t>
        </is>
      </c>
      <c r="C679" t="inlineStr">
        <is>
          <t>654 - 685</t>
        </is>
      </c>
      <c r="D679" t="inlineStr">
        <is>
          <t>3 / SYS_FLAG N</t>
        </is>
      </c>
      <c r="E679" t="inlineStr">
        <is>
          <t>outcome_loans</t>
        </is>
      </c>
      <c r="F679" t="inlineStr">
        <is>
          <t>Outcome, share of loans</t>
        </is>
      </c>
      <c r="G679" t="n">
        <v>184</v>
      </c>
      <c r="H679" t="n">
        <v>184</v>
      </c>
      <c r="I679" t="b">
        <v>0</v>
      </c>
      <c r="J679" t="b">
        <v>0</v>
      </c>
      <c r="K679" t="n">
        <v>0.9111332328885062</v>
      </c>
      <c r="L679" t="n">
        <v>0.7902998122101369</v>
      </c>
      <c r="M679" t="n">
        <v>0.8182367149758454</v>
      </c>
      <c r="N679" t="n">
        <v>0.6825786161040511</v>
      </c>
      <c r="O679" t="n">
        <v>-1.267946257197696</v>
      </c>
      <c r="P679" t="n">
        <v>-2.887822878228782</v>
      </c>
      <c r="Q679">
        <f>'_live'!$C$20</f>
        <v/>
      </c>
      <c r="R679" t="inlineStr">
        <is>
          <t>z test</t>
        </is>
      </c>
      <c r="S679" t="inlineStr">
        <is>
          <t>z test</t>
        </is>
      </c>
      <c r="T679" t="n">
        <v>0.07754318618042226</v>
      </c>
      <c r="U679" t="n">
        <v>0.08634686346863468</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0.07065217391304347</v>
      </c>
      <c r="AI679">
        <f>IF($Y679="worse","Yes",IF($Y679="worse, not significant","Not sure",IF(OR($Y679="too few losses to test",$Y679="too few loans to test"),"Too few losses",IF($Y679="","","No"))))</f>
        <v/>
      </c>
      <c r="AJ679">
        <f>IF($AA679="yes","Yes",IF($AA679="","","No"))</f>
        <v/>
      </c>
      <c r="AM679">
        <f>IF(AND(ISNUMBER($AC679),ISNUMBER(IF($V679,IF($AL679="","",$AL679),IF($AK679="","",$AK679)))),IF(AND(ABS($AC679-significance_bar)&lt;=2.0*IF($V679,IF($AL679="","",$AL679),IF($AK679="","",$AK679)),OR($Y679="worse",$Y679="better",$Y679="worse, not significant",$Y679="better, not significant")),IF(ROUND($AC679,3)=ROUND(significance_bar,3),TEXT($AC679,"0.0000"),TEXT($AC679,"0.000")),""),"")</f>
        <v/>
      </c>
      <c r="AN679">
        <f>IF(AND(ISNUMBER($AC679),ISNUMBER(IF($V679,IF($AL679="","",$AL679),IF($AK679="","",$AK679)))),IF(AND(ABS($AC679-significance_bar)&lt;=2.0*IF($V679,IF($AL679="","",$AL679),IF($AK679="","",$AK679)),OR($Y679="worse",$Y679="worse, not significant")),IF(ROUND($AC679,3)=ROUND(significance_bar,3),TEXT($AC679,"0.0000"),TEXT($AC679,"0.000")),""),"")</f>
        <v/>
      </c>
      <c r="AO679">
        <f>IF(OR($AI679="",$AN679=""),$AI679,$AI679&amp;" · borderline (p "&amp;$AN679&amp;")")</f>
        <v/>
      </c>
    </row>
    <row r="680">
      <c r="A680" t="inlineStr">
        <is>
          <t>three-way</t>
        </is>
      </c>
      <c r="B680" t="inlineStr">
        <is>
          <t>FICO x ASSET_CLASS / SYS_FLAG</t>
        </is>
      </c>
      <c r="C680" t="inlineStr">
        <is>
          <t>654 - 685</t>
        </is>
      </c>
      <c r="D680" t="inlineStr">
        <is>
          <t>3 / SYS_FLAG N</t>
        </is>
      </c>
      <c r="E680" t="inlineStr">
        <is>
          <t>outcome_booked</t>
        </is>
      </c>
      <c r="F680" t="inlineStr">
        <is>
          <t>Outcome, share of booked dollars</t>
        </is>
      </c>
      <c r="G680" t="n">
        <v>184</v>
      </c>
      <c r="H680" t="n">
        <v>5977387.739999998</v>
      </c>
      <c r="I680" t="b">
        <v>0</v>
      </c>
      <c r="J680" t="b">
        <v>0</v>
      </c>
      <c r="K680" t="n">
        <v>0.8443247401291436</v>
      </c>
      <c r="L680" t="n">
        <v>0.6905135573399181</v>
      </c>
      <c r="M680" t="n">
        <v>0.772099992364923</v>
      </c>
      <c r="N680" t="n">
        <v>0.6894185581441856</v>
      </c>
      <c r="O680" t="n">
        <v>-69882.62676609337</v>
      </c>
      <c r="P680" t="n">
        <v>-111874.19625566</v>
      </c>
      <c r="Q680">
        <f>'_live'!$C$21</f>
        <v/>
      </c>
      <c r="R680" t="inlineStr">
        <is>
          <t>shuffled: 5,909 of 10,000</t>
        </is>
      </c>
      <c r="S680" t="inlineStr">
        <is>
          <t>shuffled: 4,242 of 10,000</t>
        </is>
      </c>
      <c r="T680" t="n">
        <v>0.07509969844554429</v>
      </c>
      <c r="U680" t="n">
        <v>0.08212476881341817</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0.06340853337381124</v>
      </c>
      <c r="AI680">
        <f>IF($Y680="worse","Yes",IF($Y680="worse, not significant","Not sure",IF(OR($Y680="too few losses to test",$Y680="too few loans to test"),"Too few losses",IF($Y680="","","No"))))</f>
        <v/>
      </c>
      <c r="AJ680">
        <f>IF($AA680="yes","Yes",IF($AA680="","","No"))</f>
        <v/>
      </c>
      <c r="AK680" t="n">
        <v>0.005511547606704301</v>
      </c>
      <c r="AL680" t="n">
        <v>0.00803123408120255</v>
      </c>
      <c r="AM680">
        <f>IF(AND(ISNUMBER($AC680),ISNUMBER(IF($V680,IF($AL680="","",$AL680),IF($AK680="","",$AK680)))),IF(AND(ABS($AC680-significance_bar)&lt;=2.0*IF($V680,IF($AL680="","",$AL680),IF($AK680="","",$AK680)),OR($Y680="worse",$Y680="better",$Y680="worse, not significant",$Y680="better, not significant")),IF(ROUND($AC680,3)=ROUND(significance_bar,3),TEXT($AC680,"0.0000"),TEXT($AC680,"0.000")),""),"")</f>
        <v/>
      </c>
      <c r="AN680">
        <f>IF(AND(ISNUMBER($AC680),ISNUMBER(IF($V680,IF($AL680="","",$AL680),IF($AK680="","",$AK680)))),IF(AND(ABS($AC680-significance_bar)&lt;=2.0*IF($V680,IF($AL680="","",$AL680),IF($AK680="","",$AK680)),OR($Y680="worse",$Y680="worse, not significant")),IF(ROUND($AC680,3)=ROUND(significance_bar,3),TEXT($AC680,"0.0000"),TEXT($AC680,"0.000")),""),"")</f>
        <v/>
      </c>
      <c r="AO680">
        <f>IF(OR($AI680="",$AN680=""),$AI680,$AI680&amp;" · borderline (p "&amp;$AN680&amp;")")</f>
        <v/>
      </c>
    </row>
    <row r="681">
      <c r="A681" t="inlineStr">
        <is>
          <t>three-way</t>
        </is>
      </c>
      <c r="B681" t="inlineStr">
        <is>
          <t>FICO x ASSET_CLASS / SYS_FLAG</t>
        </is>
      </c>
      <c r="C681" t="inlineStr">
        <is>
          <t>654 - 685</t>
        </is>
      </c>
      <c r="D681" t="inlineStr">
        <is>
          <t>3 / SYS_FLAG N</t>
        </is>
      </c>
      <c r="E681" t="inlineStr">
        <is>
          <t>gco_rate</t>
        </is>
      </c>
      <c r="F681" t="inlineStr">
        <is>
          <t>GCO per booked dollar</t>
        </is>
      </c>
      <c r="G681" t="n">
        <v>184</v>
      </c>
      <c r="H681" t="n">
        <v>5977387.739999998</v>
      </c>
      <c r="I681" t="b">
        <v>0</v>
      </c>
      <c r="J681" t="b">
        <v>0</v>
      </c>
      <c r="K681" t="n">
        <v>0.9751170990151057</v>
      </c>
      <c r="L681" t="n">
        <v>0.9747985201479853</v>
      </c>
      <c r="M681" t="n">
        <v>0.8853252333697138</v>
      </c>
      <c r="N681" t="n">
        <v>0.9513748625137486</v>
      </c>
      <c r="O681" t="n">
        <v>-6191.717698298453</v>
      </c>
      <c r="P681" t="n">
        <v>-31429.09894217912</v>
      </c>
      <c r="Q681">
        <f>'_live'!$C$22</f>
        <v/>
      </c>
      <c r="R681" t="inlineStr">
        <is>
          <t>shuffled: 9,373 of 10,000</t>
        </is>
      </c>
      <c r="S681" t="inlineStr">
        <is>
          <t>shuffled: 7,042 of 10,000</t>
        </is>
      </c>
      <c r="T681" t="n">
        <v>0.04162926156406553</v>
      </c>
      <c r="U681" t="n">
        <v>0.04585140380104892</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0.04059340477049262</v>
      </c>
      <c r="AI681">
        <f>IF($Y681="worse","Yes",IF($Y681="worse, not significant","Not sure",IF(OR($Y681="too few losses to test",$Y681="too few loans to test"),"Too few losses",IF($Y681="","","No"))))</f>
        <v/>
      </c>
      <c r="AJ681">
        <f>IF($AA681="yes","Yes",IF($AA681="","","No"))</f>
        <v/>
      </c>
      <c r="AK681" t="n">
        <v>0.002521077271152209</v>
      </c>
      <c r="AL681" t="n">
        <v>0.005759107502424479</v>
      </c>
      <c r="AM681">
        <f>IF(AND(ISNUMBER($AC681),ISNUMBER(IF($V681,IF($AL681="","",$AL681),IF($AK681="","",$AK681)))),IF(AND(ABS($AC681-significance_bar)&lt;=2.0*IF($V681,IF($AL681="","",$AL681),IF($AK681="","",$AK681)),OR($Y681="worse",$Y681="better",$Y681="worse, not significant",$Y681="better, not significant")),IF(ROUND($AC681,3)=ROUND(significance_bar,3),TEXT($AC681,"0.0000"),TEXT($AC681,"0.000")),""),"")</f>
        <v/>
      </c>
      <c r="AN681">
        <f>IF(AND(ISNUMBER($AC681),ISNUMBER(IF($V681,IF($AL681="","",$AL681),IF($AK681="","",$AK681)))),IF(AND(ABS($AC681-significance_bar)&lt;=2.0*IF($V681,IF($AL681="","",$AL681),IF($AK681="","",$AK681)),OR($Y681="worse",$Y681="worse, not significant")),IF(ROUND($AC681,3)=ROUND(significance_bar,3),TEXT($AC681,"0.0000"),TEXT($AC681,"0.000")),""),"")</f>
        <v/>
      </c>
      <c r="AO681">
        <f>IF(OR($AI681="",$AN681=""),$AI681,$AI681&amp;" · borderline (p "&amp;$AN681&amp;")")</f>
        <v/>
      </c>
    </row>
    <row r="682">
      <c r="A682" t="inlineStr">
        <is>
          <t>three-way</t>
        </is>
      </c>
      <c r="B682" t="inlineStr">
        <is>
          <t>FICO x ASSET_CLASS / SYS_FLAG</t>
        </is>
      </c>
      <c r="C682" t="inlineStr">
        <is>
          <t>654 - 685</t>
        </is>
      </c>
      <c r="D682" t="inlineStr">
        <is>
          <t>3 / SYS_FLAG N</t>
        </is>
      </c>
      <c r="E682" t="inlineStr">
        <is>
          <t>ranr_rate</t>
        </is>
      </c>
      <c r="F682" t="inlineStr">
        <is>
          <t>Profit after losses: RANR per booked dollar</t>
        </is>
      </c>
      <c r="G682" t="n">
        <v>184</v>
      </c>
      <c r="H682" t="n">
        <v>5977387.739999998</v>
      </c>
      <c r="I682" t="b">
        <v>0</v>
      </c>
      <c r="J682" t="b">
        <v>0</v>
      </c>
      <c r="K682" t="n">
        <v>0.05461117302000998</v>
      </c>
      <c r="L682" t="n">
        <v>0.001224877512248775</v>
      </c>
      <c r="M682" t="n">
        <v>0.02077751894427801</v>
      </c>
      <c r="N682" t="n">
        <v>0.5190338109046239</v>
      </c>
      <c r="O682" t="n">
        <v>-326432.1560768264</v>
      </c>
      <c r="P682" t="n">
        <v>-124195.2870051451</v>
      </c>
      <c r="Q682">
        <f>'_live'!$C$23</f>
        <v/>
      </c>
      <c r="R682" t="inlineStr">
        <is>
          <t>shuffled: 3 of 10,000</t>
        </is>
      </c>
      <c r="S682" t="inlineStr">
        <is>
          <t>shuffled: 2,080 of 10,000</t>
        </is>
      </c>
      <c r="T682" t="n">
        <v>0.1267251443057922</v>
      </c>
      <c r="U682" t="n">
        <v>0.1605587983815242</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0.1813363173258022</v>
      </c>
      <c r="AI682">
        <f>IF($Y682="worse","Yes",IF($Y682="worse, not significant","Not sure",IF(OR($Y682="too few losses to test",$Y682="too few loans to test"),"Too few losses",IF($Y682="","","No"))))</f>
        <v/>
      </c>
      <c r="AJ682">
        <f>IF($AA682="yes","Yes",IF($AA682="","","No"))</f>
        <v/>
      </c>
      <c r="AK682" t="n">
        <v>0.0006123468834199992</v>
      </c>
      <c r="AL682" t="n">
        <v>0.009575838863991234</v>
      </c>
      <c r="AM682">
        <f>IF(AND(ISNUMBER($AC682),ISNUMBER(IF($V682,IF($AL682="","",$AL682),IF($AK682="","",$AK682)))),IF(AND(ABS($AC682-significance_bar)&lt;=2.0*IF($V682,IF($AL682="","",$AL682),IF($AK682="","",$AK682)),OR($Y682="worse",$Y682="better",$Y682="worse, not significant",$Y682="better, not significant",AND(profit_kind="test",$Y682="in line",ISNUMBER($AB682),$AB682&lt;&gt;0))),IF(ROUND($AC682,3)=ROUND(significance_bar,3),TEXT($AC682,"0.0000"),TEXT($AC682,"0.000")),""),"")</f>
        <v/>
      </c>
      <c r="AN682">
        <f>IF(AND(ISNUMBER($AC682),ISNUMBER(IF($V682,IF($AL682="","",$AL682),IF($AK682="","",$AK682)))),IF(AND(ABS($AC682-significance_bar)&lt;=2.0*IF($V682,IF($AL682="","",$AL682),IF($AK682="","",$AK682)),OR($Y682="worse",$Y682="worse, not significant",AND(profit_kind="test",$Y682="in line",ISNUMBER($AB682),$AB682&lt;0))),IF(ROUND($AC682,3)=ROUND(significance_bar,3),TEXT($AC682,"0.0000"),TEXT($AC682,"0.000")),""),"")</f>
        <v/>
      </c>
      <c r="AO682">
        <f>IF(OR($AI682="",$AN682=""),$AI682,$AI682&amp;" · borderline (p "&amp;$AN682&amp;")")</f>
        <v/>
      </c>
    </row>
    <row r="683">
      <c r="A683" t="inlineStr">
        <is>
          <t>three-way</t>
        </is>
      </c>
      <c r="B683" t="inlineStr">
        <is>
          <t>FICO x ASSET_CLASS / SYS_FLAG</t>
        </is>
      </c>
      <c r="C683" t="inlineStr">
        <is>
          <t>654 - 685</t>
        </is>
      </c>
      <c r="D683" t="inlineStr">
        <is>
          <t>3 / SYS_FLAG N</t>
        </is>
      </c>
      <c r="E683" t="inlineStr">
        <is>
          <t>contribution_rate</t>
        </is>
      </c>
      <c r="F683" t="inlineStr">
        <is>
          <t>Contribution before losses per booked dollar</t>
        </is>
      </c>
      <c r="G683" t="n">
        <v>184</v>
      </c>
      <c r="H683" t="n">
        <v>5977387.739999998</v>
      </c>
      <c r="I683" t="b">
        <v>0</v>
      </c>
      <c r="J683" t="b">
        <v>0</v>
      </c>
      <c r="K683" t="n">
        <v>0.05357844243388241</v>
      </c>
      <c r="L683" t="n">
        <v>0.0001814633351479667</v>
      </c>
      <c r="M683" t="n">
        <v>0.01551951991372152</v>
      </c>
      <c r="N683" t="n">
        <v>0.5536900855369009</v>
      </c>
      <c r="O683" t="n">
        <v>-320259.1249325844</v>
      </c>
      <c r="P683" t="n">
        <v>-92766.18806296494</v>
      </c>
      <c r="Q683">
        <f>'_live'!$C$24</f>
        <v/>
      </c>
      <c r="R683" t="inlineStr">
        <is>
          <t>shuffled: 0 of 10,000</t>
        </is>
      </c>
      <c r="S683" t="inlineStr">
        <is>
          <t>shuffled: 932 of 10,000</t>
        </is>
      </c>
      <c r="T683" t="n">
        <v>0.1683512796624123</v>
      </c>
      <c r="U683" t="n">
        <v>0.2064102021825732</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0.2219297220962947</v>
      </c>
      <c r="AI683">
        <f>IF($Y683="worse","Yes",IF($Y683="worse, not significant","Not sure",IF(OR($Y683="too few losses to test",$Y683="too few loans to test"),"Too few losses",IF($Y683="","","No"))))</f>
        <v/>
      </c>
      <c r="AJ683">
        <f>IF($AA683="yes","Yes",IF($AA683="","","No"))</f>
        <v/>
      </c>
      <c r="AK683" t="n">
        <v>0.0001814633351479667</v>
      </c>
      <c r="AL683" t="n">
        <v>0.01452421936150749</v>
      </c>
      <c r="AM683">
        <f>IF(AND(ISNUMBER($AC683),ISNUMBER(IF($V683,IF($AL683="","",$AL683),IF($AK683="","",$AK683)))),IF(AND(ABS($AC683-significance_bar)&lt;=2.0*IF($V683,IF($AL683="","",$AL683),IF($AK683="","",$AK683)),OR($Y683="worse",$Y683="better",$Y683="worse, not significant",$Y683="better, not significant",AND(profit_kind="test",$Y683="in line",ISNUMBER($AB683),$AB683&lt;&gt;0))),IF(ROUND($AC683,3)=ROUND(significance_bar,3),TEXT($AC683,"0.0000"),TEXT($AC683,"0.000")),""),"")</f>
        <v/>
      </c>
      <c r="AN683">
        <f>IF(AND(ISNUMBER($AC683),ISNUMBER(IF($V683,IF($AL683="","",$AL683),IF($AK683="","",$AK683)))),IF(AND(ABS($AC683-significance_bar)&lt;=2.0*IF($V683,IF($AL683="","",$AL683),IF($AK683="","",$AK683)),OR($Y683="worse",$Y683="worse, not significant",AND(profit_kind="test",$Y683="in line",ISNUMBER($AB683),$AB683&lt;0))),IF(ROUND($AC683,3)=ROUND(significance_bar,3),TEXT($AC683,"0.0000"),TEXT($AC683,"0.000")),""),"")</f>
        <v/>
      </c>
      <c r="AO683">
        <f>IF(OR($AI683="",$AN683=""),$AI683,$AI683&amp;" · borderline (p "&amp;$AN683&amp;")")</f>
        <v/>
      </c>
    </row>
    <row r="684">
      <c r="A684" t="inlineStr">
        <is>
          <t>three-way</t>
        </is>
      </c>
      <c r="B684" t="inlineStr">
        <is>
          <t>FICO x ASSET_CLASS / SYS_FLAG</t>
        </is>
      </c>
      <c r="C684" t="inlineStr">
        <is>
          <t>746 - 921</t>
        </is>
      </c>
      <c r="D684" t="inlineStr">
        <is>
          <t>3 / SYS_FLAG N</t>
        </is>
      </c>
      <c r="E684" t="inlineStr">
        <is>
          <t>outcome_loans</t>
        </is>
      </c>
      <c r="F684" t="inlineStr">
        <is>
          <t>Outcome, share of loans</t>
        </is>
      </c>
      <c r="G684" t="n">
        <v>211</v>
      </c>
      <c r="H684" t="n">
        <v>211</v>
      </c>
      <c r="I684" t="b">
        <v>1</v>
      </c>
      <c r="J684" t="b">
        <v>0</v>
      </c>
      <c r="K684" t="n">
        <v>0.4221726605334077</v>
      </c>
      <c r="M684" t="n">
        <v>0.8203360620422232</v>
      </c>
      <c r="O684" t="n">
        <v>-9.580893682588599</v>
      </c>
      <c r="P684" t="n">
        <v>-1.533088235294118</v>
      </c>
      <c r="Q684">
        <f>'_live'!$C$20</f>
        <v/>
      </c>
      <c r="T684" t="n">
        <v>0.07858243451463791</v>
      </c>
      <c r="U684" t="n">
        <v>0.04044117647058824</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0.03317535545023697</v>
      </c>
      <c r="AI684">
        <f>IF($Y684="worse","Yes",IF($Y684="worse, not significant","Not sure",IF(OR($Y684="too few losses to test",$Y684="too few loans to test"),"Too few losses",IF($Y684="","","No"))))</f>
        <v/>
      </c>
      <c r="AJ684">
        <f>IF($AA684="yes","Yes",IF($AA684="","","No"))</f>
        <v/>
      </c>
      <c r="AM684">
        <f>IF(AND(ISNUMBER($AC684),ISNUMBER(IF($V684,IF($AL684="","",$AL684),IF($AK684="","",$AK684)))),IF(AND(ABS($AC684-significance_bar)&lt;=2.0*IF($V684,IF($AL684="","",$AL684),IF($AK684="","",$AK684)),OR($Y684="worse",$Y684="better",$Y684="worse, not significant",$Y684="better, not significant")),IF(ROUND($AC684,3)=ROUND(significance_bar,3),TEXT($AC684,"0.0000"),TEXT($AC684,"0.000")),""),"")</f>
        <v/>
      </c>
      <c r="AN684">
        <f>IF(AND(ISNUMBER($AC684),ISNUMBER(IF($V684,IF($AL684="","",$AL684),IF($AK684="","",$AK684)))),IF(AND(ABS($AC684-significance_bar)&lt;=2.0*IF($V684,IF($AL684="","",$AL684),IF($AK684="","",$AK684)),OR($Y684="worse",$Y684="worse, not significant")),IF(ROUND($AC684,3)=ROUND(significance_bar,3),TEXT($AC684,"0.0000"),TEXT($AC684,"0.000")),""),"")</f>
        <v/>
      </c>
      <c r="AO684">
        <f>IF(OR($AI684="",$AN684=""),$AI684,$AI684&amp;" · borderline (p "&amp;$AN684&amp;")")</f>
        <v/>
      </c>
    </row>
    <row r="685">
      <c r="A685" t="inlineStr">
        <is>
          <t>three-way</t>
        </is>
      </c>
      <c r="B685" t="inlineStr">
        <is>
          <t>FICO x ASSET_CLASS / SYS_FLAG</t>
        </is>
      </c>
      <c r="C685" t="inlineStr">
        <is>
          <t>746 - 921</t>
        </is>
      </c>
      <c r="D685" t="inlineStr">
        <is>
          <t>3 / SYS_FLAG N</t>
        </is>
      </c>
      <c r="E685" t="inlineStr">
        <is>
          <t>outcome_booked</t>
        </is>
      </c>
      <c r="F685" t="inlineStr">
        <is>
          <t>Outcome, share of booked dollars</t>
        </is>
      </c>
      <c r="G685" t="n">
        <v>211</v>
      </c>
      <c r="H685" t="n">
        <v>6998495.059999997</v>
      </c>
      <c r="I685" t="b">
        <v>1</v>
      </c>
      <c r="J685" t="b">
        <v>0</v>
      </c>
      <c r="K685" t="n">
        <v>0.3301034418640931</v>
      </c>
      <c r="M685" t="n">
        <v>0.6499780514257512</v>
      </c>
      <c r="O685" t="n">
        <v>-357309.8648811755</v>
      </c>
      <c r="P685" t="n">
        <v>-94816.49552261442</v>
      </c>
      <c r="Q685">
        <f>'_live'!$C$21</f>
        <v/>
      </c>
      <c r="T685" t="n">
        <v>0.07621362168699962</v>
      </c>
      <c r="U685" t="n">
        <v>0.03870650521293853</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0.02515837883580646</v>
      </c>
      <c r="AI685">
        <f>IF($Y685="worse","Yes",IF($Y685="worse, not significant","Not sure",IF(OR($Y685="too few losses to test",$Y685="too few loans to test"),"Too few losses",IF($Y685="","","No"))))</f>
        <v/>
      </c>
      <c r="AJ685">
        <f>IF($AA685="yes","Yes",IF($AA685="","","No"))</f>
        <v/>
      </c>
      <c r="AM685">
        <f>IF(AND(ISNUMBER($AC685),ISNUMBER(IF($V685,IF($AL685="","",$AL685),IF($AK685="","",$AK685)))),IF(AND(ABS($AC685-significance_bar)&lt;=2.0*IF($V685,IF($AL685="","",$AL685),IF($AK685="","",$AK685)),OR($Y685="worse",$Y685="better",$Y685="worse, not significant",$Y685="better, not significant")),IF(ROUND($AC685,3)=ROUND(significance_bar,3),TEXT($AC685,"0.0000"),TEXT($AC685,"0.000")),""),"")</f>
        <v/>
      </c>
      <c r="AN685">
        <f>IF(AND(ISNUMBER($AC685),ISNUMBER(IF($V685,IF($AL685="","",$AL685),IF($AK685="","",$AK685)))),IF(AND(ABS($AC685-significance_bar)&lt;=2.0*IF($V685,IF($AL685="","",$AL685),IF($AK685="","",$AK685)),OR($Y685="worse",$Y685="worse, not significant")),IF(ROUND($AC685,3)=ROUND(significance_bar,3),TEXT($AC685,"0.0000"),TEXT($AC685,"0.000")),""),"")</f>
        <v/>
      </c>
      <c r="AO685">
        <f>IF(OR($AI685="",$AN685=""),$AI685,$AI685&amp;" · borderline (p "&amp;$AN685&amp;")")</f>
        <v/>
      </c>
    </row>
    <row r="686">
      <c r="A686" t="inlineStr">
        <is>
          <t>three-way</t>
        </is>
      </c>
      <c r="B686" t="inlineStr">
        <is>
          <t>FICO x ASSET_CLASS / SYS_FLAG</t>
        </is>
      </c>
      <c r="C686" t="inlineStr">
        <is>
          <t>746 - 921</t>
        </is>
      </c>
      <c r="D686" t="inlineStr">
        <is>
          <t>3 / SYS_FLAG N</t>
        </is>
      </c>
      <c r="E686" t="inlineStr">
        <is>
          <t>gco_rate</t>
        </is>
      </c>
      <c r="F686" t="inlineStr">
        <is>
          <t>GCO per booked dollar</t>
        </is>
      </c>
      <c r="G686" t="n">
        <v>211</v>
      </c>
      <c r="H686" t="n">
        <v>6998495.059999997</v>
      </c>
      <c r="I686" t="b">
        <v>1</v>
      </c>
      <c r="J686" t="b">
        <v>0</v>
      </c>
      <c r="K686" t="n">
        <v>0.255809723457713</v>
      </c>
      <c r="M686" t="n">
        <v>0.5226668860013807</v>
      </c>
      <c r="O686" t="n">
        <v>-221152.9284644031</v>
      </c>
      <c r="P686" t="n">
        <v>-69426.02962764894</v>
      </c>
      <c r="Q686">
        <f>'_live'!$C$22</f>
        <v/>
      </c>
      <c r="T686" t="n">
        <v>0.04246235167941995</v>
      </c>
      <c r="U686" t="n">
        <v>0.02078241941741815</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0.01086228244047657</v>
      </c>
      <c r="AI686">
        <f>IF($Y686="worse","Yes",IF($Y686="worse, not significant","Not sure",IF(OR($Y686="too few losses to test",$Y686="too few loans to test"),"Too few losses",IF($Y686="","","No"))))</f>
        <v/>
      </c>
      <c r="AJ686">
        <f>IF($AA686="yes","Yes",IF($AA686="","","No"))</f>
        <v/>
      </c>
      <c r="AM686">
        <f>IF(AND(ISNUMBER($AC686),ISNUMBER(IF($V686,IF($AL686="","",$AL686),IF($AK686="","",$AK686)))),IF(AND(ABS($AC686-significance_bar)&lt;=2.0*IF($V686,IF($AL686="","",$AL686),IF($AK686="","",$AK686)),OR($Y686="worse",$Y686="better",$Y686="worse, not significant",$Y686="better, not significant")),IF(ROUND($AC686,3)=ROUND(significance_bar,3),TEXT($AC686,"0.0000"),TEXT($AC686,"0.000")),""),"")</f>
        <v/>
      </c>
      <c r="AN686">
        <f>IF(AND(ISNUMBER($AC686),ISNUMBER(IF($V686,IF($AL686="","",$AL686),IF($AK686="","",$AK686)))),IF(AND(ABS($AC686-significance_bar)&lt;=2.0*IF($V686,IF($AL686="","",$AL686),IF($AK686="","",$AK686)),OR($Y686="worse",$Y686="worse, not significant")),IF(ROUND($AC686,3)=ROUND(significance_bar,3),TEXT($AC686,"0.0000"),TEXT($AC686,"0.000")),""),"")</f>
        <v/>
      </c>
      <c r="AO686">
        <f>IF(OR($AI686="",$AN686=""),$AI686,$AI686&amp;" · borderline (p "&amp;$AN686&amp;")")</f>
        <v/>
      </c>
    </row>
    <row r="687">
      <c r="A687" t="inlineStr">
        <is>
          <t>three-way</t>
        </is>
      </c>
      <c r="B687" t="inlineStr">
        <is>
          <t>FICO x ASSET_CLASS / SYS_FLAG</t>
        </is>
      </c>
      <c r="C687" t="inlineStr">
        <is>
          <t>746 - 921</t>
        </is>
      </c>
      <c r="D687" t="inlineStr">
        <is>
          <t>3 / SYS_FLAG N</t>
        </is>
      </c>
      <c r="E687" t="inlineStr">
        <is>
          <t>ranr_rate</t>
        </is>
      </c>
      <c r="F687" t="inlineStr">
        <is>
          <t>Profit after losses: RANR per booked dollar</t>
        </is>
      </c>
      <c r="G687" t="n">
        <v>211</v>
      </c>
      <c r="H687" t="n">
        <v>6998495.059999997</v>
      </c>
      <c r="I687" t="b">
        <v>0</v>
      </c>
      <c r="J687" t="b">
        <v>0</v>
      </c>
      <c r="K687" t="n">
        <v>-0.07298570146941186</v>
      </c>
      <c r="L687" t="n">
        <v>0.0003768853883842385</v>
      </c>
      <c r="M687" t="n">
        <v>0.01188667664712955</v>
      </c>
      <c r="N687" t="n">
        <v>0.5135486451354865</v>
      </c>
      <c r="O687" t="n">
        <v>510790.0711843134</v>
      </c>
      <c r="P687" t="n">
        <v>-83188.84779475344</v>
      </c>
      <c r="Q687">
        <f>'_live'!$C$23</f>
        <v/>
      </c>
      <c r="R687" t="inlineStr">
        <is>
          <t>shuffled: 0 of 10,000</t>
        </is>
      </c>
      <c r="S687" t="inlineStr">
        <is>
          <t>shuffled: 1,604 of 10,000</t>
        </is>
      </c>
      <c r="T687" t="n">
        <v>0.1299693310327655</v>
      </c>
      <c r="U687" t="n">
        <v>0.04509695291622407</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0.05698362956335362</v>
      </c>
      <c r="AI687">
        <f>IF($Y687="worse","Yes",IF($Y687="worse, not significant","Not sure",IF(OR($Y687="too few losses to test",$Y687="too few loans to test"),"Too few losses",IF($Y687="","","No"))))</f>
        <v/>
      </c>
      <c r="AJ687">
        <f>IF($AA687="yes","Yes",IF($AA687="","","No"))</f>
        <v/>
      </c>
      <c r="AK687" t="n">
        <v>0.0003768853883842385</v>
      </c>
      <c r="AL687" t="n">
        <v>0.01174573732684782</v>
      </c>
      <c r="AM687">
        <f>IF(AND(ISNUMBER($AC687),ISNUMBER(IF($V687,IF($AL687="","",$AL687),IF($AK687="","",$AK687)))),IF(AND(ABS($AC687-significance_bar)&lt;=2.0*IF($V687,IF($AL687="","",$AL687),IF($AK687="","",$AK687)),OR($Y687="worse",$Y687="better",$Y687="worse, not significant",$Y687="better, not significant",AND(profit_kind="test",$Y687="in line",ISNUMBER($AB687),$AB687&lt;&gt;0))),IF(ROUND($AC687,3)=ROUND(significance_bar,3),TEXT($AC687,"0.0000"),TEXT($AC687,"0.000")),""),"")</f>
        <v/>
      </c>
      <c r="AN687">
        <f>IF(AND(ISNUMBER($AC687),ISNUMBER(IF($V687,IF($AL687="","",$AL687),IF($AK687="","",$AK687)))),IF(AND(ABS($AC687-significance_bar)&lt;=2.0*IF($V687,IF($AL687="","",$AL687),IF($AK687="","",$AK687)),OR($Y687="worse",$Y687="worse, not significant",AND(profit_kind="test",$Y687="in line",ISNUMBER($AB687),$AB687&lt;0))),IF(ROUND($AC687,3)=ROUND(significance_bar,3),TEXT($AC687,"0.0000"),TEXT($AC687,"0.000")),""),"")</f>
        <v/>
      </c>
      <c r="AO687">
        <f>IF(OR($AI687="",$AN687=""),$AI687,$AI687&amp;" · borderline (p "&amp;$AN687&amp;")")</f>
        <v/>
      </c>
    </row>
    <row r="688">
      <c r="A688" t="inlineStr">
        <is>
          <t>three-way</t>
        </is>
      </c>
      <c r="B688" t="inlineStr">
        <is>
          <t>FICO x ASSET_CLASS / SYS_FLAG</t>
        </is>
      </c>
      <c r="C688" t="inlineStr">
        <is>
          <t>746 - 921</t>
        </is>
      </c>
      <c r="D688" t="inlineStr">
        <is>
          <t>3 / SYS_FLAG N</t>
        </is>
      </c>
      <c r="E688" t="inlineStr">
        <is>
          <t>contribution_rate</t>
        </is>
      </c>
      <c r="F688" t="inlineStr">
        <is>
          <t>Contribution before losses per booked dollar</t>
        </is>
      </c>
      <c r="G688" t="n">
        <v>211</v>
      </c>
      <c r="H688" t="n">
        <v>6998495.059999997</v>
      </c>
      <c r="I688" t="b">
        <v>0</v>
      </c>
      <c r="J688" t="b">
        <v>0</v>
      </c>
      <c r="K688" t="n">
        <v>-0.1045831446458106</v>
      </c>
      <c r="L688" t="n">
        <v>0.0001814633351479667</v>
      </c>
      <c r="M688" t="n">
        <v>0.001966539670187992</v>
      </c>
      <c r="N688" t="n">
        <v>0.937752378608293</v>
      </c>
      <c r="O688" t="n">
        <v>731924.6211629706</v>
      </c>
      <c r="P688" t="n">
        <v>-13762.81816710468</v>
      </c>
      <c r="Q688">
        <f>'_live'!$C$24</f>
        <v/>
      </c>
      <c r="R688" t="inlineStr">
        <is>
          <t>shuffled: 0 of 10,000</t>
        </is>
      </c>
      <c r="S688" t="inlineStr">
        <is>
          <t>shuffled: 4,301 of 10,000</t>
        </is>
      </c>
      <c r="T688" t="n">
        <v>0.1724290566496408</v>
      </c>
      <c r="U688" t="n">
        <v>0.06587937233364222</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0.06784591200383021</v>
      </c>
      <c r="AI688">
        <f>IF($Y688="worse","Yes",IF($Y688="worse, not significant","Not sure",IF(OR($Y688="too few losses to test",$Y688="too few loans to test"),"Too few losses",IF($Y688="","","No"))))</f>
        <v/>
      </c>
      <c r="AJ688">
        <f>IF($AA688="yes","Yes",IF($AA688="","","No"))</f>
        <v/>
      </c>
      <c r="AK688" t="n">
        <v>0.0001814633351479667</v>
      </c>
      <c r="AL688" t="n">
        <v>0.009229602574987216</v>
      </c>
      <c r="AM688">
        <f>IF(AND(ISNUMBER($AC688),ISNUMBER(IF($V688,IF($AL688="","",$AL688),IF($AK688="","",$AK688)))),IF(AND(ABS($AC688-significance_bar)&lt;=2.0*IF($V688,IF($AL688="","",$AL688),IF($AK688="","",$AK688)),OR($Y688="worse",$Y688="better",$Y688="worse, not significant",$Y688="better, not significant",AND(profit_kind="test",$Y688="in line",ISNUMBER($AB688),$AB688&lt;&gt;0))),IF(ROUND($AC688,3)=ROUND(significance_bar,3),TEXT($AC688,"0.0000"),TEXT($AC688,"0.000")),""),"")</f>
        <v/>
      </c>
      <c r="AN688">
        <f>IF(AND(ISNUMBER($AC688),ISNUMBER(IF($V688,IF($AL688="","",$AL688),IF($AK688="","",$AK688)))),IF(AND(ABS($AC688-significance_bar)&lt;=2.0*IF($V688,IF($AL688="","",$AL688),IF($AK688="","",$AK688)),OR($Y688="worse",$Y688="worse, not significant",AND(profit_kind="test",$Y688="in line",ISNUMBER($AB688),$AB688&lt;0))),IF(ROUND($AC688,3)=ROUND(significance_bar,3),TEXT($AC688,"0.0000"),TEXT($AC688,"0.000")),""),"")</f>
        <v/>
      </c>
      <c r="AO688">
        <f>IF(OR($AI688="",$AN688=""),$AI688,$AI688&amp;" · borderline (p "&amp;$AN688&amp;")")</f>
        <v/>
      </c>
    </row>
    <row r="689">
      <c r="A689" t="inlineStr">
        <is>
          <t>three-way</t>
        </is>
      </c>
      <c r="B689" t="inlineStr">
        <is>
          <t>FICO x ASSET_CLASS / SYS_FLAG</t>
        </is>
      </c>
      <c r="C689" t="inlineStr">
        <is>
          <t>496 - 653</t>
        </is>
      </c>
      <c r="D689" t="inlineStr">
        <is>
          <t>3 / SYS_FLAG Y</t>
        </is>
      </c>
      <c r="E689" t="inlineStr">
        <is>
          <t>outcome_loans</t>
        </is>
      </c>
      <c r="F689" t="inlineStr">
        <is>
          <t>Outcome, share of loans</t>
        </is>
      </c>
      <c r="G689" t="n">
        <v>166</v>
      </c>
      <c r="H689" t="n">
        <v>166</v>
      </c>
      <c r="I689" t="b">
        <v>0</v>
      </c>
      <c r="J689" t="b">
        <v>0</v>
      </c>
      <c r="K689" t="n">
        <v>2.487736660929432</v>
      </c>
      <c r="L689" t="n">
        <v>8.563396010369054e-07</v>
      </c>
      <c r="M689" t="n">
        <v>1.277790966822957</v>
      </c>
      <c r="N689" t="n">
        <v>0.394164206818677</v>
      </c>
      <c r="O689" t="n">
        <v>18.53887399463807</v>
      </c>
      <c r="P689" t="n">
        <v>6.739380849532036</v>
      </c>
      <c r="Q689">
        <f>'_live'!$C$20</f>
        <v/>
      </c>
      <c r="R689" t="inlineStr">
        <is>
          <t>z test</t>
        </is>
      </c>
      <c r="S689" t="inlineStr">
        <is>
          <t>z test</t>
        </is>
      </c>
      <c r="T689" t="n">
        <v>0.07506702412868632</v>
      </c>
      <c r="U689" t="n">
        <v>0.1461483081353492</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0.1867469879518072</v>
      </c>
      <c r="AI689">
        <f>IF($Y689="worse","Yes",IF($Y689="worse, not significant","Not sure",IF(OR($Y689="too few losses to test",$Y689="too few loans to test"),"Too few losses",IF($Y689="","","No"))))</f>
        <v/>
      </c>
      <c r="AJ689">
        <f>IF($AA689="yes","Yes",IF($AA689="","","No"))</f>
        <v/>
      </c>
      <c r="AM689">
        <f>IF(AND(ISNUMBER($AC689),ISNUMBER(IF($V689,IF($AL689="","",$AL689),IF($AK689="","",$AK689)))),IF(AND(ABS($AC689-significance_bar)&lt;=2.0*IF($V689,IF($AL689="","",$AL689),IF($AK689="","",$AK689)),OR($Y689="worse",$Y689="better",$Y689="worse, not significant",$Y689="better, not significant")),IF(ROUND($AC689,3)=ROUND(significance_bar,3),TEXT($AC689,"0.0000"),TEXT($AC689,"0.000")),""),"")</f>
        <v/>
      </c>
      <c r="AN689">
        <f>IF(AND(ISNUMBER($AC689),ISNUMBER(IF($V689,IF($AL689="","",$AL689),IF($AK689="","",$AK689)))),IF(AND(ABS($AC689-significance_bar)&lt;=2.0*IF($V689,IF($AL689="","",$AL689),IF($AK689="","",$AK689)),OR($Y689="worse",$Y689="worse, not significant")),IF(ROUND($AC689,3)=ROUND(significance_bar,3),TEXT($AC689,"0.0000"),TEXT($AC689,"0.000")),""),"")</f>
        <v/>
      </c>
      <c r="AO689">
        <f>IF(OR($AI689="",$AN689=""),$AI689,$AI689&amp;" · borderline (p "&amp;$AN689&amp;")")</f>
        <v/>
      </c>
    </row>
    <row r="690">
      <c r="A690" t="inlineStr">
        <is>
          <t>three-way</t>
        </is>
      </c>
      <c r="B690" t="inlineStr">
        <is>
          <t>FICO x ASSET_CLASS / SYS_FLAG</t>
        </is>
      </c>
      <c r="C690" t="inlineStr">
        <is>
          <t>496 - 653</t>
        </is>
      </c>
      <c r="D690" t="inlineStr">
        <is>
          <t>3 / SYS_FLAG Y</t>
        </is>
      </c>
      <c r="E690" t="inlineStr">
        <is>
          <t>outcome_booked</t>
        </is>
      </c>
      <c r="F690" t="inlineStr">
        <is>
          <t>Outcome, share of booked dollars</t>
        </is>
      </c>
      <c r="G690" t="n">
        <v>166</v>
      </c>
      <c r="H690" t="n">
        <v>5398152.510000002</v>
      </c>
      <c r="I690" t="b">
        <v>0</v>
      </c>
      <c r="J690" t="b">
        <v>0</v>
      </c>
      <c r="K690" t="n">
        <v>2.478193167051229</v>
      </c>
      <c r="L690" t="n">
        <v>0.0017331600173316</v>
      </c>
      <c r="M690" t="n">
        <v>1.236215332643209</v>
      </c>
      <c r="N690" t="n">
        <v>0.5657034296570344</v>
      </c>
      <c r="O690" t="n">
        <v>579186.7640920214</v>
      </c>
      <c r="P690" t="n">
        <v>185539.5724994264</v>
      </c>
      <c r="Q690">
        <f>'_live'!$C$21</f>
        <v/>
      </c>
      <c r="R690" t="inlineStr">
        <is>
          <t>shuffled: 1 of 10,000</t>
        </is>
      </c>
      <c r="S690" t="inlineStr">
        <is>
          <t>shuffled: 2,987 of 10,000</t>
        </is>
      </c>
      <c r="T690" t="n">
        <v>0.07258423232432504</v>
      </c>
      <c r="U690" t="n">
        <v>0.1455068092362165</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0.1798777485818013</v>
      </c>
      <c r="AI690">
        <f>IF($Y690="worse","Yes",IF($Y690="worse, not significant","Not sure",IF(OR($Y690="too few losses to test",$Y690="too few loans to test"),"Too few losses",IF($Y690="","","No"))))</f>
        <v/>
      </c>
      <c r="AJ690">
        <f>IF($AA690="yes","Yes",IF($AA690="","","No"))</f>
        <v/>
      </c>
      <c r="AK690" t="n">
        <v>0.001225467923144524</v>
      </c>
      <c r="AL690" t="n">
        <v>0.00812731346189991</v>
      </c>
      <c r="AM690">
        <f>IF(AND(ISNUMBER($AC690),ISNUMBER(IF($V690,IF($AL690="","",$AL690),IF($AK690="","",$AK690)))),IF(AND(ABS($AC690-significance_bar)&lt;=2.0*IF($V690,IF($AL690="","",$AL690),IF($AK690="","",$AK690)),OR($Y690="worse",$Y690="better",$Y690="worse, not significant",$Y690="better, not significant")),IF(ROUND($AC690,3)=ROUND(significance_bar,3),TEXT($AC690,"0.0000"),TEXT($AC690,"0.000")),""),"")</f>
        <v/>
      </c>
      <c r="AN690">
        <f>IF(AND(ISNUMBER($AC690),ISNUMBER(IF($V690,IF($AL690="","",$AL690),IF($AK690="","",$AK690)))),IF(AND(ABS($AC690-significance_bar)&lt;=2.0*IF($V690,IF($AL690="","",$AL690),IF($AK690="","",$AK690)),OR($Y690="worse",$Y690="worse, not significant")),IF(ROUND($AC690,3)=ROUND(significance_bar,3),TEXT($AC690,"0.0000"),TEXT($AC690,"0.000")),""),"")</f>
        <v/>
      </c>
      <c r="AO690">
        <f>IF(OR($AI690="",$AN690=""),$AI690,$AI690&amp;" · borderline (p "&amp;$AN690&amp;")")</f>
        <v/>
      </c>
    </row>
    <row r="691">
      <c r="A691" t="inlineStr">
        <is>
          <t>three-way</t>
        </is>
      </c>
      <c r="B691" t="inlineStr">
        <is>
          <t>FICO x ASSET_CLASS / SYS_FLAG</t>
        </is>
      </c>
      <c r="C691" t="inlineStr">
        <is>
          <t>496 - 653</t>
        </is>
      </c>
      <c r="D691" t="inlineStr">
        <is>
          <t>3 / SYS_FLAG Y</t>
        </is>
      </c>
      <c r="E691" t="inlineStr">
        <is>
          <t>gco_rate</t>
        </is>
      </c>
      <c r="F691" t="inlineStr">
        <is>
          <t>GCO per booked dollar</t>
        </is>
      </c>
      <c r="G691" t="n">
        <v>166</v>
      </c>
      <c r="H691" t="n">
        <v>5398152.510000002</v>
      </c>
      <c r="I691" t="b">
        <v>0</v>
      </c>
      <c r="J691" t="b">
        <v>0</v>
      </c>
      <c r="K691" t="n">
        <v>2.55988296400229</v>
      </c>
      <c r="L691" t="n">
        <v>0.0006499350064993501</v>
      </c>
      <c r="M691" t="n">
        <v>1.271603510104168</v>
      </c>
      <c r="N691" t="n">
        <v>0.5435623104356231</v>
      </c>
      <c r="O691" t="n">
        <v>339265.0175723843</v>
      </c>
      <c r="P691" t="n">
        <v>118918.8870872047</v>
      </c>
      <c r="Q691">
        <f>'_live'!$C$22</f>
        <v/>
      </c>
      <c r="R691" t="inlineStr">
        <is>
          <t>shuffled: 0 of 10,000</t>
        </is>
      </c>
      <c r="S691" t="inlineStr">
        <is>
          <t>shuffled: 2,508 of 10,000</t>
        </is>
      </c>
      <c r="T691" t="n">
        <v>0.04029043122155427</v>
      </c>
      <c r="U691" t="n">
        <v>0.08110923544707244</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0.1031387884963628</v>
      </c>
      <c r="AI691">
        <f>IF($Y691="worse","Yes",IF($Y691="worse, not significant","Not sure",IF(OR($Y691="too few losses to test",$Y691="too few loans to test"),"Too few losses",IF($Y691="","","No"))))</f>
        <v/>
      </c>
      <c r="AJ691">
        <f>IF($AA691="yes","Yes",IF($AA691="","","No"))</f>
        <v/>
      </c>
      <c r="AK691" t="n">
        <v>0.0006499350064993501</v>
      </c>
      <c r="AL691" t="n">
        <v>0.009392860873828969</v>
      </c>
      <c r="AM691">
        <f>IF(AND(ISNUMBER($AC691),ISNUMBER(IF($V691,IF($AL691="","",$AL691),IF($AK691="","",$AK691)))),IF(AND(ABS($AC691-significance_bar)&lt;=2.0*IF($V691,IF($AL691="","",$AL691),IF($AK691="","",$AK691)),OR($Y691="worse",$Y691="better",$Y691="worse, not significant",$Y691="better, not significant")),IF(ROUND($AC691,3)=ROUND(significance_bar,3),TEXT($AC691,"0.0000"),TEXT($AC691,"0.000")),""),"")</f>
        <v/>
      </c>
      <c r="AN691">
        <f>IF(AND(ISNUMBER($AC691),ISNUMBER(IF($V691,IF($AL691="","",$AL691),IF($AK691="","",$AK691)))),IF(AND(ABS($AC691-significance_bar)&lt;=2.0*IF($V691,IF($AL691="","",$AL691),IF($AK691="","",$AK691)),OR($Y691="worse",$Y691="worse, not significant")),IF(ROUND($AC691,3)=ROUND(significance_bar,3),TEXT($AC691,"0.0000"),TEXT($AC691,"0.000")),""),"")</f>
        <v/>
      </c>
      <c r="AO691">
        <f>IF(OR($AI691="",$AN691=""),$AI691,$AI691&amp;" · borderline (p "&amp;$AN691&amp;")")</f>
        <v/>
      </c>
    </row>
    <row r="692">
      <c r="A692" t="inlineStr">
        <is>
          <t>three-way</t>
        </is>
      </c>
      <c r="B692" t="inlineStr">
        <is>
          <t>FICO x ASSET_CLASS / SYS_FLAG</t>
        </is>
      </c>
      <c r="C692" t="inlineStr">
        <is>
          <t>496 - 653</t>
        </is>
      </c>
      <c r="D692" t="inlineStr">
        <is>
          <t>3 / SYS_FLAG Y</t>
        </is>
      </c>
      <c r="E692" t="inlineStr">
        <is>
          <t>ranr_rate</t>
        </is>
      </c>
      <c r="F692" t="inlineStr">
        <is>
          <t>Profit after losses: RANR per booked dollar</t>
        </is>
      </c>
      <c r="G692" t="n">
        <v>166</v>
      </c>
      <c r="H692" t="n">
        <v>5398152.510000002</v>
      </c>
      <c r="I692" t="b">
        <v>0</v>
      </c>
      <c r="J692" t="b">
        <v>0</v>
      </c>
      <c r="K692" t="n">
        <v>0.0495684385293991</v>
      </c>
      <c r="L692" t="n">
        <v>0.005157378998942211</v>
      </c>
      <c r="M692" t="n">
        <v>-0.01527492552678061</v>
      </c>
      <c r="N692" t="n">
        <v>0.8613424371848529</v>
      </c>
      <c r="O692" t="n">
        <v>-267577.9908642565</v>
      </c>
      <c r="P692" t="n">
        <v>82456.37757245393</v>
      </c>
      <c r="Q692">
        <f>'_live'!$C$23</f>
        <v/>
      </c>
      <c r="R692" t="inlineStr">
        <is>
          <t>shuffled: 19 of 10,000</t>
        </is>
      </c>
      <c r="S692" t="inlineStr">
        <is>
          <t>shuffled: 5,024 of 10,000</t>
        </is>
      </c>
      <c r="T692" t="n">
        <v>0.1269532007230643</v>
      </c>
      <c r="U692" t="n">
        <v>0.191796564779244</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0.1765216392524634</v>
      </c>
      <c r="AI692">
        <f>IF($Y692="worse","Yes",IF($Y692="worse, not significant","Not sure",IF(OR($Y692="too few losses to test",$Y692="too few loans to test"),"Too few losses",IF($Y692="","","No"))))</f>
        <v/>
      </c>
      <c r="AJ692">
        <f>IF($AA692="yes","Yes",IF($AA692="","","No"))</f>
        <v/>
      </c>
      <c r="AK692" t="n">
        <v>0.001152128918096117</v>
      </c>
      <c r="AL692" t="n">
        <v>0.008571325691388066</v>
      </c>
      <c r="AM692">
        <f>IF(AND(ISNUMBER($AC692),ISNUMBER(IF($V692,IF($AL692="","",$AL692),IF($AK692="","",$AK692)))),IF(AND(ABS($AC692-significance_bar)&lt;=2.0*IF($V692,IF($AL692="","",$AL692),IF($AK692="","",$AK692)),OR($Y692="worse",$Y692="better",$Y692="worse, not significant",$Y692="better, not significant",AND(profit_kind="test",$Y692="in line",ISNUMBER($AB692),$AB692&lt;&gt;0))),IF(ROUND($AC692,3)=ROUND(significance_bar,3),TEXT($AC692,"0.0000"),TEXT($AC692,"0.000")),""),"")</f>
        <v/>
      </c>
      <c r="AN692">
        <f>IF(AND(ISNUMBER($AC692),ISNUMBER(IF($V692,IF($AL692="","",$AL692),IF($AK692="","",$AK692)))),IF(AND(ABS($AC692-significance_bar)&lt;=2.0*IF($V692,IF($AL692="","",$AL692),IF($AK692="","",$AK692)),OR($Y692="worse",$Y692="worse, not significant",AND(profit_kind="test",$Y692="in line",ISNUMBER($AB692),$AB692&lt;0))),IF(ROUND($AC692,3)=ROUND(significance_bar,3),TEXT($AC692,"0.0000"),TEXT($AC692,"0.000")),""),"")</f>
        <v/>
      </c>
      <c r="AO692">
        <f>IF(OR($AI692="",$AN692=""),$AI692,$AI692&amp;" · borderline (p "&amp;$AN692&amp;")")</f>
        <v/>
      </c>
    </row>
    <row r="693">
      <c r="A693" t="inlineStr">
        <is>
          <t>three-way</t>
        </is>
      </c>
      <c r="B693" t="inlineStr">
        <is>
          <t>FICO x ASSET_CLASS / SYS_FLAG</t>
        </is>
      </c>
      <c r="C693" t="inlineStr">
        <is>
          <t>496 - 653</t>
        </is>
      </c>
      <c r="D693" t="inlineStr">
        <is>
          <t>3 / SYS_FLAG Y</t>
        </is>
      </c>
      <c r="E693" t="inlineStr">
        <is>
          <t>contribution_rate</t>
        </is>
      </c>
      <c r="F693" t="inlineStr">
        <is>
          <t>Contribution before losses per booked dollar</t>
        </is>
      </c>
      <c r="G693" t="n">
        <v>166</v>
      </c>
      <c r="H693" t="n">
        <v>5398152.510000002</v>
      </c>
      <c r="I693" t="b">
        <v>0</v>
      </c>
      <c r="J693" t="b">
        <v>0</v>
      </c>
      <c r="K693" t="n">
        <v>0.1124198790196402</v>
      </c>
      <c r="L693" t="n">
        <v>0.0001814633351479667</v>
      </c>
      <c r="M693" t="n">
        <v>0.006754627522509771</v>
      </c>
      <c r="N693" t="n">
        <v>0.9799190293736585</v>
      </c>
      <c r="O693" t="n">
        <v>-606859.6521037674</v>
      </c>
      <c r="P693" t="n">
        <v>-36462.50951475115</v>
      </c>
      <c r="Q693">
        <f>'_live'!$C$24</f>
        <v/>
      </c>
      <c r="R693" t="inlineStr">
        <is>
          <t>shuffled: 0 of 10,000</t>
        </is>
      </c>
      <c r="S693" t="inlineStr">
        <is>
          <t>shuffled: 6,092 of 10,000</t>
        </is>
      </c>
      <c r="T693" t="n">
        <v>0.167240548729186</v>
      </c>
      <c r="U693" t="n">
        <v>0.2729058002263164</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0.2796604277488262</v>
      </c>
      <c r="AI693">
        <f>IF($Y693="worse","Yes",IF($Y693="worse, not significant","Not sure",IF(OR($Y693="too few losses to test",$Y693="too few loans to test"),"Too few losses",IF($Y693="","","No"))))</f>
        <v/>
      </c>
      <c r="AJ693">
        <f>IF($AA693="yes","Yes",IF($AA693="","","No"))</f>
        <v/>
      </c>
      <c r="AK693" t="n">
        <v>0.0001814633351479667</v>
      </c>
      <c r="AL693" t="n">
        <v>0.002013133534953629</v>
      </c>
      <c r="AM693">
        <f>IF(AND(ISNUMBER($AC693),ISNUMBER(IF($V693,IF($AL693="","",$AL693),IF($AK693="","",$AK693)))),IF(AND(ABS($AC693-significance_bar)&lt;=2.0*IF($V693,IF($AL693="","",$AL693),IF($AK693="","",$AK693)),OR($Y693="worse",$Y693="better",$Y693="worse, not significant",$Y693="better, not significant",AND(profit_kind="test",$Y693="in line",ISNUMBER($AB693),$AB693&lt;&gt;0))),IF(ROUND($AC693,3)=ROUND(significance_bar,3),TEXT($AC693,"0.0000"),TEXT($AC693,"0.000")),""),"")</f>
        <v/>
      </c>
      <c r="AN693">
        <f>IF(AND(ISNUMBER($AC693),ISNUMBER(IF($V693,IF($AL693="","",$AL693),IF($AK693="","",$AK693)))),IF(AND(ABS($AC693-significance_bar)&lt;=2.0*IF($V693,IF($AL693="","",$AL693),IF($AK693="","",$AK693)),OR($Y693="worse",$Y693="worse, not significant",AND(profit_kind="test",$Y693="in line",ISNUMBER($AB693),$AB693&lt;0))),IF(ROUND($AC693,3)=ROUND(significance_bar,3),TEXT($AC693,"0.0000"),TEXT($AC693,"0.000")),""),"")</f>
        <v/>
      </c>
      <c r="AO693">
        <f>IF(OR($AI693="",$AN693=""),$AI693,$AI693&amp;" · borderline (p "&amp;$AN693&amp;")")</f>
        <v/>
      </c>
    </row>
    <row r="694">
      <c r="A694" t="inlineStr">
        <is>
          <t>three-way</t>
        </is>
      </c>
      <c r="B694" t="inlineStr">
        <is>
          <t>FICO x ASSET_CLASS / SYS_FLAG</t>
        </is>
      </c>
      <c r="C694" t="inlineStr">
        <is>
          <t>686 - 711</t>
        </is>
      </c>
      <c r="D694" t="inlineStr">
        <is>
          <t>4 / SYS_FLAG N</t>
        </is>
      </c>
      <c r="E694" t="inlineStr">
        <is>
          <t>outcome_loans</t>
        </is>
      </c>
      <c r="F694" t="inlineStr">
        <is>
          <t>Outcome, share of loans</t>
        </is>
      </c>
      <c r="G694" t="n">
        <v>235</v>
      </c>
      <c r="H694" t="n">
        <v>235</v>
      </c>
      <c r="I694" t="b">
        <v>0</v>
      </c>
      <c r="J694" t="b">
        <v>0</v>
      </c>
      <c r="K694" t="n">
        <v>0.9894997698870677</v>
      </c>
      <c r="L694" t="n">
        <v>0.9633565709174763</v>
      </c>
      <c r="M694" t="n">
        <v>1.303109656301146</v>
      </c>
      <c r="N694" t="n">
        <v>0.5470425365470847</v>
      </c>
      <c r="O694" t="n">
        <v>-0.1910097887686746</v>
      </c>
      <c r="P694" t="n">
        <v>4.186887716654107</v>
      </c>
      <c r="Q694">
        <f>'_live'!$C$20</f>
        <v/>
      </c>
      <c r="R694" t="inlineStr">
        <is>
          <t>z test</t>
        </is>
      </c>
      <c r="S694" t="inlineStr">
        <is>
          <t>z test</t>
        </is>
      </c>
      <c r="T694" t="n">
        <v>0.07740855229263266</v>
      </c>
      <c r="U694" t="n">
        <v>0.0587792012057272</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0.07659574468085106</v>
      </c>
      <c r="AI694">
        <f>IF($Y694="worse","Yes",IF($Y694="worse, not significant","Not sure",IF(OR($Y694="too few losses to test",$Y694="too few loans to test"),"Too few losses",IF($Y694="","","No"))))</f>
        <v/>
      </c>
      <c r="AJ694">
        <f>IF($AA694="yes","Yes",IF($AA694="","","No"))</f>
        <v/>
      </c>
      <c r="AM694">
        <f>IF(AND(ISNUMBER($AC694),ISNUMBER(IF($V694,IF($AL694="","",$AL694),IF($AK694="","",$AK694)))),IF(AND(ABS($AC694-significance_bar)&lt;=2.0*IF($V694,IF($AL694="","",$AL694),IF($AK694="","",$AK694)),OR($Y694="worse",$Y694="better",$Y694="worse, not significant",$Y694="better, not significant")),IF(ROUND($AC694,3)=ROUND(significance_bar,3),TEXT($AC694,"0.0000"),TEXT($AC694,"0.000")),""),"")</f>
        <v/>
      </c>
      <c r="AN694">
        <f>IF(AND(ISNUMBER($AC694),ISNUMBER(IF($V694,IF($AL694="","",$AL694),IF($AK694="","",$AK694)))),IF(AND(ABS($AC694-significance_bar)&lt;=2.0*IF($V694,IF($AL694="","",$AL694),IF($AK694="","",$AK694)),OR($Y694="worse",$Y694="worse, not significant")),IF(ROUND($AC694,3)=ROUND(significance_bar,3),TEXT($AC694,"0.0000"),TEXT($AC694,"0.000")),""),"")</f>
        <v/>
      </c>
      <c r="AO694">
        <f>IF(OR($AI694="",$AN694=""),$AI694,$AI694&amp;" · borderline (p "&amp;$AN694&amp;")")</f>
        <v/>
      </c>
    </row>
    <row r="695">
      <c r="A695" t="inlineStr">
        <is>
          <t>three-way</t>
        </is>
      </c>
      <c r="B695" t="inlineStr">
        <is>
          <t>FICO x ASSET_CLASS / SYS_FLAG</t>
        </is>
      </c>
      <c r="C695" t="inlineStr">
        <is>
          <t>686 - 711</t>
        </is>
      </c>
      <c r="D695" t="inlineStr">
        <is>
          <t>4 / SYS_FLAG N</t>
        </is>
      </c>
      <c r="E695" t="inlineStr">
        <is>
          <t>outcome_booked</t>
        </is>
      </c>
      <c r="F695" t="inlineStr">
        <is>
          <t>Outcome, share of booked dollars</t>
        </is>
      </c>
      <c r="G695" t="n">
        <v>235</v>
      </c>
      <c r="H695" t="n">
        <v>7510224.44</v>
      </c>
      <c r="I695" t="b">
        <v>0</v>
      </c>
      <c r="J695" t="b">
        <v>0</v>
      </c>
      <c r="K695" t="n">
        <v>0.7529165971835473</v>
      </c>
      <c r="L695" t="n">
        <v>0.4745969847459698</v>
      </c>
      <c r="M695" t="n">
        <v>0.9976451176835937</v>
      </c>
      <c r="N695" t="n">
        <v>0.9947005299470053</v>
      </c>
      <c r="O695" t="n">
        <v>-139862.1542028822</v>
      </c>
      <c r="P695" t="n">
        <v>-1005.996887430374</v>
      </c>
      <c r="Q695">
        <f>'_live'!$C$21</f>
        <v/>
      </c>
      <c r="R695" t="inlineStr">
        <is>
          <t>shuffled: 3,285 of 10,000</t>
        </is>
      </c>
      <c r="S695" t="inlineStr">
        <is>
          <t>shuffled: 9,947 of 10,000</t>
        </is>
      </c>
      <c r="T695" t="n">
        <v>0.07537090385582168</v>
      </c>
      <c r="U695" t="n">
        <v>0.05688195476717742</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0.05674800445777357</v>
      </c>
      <c r="AI695">
        <f>IF($Y695="worse","Yes",IF($Y695="worse, not significant","Not sure",IF(OR($Y695="too few losses to test",$Y695="too few loans to test"),"Too few losses",IF($Y695="","","No"))))</f>
        <v/>
      </c>
      <c r="AJ695">
        <f>IF($AA695="yes","Yes",IF($AA695="","","No"))</f>
        <v/>
      </c>
      <c r="AK695" t="n">
        <v>0.006784443087213825</v>
      </c>
      <c r="AL695" t="n">
        <v>0.0007260430889521713</v>
      </c>
      <c r="AM695">
        <f>IF(AND(ISNUMBER($AC695),ISNUMBER(IF($V695,IF($AL695="","",$AL695),IF($AK695="","",$AK695)))),IF(AND(ABS($AC695-significance_bar)&lt;=2.0*IF($V695,IF($AL695="","",$AL695),IF($AK695="","",$AK695)),OR($Y695="worse",$Y695="better",$Y695="worse, not significant",$Y695="better, not significant")),IF(ROUND($AC695,3)=ROUND(significance_bar,3),TEXT($AC695,"0.0000"),TEXT($AC695,"0.000")),""),"")</f>
        <v/>
      </c>
      <c r="AN695">
        <f>IF(AND(ISNUMBER($AC695),ISNUMBER(IF($V695,IF($AL695="","",$AL695),IF($AK695="","",$AK695)))),IF(AND(ABS($AC695-significance_bar)&lt;=2.0*IF($V695,IF($AL695="","",$AL695),IF($AK695="","",$AK695)),OR($Y695="worse",$Y695="worse, not significant")),IF(ROUND($AC695,3)=ROUND(significance_bar,3),TEXT($AC695,"0.0000"),TEXT($AC695,"0.000")),""),"")</f>
        <v/>
      </c>
      <c r="AO695">
        <f>IF(OR($AI695="",$AN695=""),$AI695,$AI695&amp;" · borderline (p "&amp;$AN695&amp;")")</f>
        <v/>
      </c>
    </row>
    <row r="696">
      <c r="A696" t="inlineStr">
        <is>
          <t>three-way</t>
        </is>
      </c>
      <c r="B696" t="inlineStr">
        <is>
          <t>FICO x ASSET_CLASS / SYS_FLAG</t>
        </is>
      </c>
      <c r="C696" t="inlineStr">
        <is>
          <t>686 - 711</t>
        </is>
      </c>
      <c r="D696" t="inlineStr">
        <is>
          <t>4 / SYS_FLAG N</t>
        </is>
      </c>
      <c r="E696" t="inlineStr">
        <is>
          <t>gco_rate</t>
        </is>
      </c>
      <c r="F696" t="inlineStr">
        <is>
          <t>GCO per booked dollar</t>
        </is>
      </c>
      <c r="G696" t="n">
        <v>235</v>
      </c>
      <c r="H696" t="n">
        <v>7510224.44</v>
      </c>
      <c r="I696" t="b">
        <v>0</v>
      </c>
      <c r="J696" t="b">
        <v>0</v>
      </c>
      <c r="K696" t="n">
        <v>0.7600621709835806</v>
      </c>
      <c r="L696" t="n">
        <v>0.5079071040264393</v>
      </c>
      <c r="M696" t="n">
        <v>1.012300197648462</v>
      </c>
      <c r="N696" t="n">
        <v>0.9754024597540246</v>
      </c>
      <c r="O696" t="n">
        <v>-75499.40780325813</v>
      </c>
      <c r="P696" t="n">
        <v>2906.007336585404</v>
      </c>
      <c r="Q696">
        <f>'_live'!$C$22</f>
        <v/>
      </c>
      <c r="R696" t="inlineStr">
        <is>
          <t>shuffled: 3,627 of 10,000</t>
        </is>
      </c>
      <c r="S696" t="inlineStr">
        <is>
          <t>shuffled: 9,683 of 10,000</t>
        </is>
      </c>
      <c r="T696" t="n">
        <v>0.04189786607805533</v>
      </c>
      <c r="U696" t="n">
        <v>0.03145804290549466</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0.03184498305086605</v>
      </c>
      <c r="AI696">
        <f>IF($Y696="worse","Yes",IF($Y696="worse, not significant","Not sure",IF(OR($Y696="too few losses to test",$Y696="too few loans to test"),"Too few losses",IF($Y696="","","No"))))</f>
        <v/>
      </c>
      <c r="AJ696">
        <f>IF($AA696="yes","Yes",IF($AA696="","","No"))</f>
        <v/>
      </c>
      <c r="AK696" t="n">
        <v>0.006611060033083899</v>
      </c>
      <c r="AL696" t="n">
        <v>0.001548951298776788</v>
      </c>
      <c r="AM696">
        <f>IF(AND(ISNUMBER($AC696),ISNUMBER(IF($V696,IF($AL696="","",$AL696),IF($AK696="","",$AK696)))),IF(AND(ABS($AC696-significance_bar)&lt;=2.0*IF($V696,IF($AL696="","",$AL696),IF($AK696="","",$AK696)),OR($Y696="worse",$Y696="better",$Y696="worse, not significant",$Y696="better, not significant")),IF(ROUND($AC696,3)=ROUND(significance_bar,3),TEXT($AC696,"0.0000"),TEXT($AC696,"0.000")),""),"")</f>
        <v/>
      </c>
      <c r="AN696">
        <f>IF(AND(ISNUMBER($AC696),ISNUMBER(IF($V696,IF($AL696="","",$AL696),IF($AK696="","",$AK696)))),IF(AND(ABS($AC696-significance_bar)&lt;=2.0*IF($V696,IF($AL696="","",$AL696),IF($AK696="","",$AK696)),OR($Y696="worse",$Y696="worse, not significant")),IF(ROUND($AC696,3)=ROUND(significance_bar,3),TEXT($AC696,"0.0000"),TEXT($AC696,"0.000")),""),"")</f>
        <v/>
      </c>
      <c r="AO696">
        <f>IF(OR($AI696="",$AN696=""),$AI696,$AI696&amp;" · borderline (p "&amp;$AN696&amp;")")</f>
        <v/>
      </c>
    </row>
    <row r="697">
      <c r="A697" t="inlineStr">
        <is>
          <t>three-way</t>
        </is>
      </c>
      <c r="B697" t="inlineStr">
        <is>
          <t>FICO x ASSET_CLASS / SYS_FLAG</t>
        </is>
      </c>
      <c r="C697" t="inlineStr">
        <is>
          <t>686 - 711</t>
        </is>
      </c>
      <c r="D697" t="inlineStr">
        <is>
          <t>4 / SYS_FLAG N</t>
        </is>
      </c>
      <c r="E697" t="inlineStr">
        <is>
          <t>ranr_rate</t>
        </is>
      </c>
      <c r="F697" t="inlineStr">
        <is>
          <t>Profit after losses: RANR per booked dollar</t>
        </is>
      </c>
      <c r="G697" t="n">
        <v>235</v>
      </c>
      <c r="H697" t="n">
        <v>7510224.44</v>
      </c>
      <c r="I697" t="b">
        <v>0</v>
      </c>
      <c r="J697" t="b">
        <v>0</v>
      </c>
      <c r="K697" t="n">
        <v>0.02814039732451851</v>
      </c>
      <c r="L697" t="n">
        <v>0.06999300069993002</v>
      </c>
      <c r="M697" t="n">
        <v>0.01570518998476877</v>
      </c>
      <c r="N697" t="n">
        <v>0.5190338109046239</v>
      </c>
      <c r="O697" t="n">
        <v>-211340.6997379094</v>
      </c>
      <c r="P697" t="n">
        <v>-117949.5016584536</v>
      </c>
      <c r="Q697">
        <f>'_live'!$C$23</f>
        <v/>
      </c>
      <c r="R697" t="inlineStr">
        <is>
          <t>shuffled: 385 of 10,000</t>
        </is>
      </c>
      <c r="S697" t="inlineStr">
        <is>
          <t>shuffled: 2,180 of 10,000</t>
        </is>
      </c>
      <c r="T697" t="n">
        <v>0.1271711169076714</v>
      </c>
      <c r="U697" t="n">
        <v>0.1396063242474211</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0.1553115142321899</v>
      </c>
      <c r="AI697">
        <f>IF($Y697="worse","Yes",IF($Y697="worse, not significant","Not sure",IF(OR($Y697="too few losses to test",$Y697="too few loans to test"),"Too few losses",IF($Y697="","","No"))))</f>
        <v/>
      </c>
      <c r="AJ697">
        <f>IF($AA697="yes","Yes",IF($AA697="","","No"))</f>
        <v/>
      </c>
      <c r="AK697" t="n">
        <v>0.003429121331739329</v>
      </c>
      <c r="AL697" t="n">
        <v>0.009575838863991234</v>
      </c>
      <c r="AM697">
        <f>IF(AND(ISNUMBER($AC697),ISNUMBER(IF($V697,IF($AL697="","",$AL697),IF($AK697="","",$AK697)))),IF(AND(ABS($AC697-significance_bar)&lt;=2.0*IF($V697,IF($AL697="","",$AL697),IF($AK697="","",$AK697)),OR($Y697="worse",$Y697="better",$Y697="worse, not significant",$Y697="better, not significant",AND(profit_kind="test",$Y697="in line",ISNUMBER($AB697),$AB697&lt;&gt;0))),IF(ROUND($AC697,3)=ROUND(significance_bar,3),TEXT($AC697,"0.0000"),TEXT($AC697,"0.000")),""),"")</f>
        <v/>
      </c>
      <c r="AN697">
        <f>IF(AND(ISNUMBER($AC697),ISNUMBER(IF($V697,IF($AL697="","",$AL697),IF($AK697="","",$AK697)))),IF(AND(ABS($AC697-significance_bar)&lt;=2.0*IF($V697,IF($AL697="","",$AL697),IF($AK697="","",$AK697)),OR($Y697="worse",$Y697="worse, not significant",AND(profit_kind="test",$Y697="in line",ISNUMBER($AB697),$AB697&lt;0))),IF(ROUND($AC697,3)=ROUND(significance_bar,3),TEXT($AC697,"0.0000"),TEXT($AC697,"0.000")),""),"")</f>
        <v/>
      </c>
      <c r="AO697">
        <f>IF(OR($AI697="",$AN697=""),$AI697,$AI697&amp;" · borderline (p "&amp;$AN697&amp;")")</f>
        <v/>
      </c>
    </row>
    <row r="698">
      <c r="A698" t="inlineStr">
        <is>
          <t>three-way</t>
        </is>
      </c>
      <c r="B698" t="inlineStr">
        <is>
          <t>FICO x ASSET_CLASS / SYS_FLAG</t>
        </is>
      </c>
      <c r="C698" t="inlineStr">
        <is>
          <t>686 - 711</t>
        </is>
      </c>
      <c r="D698" t="inlineStr">
        <is>
          <t>4 / SYS_FLAG N</t>
        </is>
      </c>
      <c r="E698" t="inlineStr">
        <is>
          <t>contribution_rate</t>
        </is>
      </c>
      <c r="F698" t="inlineStr">
        <is>
          <t>Contribution before losses per booked dollar</t>
        </is>
      </c>
      <c r="G698" t="n">
        <v>235</v>
      </c>
      <c r="H698" t="n">
        <v>7510224.44</v>
      </c>
      <c r="I698" t="b">
        <v>0</v>
      </c>
      <c r="J698" t="b">
        <v>0</v>
      </c>
      <c r="K698" t="n">
        <v>0.01809058898681845</v>
      </c>
      <c r="L698" t="n">
        <v>0.06441414682061206</v>
      </c>
      <c r="M698" t="n">
        <v>0.01609213013014005</v>
      </c>
      <c r="N698" t="n">
        <v>0.3827617238276173</v>
      </c>
      <c r="O698" t="n">
        <v>-135864.3835427987</v>
      </c>
      <c r="P698" t="n">
        <v>-120855.5089950382</v>
      </c>
      <c r="Q698">
        <f>'_live'!$C$24</f>
        <v/>
      </c>
      <c r="R698" t="inlineStr">
        <is>
          <t>shuffled: 446 of 10,000</t>
        </is>
      </c>
      <c r="S698" t="inlineStr">
        <is>
          <t>shuffled: 249 of 10,000</t>
        </is>
      </c>
      <c r="T698" t="n">
        <v>0.1690659082962374</v>
      </c>
      <c r="U698" t="n">
        <v>0.1710643671529158</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0.1871564972830558</v>
      </c>
      <c r="AI698">
        <f>IF($Y698="worse","Yes",IF($Y698="worse, not significant","Not sure",IF(OR($Y698="too few losses to test",$Y698="too few loans to test"),"Too few losses",IF($Y698="","","No"))))</f>
        <v/>
      </c>
      <c r="AJ698">
        <f>IF($AA698="yes","Yes",IF($AA698="","","No"))</f>
        <v/>
      </c>
      <c r="AK698" t="n">
        <v>0.002977968610651474</v>
      </c>
      <c r="AL698" t="n">
        <v>0.02108704376792517</v>
      </c>
      <c r="AM698">
        <f>IF(AND(ISNUMBER($AC698),ISNUMBER(IF($V698,IF($AL698="","",$AL698),IF($AK698="","",$AK698)))),IF(AND(ABS($AC698-significance_bar)&lt;=2.0*IF($V698,IF($AL698="","",$AL698),IF($AK698="","",$AK698)),OR($Y698="worse",$Y698="better",$Y698="worse, not significant",$Y698="better, not significant",AND(profit_kind="test",$Y698="in line",ISNUMBER($AB698),$AB698&lt;&gt;0))),IF(ROUND($AC698,3)=ROUND(significance_bar,3),TEXT($AC698,"0.0000"),TEXT($AC698,"0.000")),""),"")</f>
        <v/>
      </c>
      <c r="AN698">
        <f>IF(AND(ISNUMBER($AC698),ISNUMBER(IF($V698,IF($AL698="","",$AL698),IF($AK698="","",$AK698)))),IF(AND(ABS($AC698-significance_bar)&lt;=2.0*IF($V698,IF($AL698="","",$AL698),IF($AK698="","",$AK698)),OR($Y698="worse",$Y698="worse, not significant",AND(profit_kind="test",$Y698="in line",ISNUMBER($AB698),$AB698&lt;0))),IF(ROUND($AC698,3)=ROUND(significance_bar,3),TEXT($AC698,"0.0000"),TEXT($AC698,"0.000")),""),"")</f>
        <v/>
      </c>
      <c r="AO698">
        <f>IF(OR($AI698="",$AN698=""),$AI698,$AI698&amp;" · borderline (p "&amp;$AN698&amp;")")</f>
        <v/>
      </c>
    </row>
    <row r="699">
      <c r="A699" t="inlineStr">
        <is>
          <t>three-way</t>
        </is>
      </c>
      <c r="B699" t="inlineStr">
        <is>
          <t>FICO x ASSET_CLASS / SYS_FLAG</t>
        </is>
      </c>
      <c r="C699" t="inlineStr">
        <is>
          <t>654 - 685</t>
        </is>
      </c>
      <c r="D699" t="inlineStr">
        <is>
          <t>4 / SYS_FLAG N</t>
        </is>
      </c>
      <c r="E699" t="inlineStr">
        <is>
          <t>outcome_loans</t>
        </is>
      </c>
      <c r="F699" t="inlineStr">
        <is>
          <t>Outcome, share of loans</t>
        </is>
      </c>
      <c r="G699" t="n">
        <v>219</v>
      </c>
      <c r="H699" t="n">
        <v>219</v>
      </c>
      <c r="I699" t="b">
        <v>0</v>
      </c>
      <c r="J699" t="b">
        <v>0</v>
      </c>
      <c r="K699" t="n">
        <v>1.186147384148619</v>
      </c>
      <c r="L699" t="n">
        <v>0.563854801876237</v>
      </c>
      <c r="M699" t="n">
        <v>1.095890410958904</v>
      </c>
      <c r="N699" t="n">
        <v>0.7481717174350578</v>
      </c>
      <c r="O699" t="n">
        <v>3.138688946015424</v>
      </c>
      <c r="P699" t="n">
        <v>1.75</v>
      </c>
      <c r="Q699">
        <f>'_live'!$C$20</f>
        <v/>
      </c>
      <c r="R699" t="inlineStr">
        <is>
          <t>z test</t>
        </is>
      </c>
      <c r="S699" t="inlineStr">
        <is>
          <t>z test</t>
        </is>
      </c>
      <c r="T699" t="n">
        <v>0.0769922879177378</v>
      </c>
      <c r="U699" t="n">
        <v>0.08333333333333333</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0.091324200913242</v>
      </c>
      <c r="AI699">
        <f>IF($Y699="worse","Yes",IF($Y699="worse, not significant","Not sure",IF(OR($Y699="too few losses to test",$Y699="too few loans to test"),"Too few losses",IF($Y699="","","No"))))</f>
        <v/>
      </c>
      <c r="AJ699">
        <f>IF($AA699="yes","Yes",IF($AA699="","","No"))</f>
        <v/>
      </c>
      <c r="AM699">
        <f>IF(AND(ISNUMBER($AC699),ISNUMBER(IF($V699,IF($AL699="","",$AL699),IF($AK699="","",$AK699)))),IF(AND(ABS($AC699-significance_bar)&lt;=2.0*IF($V699,IF($AL699="","",$AL699),IF($AK699="","",$AK699)),OR($Y699="worse",$Y699="better",$Y699="worse, not significant",$Y699="better, not significant")),IF(ROUND($AC699,3)=ROUND(significance_bar,3),TEXT($AC699,"0.0000"),TEXT($AC699,"0.000")),""),"")</f>
        <v/>
      </c>
      <c r="AN699">
        <f>IF(AND(ISNUMBER($AC699),ISNUMBER(IF($V699,IF($AL699="","",$AL699),IF($AK699="","",$AK699)))),IF(AND(ABS($AC699-significance_bar)&lt;=2.0*IF($V699,IF($AL699="","",$AL699),IF($AK699="","",$AK699)),OR($Y699="worse",$Y699="worse, not significant")),IF(ROUND($AC699,3)=ROUND(significance_bar,3),TEXT($AC699,"0.0000"),TEXT($AC699,"0.000")),""),"")</f>
        <v/>
      </c>
      <c r="AO699">
        <f>IF(OR($AI699="",$AN699=""),$AI699,$AI699&amp;" · borderline (p "&amp;$AN699&amp;")")</f>
        <v/>
      </c>
    </row>
    <row r="700">
      <c r="A700" t="inlineStr">
        <is>
          <t>three-way</t>
        </is>
      </c>
      <c r="B700" t="inlineStr">
        <is>
          <t>FICO x ASSET_CLASS / SYS_FLAG</t>
        </is>
      </c>
      <c r="C700" t="inlineStr">
        <is>
          <t>654 - 685</t>
        </is>
      </c>
      <c r="D700" t="inlineStr">
        <is>
          <t>4 / SYS_FLAG N</t>
        </is>
      </c>
      <c r="E700" t="inlineStr">
        <is>
          <t>outcome_booked</t>
        </is>
      </c>
      <c r="F700" t="inlineStr">
        <is>
          <t>Outcome, share of booked dollars</t>
        </is>
      </c>
      <c r="G700" t="n">
        <v>219</v>
      </c>
      <c r="H700" t="n">
        <v>7355987.799999998</v>
      </c>
      <c r="I700" t="b">
        <v>0</v>
      </c>
      <c r="J700" t="b">
        <v>0</v>
      </c>
      <c r="K700" t="n">
        <v>1.133529696902214</v>
      </c>
      <c r="L700" t="n">
        <v>0.6905135573399181</v>
      </c>
      <c r="M700" t="n">
        <v>1.069002639029308</v>
      </c>
      <c r="N700" t="n">
        <v>0.9609584496095845</v>
      </c>
      <c r="O700" t="n">
        <v>73221.38869493315</v>
      </c>
      <c r="P700" t="n">
        <v>40121.7552293007</v>
      </c>
      <c r="Q700">
        <f>'_live'!$C$21</f>
        <v/>
      </c>
      <c r="R700" t="inlineStr">
        <is>
          <t>shuffled: 6,108 of 10,000</t>
        </is>
      </c>
      <c r="S700" t="inlineStr">
        <is>
          <t>shuffled: 7,974 of 10,000</t>
        </is>
      </c>
      <c r="T700" t="n">
        <v>0.0745450993413919</v>
      </c>
      <c r="U700" t="n">
        <v>0.07904478508932537</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0.08449908386199335</v>
      </c>
      <c r="AI700">
        <f>IF($Y700="worse","Yes",IF($Y700="worse, not significant","Not sure",IF(OR($Y700="too few losses to test",$Y700="too few loans to test"),"Too few losses",IF($Y700="","","No"))))</f>
        <v/>
      </c>
      <c r="AJ700">
        <f>IF($AA700="yes","Yes",IF($AA700="","","No"))</f>
        <v/>
      </c>
      <c r="AK700" t="n">
        <v>0.005511547606704301</v>
      </c>
      <c r="AL700" t="n">
        <v>0.0046069189904356</v>
      </c>
      <c r="AM700">
        <f>IF(AND(ISNUMBER($AC700),ISNUMBER(IF($V700,IF($AL700="","",$AL700),IF($AK700="","",$AK700)))),IF(AND(ABS($AC700-significance_bar)&lt;=2.0*IF($V700,IF($AL700="","",$AL700),IF($AK700="","",$AK700)),OR($Y700="worse",$Y700="better",$Y700="worse, not significant",$Y700="better, not significant")),IF(ROUND($AC700,3)=ROUND(significance_bar,3),TEXT($AC700,"0.0000"),TEXT($AC700,"0.000")),""),"")</f>
        <v/>
      </c>
      <c r="AN700">
        <f>IF(AND(ISNUMBER($AC700),ISNUMBER(IF($V700,IF($AL700="","",$AL700),IF($AK700="","",$AK700)))),IF(AND(ABS($AC700-significance_bar)&lt;=2.0*IF($V700,IF($AL700="","",$AL700),IF($AK700="","",$AK700)),OR($Y700="worse",$Y700="worse, not significant")),IF(ROUND($AC700,3)=ROUND(significance_bar,3),TEXT($AC700,"0.0000"),TEXT($AC700,"0.000")),""),"")</f>
        <v/>
      </c>
      <c r="AO700">
        <f>IF(OR($AI700="",$AN700=""),$AI700,$AI700&amp;" · borderline (p "&amp;$AN700&amp;")")</f>
        <v/>
      </c>
    </row>
    <row r="701">
      <c r="A701" t="inlineStr">
        <is>
          <t>three-way</t>
        </is>
      </c>
      <c r="B701" t="inlineStr">
        <is>
          <t>FICO x ASSET_CLASS / SYS_FLAG</t>
        </is>
      </c>
      <c r="C701" t="inlineStr">
        <is>
          <t>654 - 685</t>
        </is>
      </c>
      <c r="D701" t="inlineStr">
        <is>
          <t>4 / SYS_FLAG N</t>
        </is>
      </c>
      <c r="E701" t="inlineStr">
        <is>
          <t>gco_rate</t>
        </is>
      </c>
      <c r="F701" t="inlineStr">
        <is>
          <t>GCO per booked dollar</t>
        </is>
      </c>
      <c r="G701" t="n">
        <v>219</v>
      </c>
      <c r="H701" t="n">
        <v>7355987.799999998</v>
      </c>
      <c r="I701" t="b">
        <v>0</v>
      </c>
      <c r="J701" t="b">
        <v>0</v>
      </c>
      <c r="K701" t="n">
        <v>1.053024850593748</v>
      </c>
      <c r="L701" t="n">
        <v>0.9226910642269107</v>
      </c>
      <c r="M701" t="n">
        <v>0.962027973946098</v>
      </c>
      <c r="N701" t="n">
        <v>0.9754024597540246</v>
      </c>
      <c r="O701" t="n">
        <v>16203.64585058141</v>
      </c>
      <c r="P701" t="n">
        <v>-12701.29429491778</v>
      </c>
      <c r="Q701">
        <f>'_live'!$C$22</f>
        <v/>
      </c>
      <c r="R701" t="inlineStr">
        <is>
          <t>shuffled: 8,464 of 10,000</t>
        </is>
      </c>
      <c r="S701" t="inlineStr">
        <is>
          <t>shuffled: 8,910 of 10,000</t>
        </is>
      </c>
      <c r="T701" t="n">
        <v>0.04154246750510091</v>
      </c>
      <c r="U701" t="n">
        <v>0.04547191123602977</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0.04374525063785453</v>
      </c>
      <c r="AI701">
        <f>IF($Y701="worse","Yes",IF($Y701="worse, not significant","Not sure",IF(OR($Y701="too few losses to test",$Y701="too few loans to test"),"Too few losses",IF($Y701="","","No"))))</f>
        <v/>
      </c>
      <c r="AJ701">
        <f>IF($AA701="yes","Yes",IF($AA701="","","No"))</f>
        <v/>
      </c>
      <c r="AK701" t="n">
        <v>0.003849976444624446</v>
      </c>
      <c r="AL701" t="n">
        <v>0.001548951298776788</v>
      </c>
      <c r="AM701">
        <f>IF(AND(ISNUMBER($AC701),ISNUMBER(IF($V701,IF($AL701="","",$AL701),IF($AK701="","",$AK701)))),IF(AND(ABS($AC701-significance_bar)&lt;=2.0*IF($V701,IF($AL701="","",$AL701),IF($AK701="","",$AK701)),OR($Y701="worse",$Y701="better",$Y701="worse, not significant",$Y701="better, not significant")),IF(ROUND($AC701,3)=ROUND(significance_bar,3),TEXT($AC701,"0.0000"),TEXT($AC701,"0.000")),""),"")</f>
        <v/>
      </c>
      <c r="AN701">
        <f>IF(AND(ISNUMBER($AC701),ISNUMBER(IF($V701,IF($AL701="","",$AL701),IF($AK701="","",$AK701)))),IF(AND(ABS($AC701-significance_bar)&lt;=2.0*IF($V701,IF($AL701="","",$AL701),IF($AK701="","",$AK701)),OR($Y701="worse",$Y701="worse, not significant")),IF(ROUND($AC701,3)=ROUND(significance_bar,3),TEXT($AC701,"0.0000"),TEXT($AC701,"0.000")),""),"")</f>
        <v/>
      </c>
      <c r="AO701">
        <f>IF(OR($AI701="",$AN701=""),$AI701,$AI701&amp;" · borderline (p "&amp;$AN701&amp;")")</f>
        <v/>
      </c>
    </row>
    <row r="702">
      <c r="A702" t="inlineStr">
        <is>
          <t>three-way</t>
        </is>
      </c>
      <c r="B702" t="inlineStr">
        <is>
          <t>FICO x ASSET_CLASS / SYS_FLAG</t>
        </is>
      </c>
      <c r="C702" t="inlineStr">
        <is>
          <t>654 - 685</t>
        </is>
      </c>
      <c r="D702" t="inlineStr">
        <is>
          <t>4 / SYS_FLAG N</t>
        </is>
      </c>
      <c r="E702" t="inlineStr">
        <is>
          <t>ranr_rate</t>
        </is>
      </c>
      <c r="F702" t="inlineStr">
        <is>
          <t>Profit after losses: RANR per booked dollar</t>
        </is>
      </c>
      <c r="G702" t="n">
        <v>219</v>
      </c>
      <c r="H702" t="n">
        <v>7355987.799999998</v>
      </c>
      <c r="I702" t="b">
        <v>0</v>
      </c>
      <c r="J702" t="b">
        <v>0</v>
      </c>
      <c r="K702" t="n">
        <v>0.03520169782963906</v>
      </c>
      <c r="L702" t="n">
        <v>0.02854497158979754</v>
      </c>
      <c r="M702" t="n">
        <v>-0.001042472875189049</v>
      </c>
      <c r="N702" t="n">
        <v>0.9703029697030296</v>
      </c>
      <c r="O702" t="n">
        <v>-258943.2597741113</v>
      </c>
      <c r="P702" t="n">
        <v>7668.417751721572</v>
      </c>
      <c r="Q702">
        <f>'_live'!$C$23</f>
        <v/>
      </c>
      <c r="R702" t="inlineStr">
        <is>
          <t>shuffled: 133 of 10,000</t>
        </is>
      </c>
      <c r="S702" t="inlineStr">
        <is>
          <t>shuffled: 9,466 of 10,000</t>
        </is>
      </c>
      <c r="T702" t="n">
        <v>0.1269866597965116</v>
      </c>
      <c r="U702" t="n">
        <v>0.1632308305013397</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0.1621883576261506</v>
      </c>
      <c r="AI702">
        <f>IF($Y702="worse","Yes",IF($Y702="worse, not significant","Not sure",IF(OR($Y702="too few losses to test",$Y702="too few loans to test"),"Too few losses",IF($Y702="","","No"))))</f>
        <v/>
      </c>
      <c r="AJ702">
        <f>IF($AA702="yes","Yes",IF($AA702="","","No"))</f>
        <v/>
      </c>
      <c r="AK702" t="n">
        <v>0.002449456775295685</v>
      </c>
      <c r="AL702" t="n">
        <v>0.001697501596126236</v>
      </c>
      <c r="AM702">
        <f>IF(AND(ISNUMBER($AC702),ISNUMBER(IF($V702,IF($AL702="","",$AL702),IF($AK702="","",$AK702)))),IF(AND(ABS($AC702-significance_bar)&lt;=2.0*IF($V702,IF($AL702="","",$AL702),IF($AK702="","",$AK702)),OR($Y702="worse",$Y702="better",$Y702="worse, not significant",$Y702="better, not significant",AND(profit_kind="test",$Y702="in line",ISNUMBER($AB702),$AB702&lt;&gt;0))),IF(ROUND($AC702,3)=ROUND(significance_bar,3),TEXT($AC702,"0.0000"),TEXT($AC702,"0.000")),""),"")</f>
        <v/>
      </c>
      <c r="AN702">
        <f>IF(AND(ISNUMBER($AC702),ISNUMBER(IF($V702,IF($AL702="","",$AL702),IF($AK702="","",$AK702)))),IF(AND(ABS($AC702-significance_bar)&lt;=2.0*IF($V702,IF($AL702="","",$AL702),IF($AK702="","",$AK702)),OR($Y702="worse",$Y702="worse, not significant",AND(profit_kind="test",$Y702="in line",ISNUMBER($AB702),$AB702&lt;0))),IF(ROUND($AC702,3)=ROUND(significance_bar,3),TEXT($AC702,"0.0000"),TEXT($AC702,"0.000")),""),"")</f>
        <v/>
      </c>
      <c r="AO702">
        <f>IF(OR($AI702="",$AN702=""),$AI702,$AI702&amp;" · borderline (p "&amp;$AN702&amp;")")</f>
        <v/>
      </c>
    </row>
    <row r="703">
      <c r="A703" t="inlineStr">
        <is>
          <t>three-way</t>
        </is>
      </c>
      <c r="B703" t="inlineStr">
        <is>
          <t>FICO x ASSET_CLASS / SYS_FLAG</t>
        </is>
      </c>
      <c r="C703" t="inlineStr">
        <is>
          <t>654 - 685</t>
        </is>
      </c>
      <c r="D703" t="inlineStr">
        <is>
          <t>4 / SYS_FLAG N</t>
        </is>
      </c>
      <c r="E703" t="inlineStr">
        <is>
          <t>contribution_rate</t>
        </is>
      </c>
      <c r="F703" t="inlineStr">
        <is>
          <t>Contribution before losses per booked dollar</t>
        </is>
      </c>
      <c r="G703" t="n">
        <v>219</v>
      </c>
      <c r="H703" t="n">
        <v>7355987.799999998</v>
      </c>
      <c r="I703" t="b">
        <v>0</v>
      </c>
      <c r="J703" t="b">
        <v>0</v>
      </c>
      <c r="K703" t="n">
        <v>0.03740758296177066</v>
      </c>
      <c r="L703" t="n">
        <v>0.0001814633351479667</v>
      </c>
      <c r="M703" t="n">
        <v>-0.002769133473364327</v>
      </c>
      <c r="N703" t="n">
        <v>0.9799190293736585</v>
      </c>
      <c r="O703" t="n">
        <v>-275169.7238942727</v>
      </c>
      <c r="P703" t="n">
        <v>20369.71204663976</v>
      </c>
      <c r="Q703">
        <f>'_live'!$C$24</f>
        <v/>
      </c>
      <c r="R703" t="inlineStr">
        <is>
          <t>shuffled: 0 of 10,000</t>
        </is>
      </c>
      <c r="S703" t="inlineStr">
        <is>
          <t>shuffled: 7,497 of 10,000</t>
        </is>
      </c>
      <c r="T703" t="n">
        <v>0.1685260253022345</v>
      </c>
      <c r="U703" t="n">
        <v>0.2087027417373694</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0.2059336082640051</v>
      </c>
      <c r="AI703">
        <f>IF($Y703="worse","Yes",IF($Y703="worse, not significant","Not sure",IF(OR($Y703="too few losses to test",$Y703="too few loans to test"),"Too few losses",IF($Y703="","","No"))))</f>
        <v/>
      </c>
      <c r="AJ703">
        <f>IF($AA703="yes","Yes",IF($AA703="","","No"))</f>
        <v/>
      </c>
      <c r="AK703" t="n">
        <v>0.0001814633351479667</v>
      </c>
      <c r="AL703" t="n">
        <v>0.002013133534953629</v>
      </c>
      <c r="AM703">
        <f>IF(AND(ISNUMBER($AC703),ISNUMBER(IF($V703,IF($AL703="","",$AL703),IF($AK703="","",$AK703)))),IF(AND(ABS($AC703-significance_bar)&lt;=2.0*IF($V703,IF($AL703="","",$AL703),IF($AK703="","",$AK703)),OR($Y703="worse",$Y703="better",$Y703="worse, not significant",$Y703="better, not significant",AND(profit_kind="test",$Y703="in line",ISNUMBER($AB703),$AB703&lt;&gt;0))),IF(ROUND($AC703,3)=ROUND(significance_bar,3),TEXT($AC703,"0.0000"),TEXT($AC703,"0.000")),""),"")</f>
        <v/>
      </c>
      <c r="AN703">
        <f>IF(AND(ISNUMBER($AC703),ISNUMBER(IF($V703,IF($AL703="","",$AL703),IF($AK703="","",$AK703)))),IF(AND(ABS($AC703-significance_bar)&lt;=2.0*IF($V703,IF($AL703="","",$AL703),IF($AK703="","",$AK703)),OR($Y703="worse",$Y703="worse, not significant",AND(profit_kind="test",$Y703="in line",ISNUMBER($AB703),$AB703&lt;0))),IF(ROUND($AC703,3)=ROUND(significance_bar,3),TEXT($AC703,"0.0000"),TEXT($AC703,"0.000")),""),"")</f>
        <v/>
      </c>
      <c r="AO703">
        <f>IF(OR($AI703="",$AN703=""),$AI703,$AI703&amp;" · borderline (p "&amp;$AN703&amp;")")</f>
        <v/>
      </c>
    </row>
    <row r="704">
      <c r="A704" t="inlineStr">
        <is>
          <t>three-way</t>
        </is>
      </c>
      <c r="B704" t="inlineStr">
        <is>
          <t>FICO x ASSET_CLASS / SYS_FLAG</t>
        </is>
      </c>
      <c r="C704" t="inlineStr">
        <is>
          <t>746 - 921</t>
        </is>
      </c>
      <c r="D704" t="inlineStr">
        <is>
          <t>2 / SYS_FLAG N</t>
        </is>
      </c>
      <c r="E704" t="inlineStr">
        <is>
          <t>outcome_loans</t>
        </is>
      </c>
      <c r="F704" t="inlineStr">
        <is>
          <t>Outcome, share of loans</t>
        </is>
      </c>
      <c r="G704" t="n">
        <v>219</v>
      </c>
      <c r="H704" t="n">
        <v>219</v>
      </c>
      <c r="I704" t="b">
        <v>1</v>
      </c>
      <c r="J704" t="b">
        <v>0</v>
      </c>
      <c r="K704" t="n">
        <v>0.4063330050437222</v>
      </c>
      <c r="M704" t="n">
        <v>0.7857202158572021</v>
      </c>
      <c r="O704" t="n">
        <v>-10.22724935732648</v>
      </c>
      <c r="P704" t="n">
        <v>-1.909023668639053</v>
      </c>
      <c r="Q704">
        <f>'_live'!$C$20</f>
        <v/>
      </c>
      <c r="T704" t="n">
        <v>0.07866323907455013</v>
      </c>
      <c r="U704" t="n">
        <v>0.04068047337278106</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0.0319634703196347</v>
      </c>
      <c r="AI704">
        <f>IF($Y704="worse","Yes",IF($Y704="worse, not significant","Not sure",IF(OR($Y704="too few losses to test",$Y704="too few loans to test"),"Too few losses",IF($Y704="","","No"))))</f>
        <v/>
      </c>
      <c r="AJ704">
        <f>IF($AA704="yes","Yes",IF($AA704="","","No"))</f>
        <v/>
      </c>
      <c r="AM704">
        <f>IF(AND(ISNUMBER($AC704),ISNUMBER(IF($V704,IF($AL704="","",$AL704),IF($AK704="","",$AK704)))),IF(AND(ABS($AC704-significance_bar)&lt;=2.0*IF($V704,IF($AL704="","",$AL704),IF($AK704="","",$AK704)),OR($Y704="worse",$Y704="better",$Y704="worse, not significant",$Y704="better, not significant")),IF(ROUND($AC704,3)=ROUND(significance_bar,3),TEXT($AC704,"0.0000"),TEXT($AC704,"0.000")),""),"")</f>
        <v/>
      </c>
      <c r="AN704">
        <f>IF(AND(ISNUMBER($AC704),ISNUMBER(IF($V704,IF($AL704="","",$AL704),IF($AK704="","",$AK704)))),IF(AND(ABS($AC704-significance_bar)&lt;=2.0*IF($V704,IF($AL704="","",$AL704),IF($AK704="","",$AK704)),OR($Y704="worse",$Y704="worse, not significant")),IF(ROUND($AC704,3)=ROUND(significance_bar,3),TEXT($AC704,"0.0000"),TEXT($AC704,"0.000")),""),"")</f>
        <v/>
      </c>
      <c r="AO704">
        <f>IF(OR($AI704="",$AN704=""),$AI704,$AI704&amp;" · borderline (p "&amp;$AN704&amp;")")</f>
        <v/>
      </c>
    </row>
    <row r="705">
      <c r="A705" t="inlineStr">
        <is>
          <t>three-way</t>
        </is>
      </c>
      <c r="B705" t="inlineStr">
        <is>
          <t>FICO x ASSET_CLASS / SYS_FLAG</t>
        </is>
      </c>
      <c r="C705" t="inlineStr">
        <is>
          <t>746 - 921</t>
        </is>
      </c>
      <c r="D705" t="inlineStr">
        <is>
          <t>2 / SYS_FLAG N</t>
        </is>
      </c>
      <c r="E705" t="inlineStr">
        <is>
          <t>outcome_booked</t>
        </is>
      </c>
      <c r="F705" t="inlineStr">
        <is>
          <t>Outcome, share of booked dollars</t>
        </is>
      </c>
      <c r="G705" t="n">
        <v>219</v>
      </c>
      <c r="H705" t="n">
        <v>6929596.490000001</v>
      </c>
      <c r="I705" t="b">
        <v>1</v>
      </c>
      <c r="J705" t="b">
        <v>0</v>
      </c>
      <c r="K705" t="n">
        <v>0.4627822161760499</v>
      </c>
      <c r="M705" t="n">
        <v>0.9470958070268721</v>
      </c>
      <c r="O705" t="n">
        <v>-282643.4006487695</v>
      </c>
      <c r="P705" t="n">
        <v>-13600.70153499313</v>
      </c>
      <c r="Q705">
        <f>'_live'!$C$21</f>
        <v/>
      </c>
      <c r="T705" t="n">
        <v>0.07592425206980116</v>
      </c>
      <c r="U705" t="n">
        <v>0.03709909110955941</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0.03513639363437163</v>
      </c>
      <c r="AI705">
        <f>IF($Y705="worse","Yes",IF($Y705="worse, not significant","Not sure",IF(OR($Y705="too few losses to test",$Y705="too few loans to test"),"Too few losses",IF($Y705="","","No"))))</f>
        <v/>
      </c>
      <c r="AJ705">
        <f>IF($AA705="yes","Yes",IF($AA705="","","No"))</f>
        <v/>
      </c>
      <c r="AM705">
        <f>IF(AND(ISNUMBER($AC705),ISNUMBER(IF($V705,IF($AL705="","",$AL705),IF($AK705="","",$AK705)))),IF(AND(ABS($AC705-significance_bar)&lt;=2.0*IF($V705,IF($AL705="","",$AL705),IF($AK705="","",$AK705)),OR($Y705="worse",$Y705="better",$Y705="worse, not significant",$Y705="better, not significant")),IF(ROUND($AC705,3)=ROUND(significance_bar,3),TEXT($AC705,"0.0000"),TEXT($AC705,"0.000")),""),"")</f>
        <v/>
      </c>
      <c r="AN705">
        <f>IF(AND(ISNUMBER($AC705),ISNUMBER(IF($V705,IF($AL705="","",$AL705),IF($AK705="","",$AK705)))),IF(AND(ABS($AC705-significance_bar)&lt;=2.0*IF($V705,IF($AL705="","",$AL705),IF($AK705="","",$AK705)),OR($Y705="worse",$Y705="worse, not significant")),IF(ROUND($AC705,3)=ROUND(significance_bar,3),TEXT($AC705,"0.0000"),TEXT($AC705,"0.000")),""),"")</f>
        <v/>
      </c>
      <c r="AO705">
        <f>IF(OR($AI705="",$AN705=""),$AI705,$AI705&amp;" · borderline (p "&amp;$AN705&amp;")")</f>
        <v/>
      </c>
    </row>
    <row r="706">
      <c r="A706" t="inlineStr">
        <is>
          <t>three-way</t>
        </is>
      </c>
      <c r="B706" t="inlineStr">
        <is>
          <t>FICO x ASSET_CLASS / SYS_FLAG</t>
        </is>
      </c>
      <c r="C706" t="inlineStr">
        <is>
          <t>746 - 921</t>
        </is>
      </c>
      <c r="D706" t="inlineStr">
        <is>
          <t>2 / SYS_FLAG N</t>
        </is>
      </c>
      <c r="E706" t="inlineStr">
        <is>
          <t>gco_rate</t>
        </is>
      </c>
      <c r="F706" t="inlineStr">
        <is>
          <t>GCO per booked dollar</t>
        </is>
      </c>
      <c r="G706" t="n">
        <v>219</v>
      </c>
      <c r="H706" t="n">
        <v>6929596.490000001</v>
      </c>
      <c r="I706" t="b">
        <v>1</v>
      </c>
      <c r="J706" t="b">
        <v>0</v>
      </c>
      <c r="K706" t="n">
        <v>0.4492944391098902</v>
      </c>
      <c r="M706" t="n">
        <v>0.9741333199675201</v>
      </c>
      <c r="O706" t="n">
        <v>-161156.1040016393</v>
      </c>
      <c r="P706" t="n">
        <v>-3491.247466460773</v>
      </c>
      <c r="Q706">
        <f>'_live'!$C$22</f>
        <v/>
      </c>
      <c r="T706" t="n">
        <v>0.04222983176927222</v>
      </c>
      <c r="U706" t="n">
        <v>0.01947744542719554</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0.01897362857848018</v>
      </c>
      <c r="AI706">
        <f>IF($Y706="worse","Yes",IF($Y706="worse, not significant","Not sure",IF(OR($Y706="too few losses to test",$Y706="too few loans to test"),"Too few losses",IF($Y706="","","No"))))</f>
        <v/>
      </c>
      <c r="AJ706">
        <f>IF($AA706="yes","Yes",IF($AA706="","","No"))</f>
        <v/>
      </c>
      <c r="AM706">
        <f>IF(AND(ISNUMBER($AC706),ISNUMBER(IF($V706,IF($AL706="","",$AL706),IF($AK706="","",$AK706)))),IF(AND(ABS($AC706-significance_bar)&lt;=2.0*IF($V706,IF($AL706="","",$AL706),IF($AK706="","",$AK706)),OR($Y706="worse",$Y706="better",$Y706="worse, not significant",$Y706="better, not significant")),IF(ROUND($AC706,3)=ROUND(significance_bar,3),TEXT($AC706,"0.0000"),TEXT($AC706,"0.000")),""),"")</f>
        <v/>
      </c>
      <c r="AN706">
        <f>IF(AND(ISNUMBER($AC706),ISNUMBER(IF($V706,IF($AL706="","",$AL706),IF($AK706="","",$AK706)))),IF(AND(ABS($AC706-significance_bar)&lt;=2.0*IF($V706,IF($AL706="","",$AL706),IF($AK706="","",$AK706)),OR($Y706="worse",$Y706="worse, not significant")),IF(ROUND($AC706,3)=ROUND(significance_bar,3),TEXT($AC706,"0.0000"),TEXT($AC706,"0.000")),""),"")</f>
        <v/>
      </c>
      <c r="AO706">
        <f>IF(OR($AI706="",$AN706=""),$AI706,$AI706&amp;" · borderline (p "&amp;$AN706&amp;")")</f>
        <v/>
      </c>
    </row>
    <row r="707">
      <c r="A707" t="inlineStr">
        <is>
          <t>three-way</t>
        </is>
      </c>
      <c r="B707" t="inlineStr">
        <is>
          <t>FICO x ASSET_CLASS / SYS_FLAG</t>
        </is>
      </c>
      <c r="C707" t="inlineStr">
        <is>
          <t>746 - 921</t>
        </is>
      </c>
      <c r="D707" t="inlineStr">
        <is>
          <t>2 / SYS_FLAG N</t>
        </is>
      </c>
      <c r="E707" t="inlineStr">
        <is>
          <t>ranr_rate</t>
        </is>
      </c>
      <c r="F707" t="inlineStr">
        <is>
          <t>Profit after losses: RANR per booked dollar</t>
        </is>
      </c>
      <c r="G707" t="n">
        <v>219</v>
      </c>
      <c r="H707" t="n">
        <v>6929596.490000001</v>
      </c>
      <c r="I707" t="b">
        <v>0</v>
      </c>
      <c r="J707" t="b">
        <v>0</v>
      </c>
      <c r="K707" t="n">
        <v>-0.08315291183689313</v>
      </c>
      <c r="L707" t="n">
        <v>0.0003768853883842385</v>
      </c>
      <c r="M707" t="n">
        <v>0.0003784246891440218</v>
      </c>
      <c r="N707" t="n">
        <v>0.9703029697030296</v>
      </c>
      <c r="O707" t="n">
        <v>576216.1259982141</v>
      </c>
      <c r="P707" t="n">
        <v>-2622.330397621787</v>
      </c>
      <c r="Q707">
        <f>'_live'!$C$23</f>
        <v/>
      </c>
      <c r="R707" t="inlineStr">
        <is>
          <t>shuffled: 0 of 10,000</t>
        </is>
      </c>
      <c r="S707" t="inlineStr">
        <is>
          <t>shuffled: 9,638 of 10,000</t>
        </is>
      </c>
      <c r="T707" t="n">
        <v>0.1302228531344419</v>
      </c>
      <c r="U707" t="n">
        <v>0.04669151660840478</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0.0470699412975488</v>
      </c>
      <c r="AI707">
        <f>IF($Y707="worse","Yes",IF($Y707="worse, not significant","Not sure",IF(OR($Y707="too few losses to test",$Y707="too few loans to test"),"Too few losses",IF($Y707="","","No"))))</f>
        <v/>
      </c>
      <c r="AJ707">
        <f>IF($AA707="yes","Yes",IF($AA707="","","No"))</f>
        <v/>
      </c>
      <c r="AK707" t="n">
        <v>0.0003768853883842385</v>
      </c>
      <c r="AL707" t="n">
        <v>0.001697501596126236</v>
      </c>
      <c r="AM707">
        <f>IF(AND(ISNUMBER($AC707),ISNUMBER(IF($V707,IF($AL707="","",$AL707),IF($AK707="","",$AK707)))),IF(AND(ABS($AC707-significance_bar)&lt;=2.0*IF($V707,IF($AL707="","",$AL707),IF($AK707="","",$AK707)),OR($Y707="worse",$Y707="better",$Y707="worse, not significant",$Y707="better, not significant",AND(profit_kind="test",$Y707="in line",ISNUMBER($AB707),$AB707&lt;&gt;0))),IF(ROUND($AC707,3)=ROUND(significance_bar,3),TEXT($AC707,"0.0000"),TEXT($AC707,"0.000")),""),"")</f>
        <v/>
      </c>
      <c r="AN707">
        <f>IF(AND(ISNUMBER($AC707),ISNUMBER(IF($V707,IF($AL707="","",$AL707),IF($AK707="","",$AK707)))),IF(AND(ABS($AC707-significance_bar)&lt;=2.0*IF($V707,IF($AL707="","",$AL707),IF($AK707="","",$AK707)),OR($Y707="worse",$Y707="worse, not significant",AND(profit_kind="test",$Y707="in line",ISNUMBER($AB707),$AB707&lt;0))),IF(ROUND($AC707,3)=ROUND(significance_bar,3),TEXT($AC707,"0.0000"),TEXT($AC707,"0.000")),""),"")</f>
        <v/>
      </c>
      <c r="AO707">
        <f>IF(OR($AI707="",$AN707=""),$AI707,$AI707&amp;" · borderline (p "&amp;$AN707&amp;")")</f>
        <v/>
      </c>
    </row>
    <row r="708">
      <c r="A708" t="inlineStr">
        <is>
          <t>three-way</t>
        </is>
      </c>
      <c r="B708" t="inlineStr">
        <is>
          <t>FICO x ASSET_CLASS / SYS_FLAG</t>
        </is>
      </c>
      <c r="C708" t="inlineStr">
        <is>
          <t>746 - 921</t>
        </is>
      </c>
      <c r="D708" t="inlineStr">
        <is>
          <t>2 / SYS_FLAG N</t>
        </is>
      </c>
      <c r="E708" t="inlineStr">
        <is>
          <t>contribution_rate</t>
        </is>
      </c>
      <c r="F708" t="inlineStr">
        <is>
          <t>Contribution before losses per booked dollar</t>
        </is>
      </c>
      <c r="G708" t="n">
        <v>219</v>
      </c>
      <c r="H708" t="n">
        <v>6929596.490000001</v>
      </c>
      <c r="I708" t="b">
        <v>0</v>
      </c>
      <c r="J708" t="b">
        <v>0</v>
      </c>
      <c r="K708" t="n">
        <v>-0.1064065297530581</v>
      </c>
      <c r="L708" t="n">
        <v>0.0001814633351479667</v>
      </c>
      <c r="M708" t="n">
        <v>-0.0001253921595713303</v>
      </c>
      <c r="N708" t="n">
        <v>0.9799190293736585</v>
      </c>
      <c r="O708" t="n">
        <v>737354.3150898723</v>
      </c>
      <c r="P708" t="n">
        <v>868.917068839015</v>
      </c>
      <c r="Q708">
        <f>'_live'!$C$24</f>
        <v/>
      </c>
      <c r="R708" t="inlineStr">
        <is>
          <t>shuffled: 0 of 10,000</t>
        </is>
      </c>
      <c r="S708" t="inlineStr">
        <is>
          <t>shuffled: 9,570 of 10,000</t>
        </is>
      </c>
      <c r="T708" t="n">
        <v>0.1724500996290871</v>
      </c>
      <c r="U708" t="n">
        <v>0.06616896203560031</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0.06604356987602898</v>
      </c>
      <c r="AI708">
        <f>IF($Y708="worse","Yes",IF($Y708="worse, not significant","Not sure",IF(OR($Y708="too few losses to test",$Y708="too few loans to test"),"Too few losses",IF($Y708="","","No"))))</f>
        <v/>
      </c>
      <c r="AJ708">
        <f>IF($AA708="yes","Yes",IF($AA708="","","No"))</f>
        <v/>
      </c>
      <c r="AK708" t="n">
        <v>0.0001814633351479667</v>
      </c>
      <c r="AL708" t="n">
        <v>0.002013133534953629</v>
      </c>
      <c r="AM708">
        <f>IF(AND(ISNUMBER($AC708),ISNUMBER(IF($V708,IF($AL708="","",$AL708),IF($AK708="","",$AK708)))),IF(AND(ABS($AC708-significance_bar)&lt;=2.0*IF($V708,IF($AL708="","",$AL708),IF($AK708="","",$AK708)),OR($Y708="worse",$Y708="better",$Y708="worse, not significant",$Y708="better, not significant",AND(profit_kind="test",$Y708="in line",ISNUMBER($AB708),$AB708&lt;&gt;0))),IF(ROUND($AC708,3)=ROUND(significance_bar,3),TEXT($AC708,"0.0000"),TEXT($AC708,"0.000")),""),"")</f>
        <v/>
      </c>
      <c r="AN708">
        <f>IF(AND(ISNUMBER($AC708),ISNUMBER(IF($V708,IF($AL708="","",$AL708),IF($AK708="","",$AK708)))),IF(AND(ABS($AC708-significance_bar)&lt;=2.0*IF($V708,IF($AL708="","",$AL708),IF($AK708="","",$AK708)),OR($Y708="worse",$Y708="worse, not significant",AND(profit_kind="test",$Y708="in line",ISNUMBER($AB708),$AB708&lt;0))),IF(ROUND($AC708,3)=ROUND(significance_bar,3),TEXT($AC708,"0.0000"),TEXT($AC708,"0.000")),""),"")</f>
        <v/>
      </c>
      <c r="AO708">
        <f>IF(OR($AI708="",$AN708=""),$AI708,$AI708&amp;" · borderline (p "&amp;$AN708&amp;")")</f>
        <v/>
      </c>
    </row>
    <row r="709">
      <c r="A709" t="inlineStr">
        <is>
          <t>three-way</t>
        </is>
      </c>
      <c r="B709" t="inlineStr">
        <is>
          <t>FICO x ASSET_CLASS / SYS_FLAG</t>
        </is>
      </c>
      <c r="C709" t="inlineStr">
        <is>
          <t>712 - 745</t>
        </is>
      </c>
      <c r="D709" t="inlineStr">
        <is>
          <t>2 / SYS_FLAG N</t>
        </is>
      </c>
      <c r="E709" t="inlineStr">
        <is>
          <t>outcome_loans</t>
        </is>
      </c>
      <c r="F709" t="inlineStr">
        <is>
          <t>Outcome, share of loans</t>
        </is>
      </c>
      <c r="G709" t="n">
        <v>247</v>
      </c>
      <c r="H709" t="n">
        <v>247</v>
      </c>
      <c r="I709" t="b">
        <v>1</v>
      </c>
      <c r="J709" t="b">
        <v>0</v>
      </c>
      <c r="K709" t="n">
        <v>0.4630517023959647</v>
      </c>
      <c r="M709" t="n">
        <v>0.6371846776705076</v>
      </c>
      <c r="O709" t="n">
        <v>-10.43627450980392</v>
      </c>
      <c r="P709" t="n">
        <v>-5.124633431085044</v>
      </c>
      <c r="Q709">
        <f>'_live'!$C$20</f>
        <v/>
      </c>
      <c r="T709" t="n">
        <v>0.07868937048503612</v>
      </c>
      <c r="U709" t="n">
        <v>0.05718475073313783</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0.03643724696356275</v>
      </c>
      <c r="AI709">
        <f>IF($Y709="worse","Yes",IF($Y709="worse, not significant","Not sure",IF(OR($Y709="too few losses to test",$Y709="too few loans to test"),"Too few losses",IF($Y709="","","No"))))</f>
        <v/>
      </c>
      <c r="AJ709">
        <f>IF($AA709="yes","Yes",IF($AA709="","","No"))</f>
        <v/>
      </c>
      <c r="AM709">
        <f>IF(AND(ISNUMBER($AC709),ISNUMBER(IF($V709,IF($AL709="","",$AL709),IF($AK709="","",$AK709)))),IF(AND(ABS($AC709-significance_bar)&lt;=2.0*IF($V709,IF($AL709="","",$AL709),IF($AK709="","",$AK709)),OR($Y709="worse",$Y709="better",$Y709="worse, not significant",$Y709="better, not significant")),IF(ROUND($AC709,3)=ROUND(significance_bar,3),TEXT($AC709,"0.0000"),TEXT($AC709,"0.000")),""),"")</f>
        <v/>
      </c>
      <c r="AN709">
        <f>IF(AND(ISNUMBER($AC709),ISNUMBER(IF($V709,IF($AL709="","",$AL709),IF($AK709="","",$AK709)))),IF(AND(ABS($AC709-significance_bar)&lt;=2.0*IF($V709,IF($AL709="","",$AL709),IF($AK709="","",$AK709)),OR($Y709="worse",$Y709="worse, not significant")),IF(ROUND($AC709,3)=ROUND(significance_bar,3),TEXT($AC709,"0.0000"),TEXT($AC709,"0.000")),""),"")</f>
        <v/>
      </c>
      <c r="AO709">
        <f>IF(OR($AI709="",$AN709=""),$AI709,$AI709&amp;" · borderline (p "&amp;$AN709&amp;")")</f>
        <v/>
      </c>
    </row>
    <row r="710">
      <c r="A710" t="inlineStr">
        <is>
          <t>three-way</t>
        </is>
      </c>
      <c r="B710" t="inlineStr">
        <is>
          <t>FICO x ASSET_CLASS / SYS_FLAG</t>
        </is>
      </c>
      <c r="C710" t="inlineStr">
        <is>
          <t>712 - 745</t>
        </is>
      </c>
      <c r="D710" t="inlineStr">
        <is>
          <t>2 / SYS_FLAG N</t>
        </is>
      </c>
      <c r="E710" t="inlineStr">
        <is>
          <t>outcome_booked</t>
        </is>
      </c>
      <c r="F710" t="inlineStr">
        <is>
          <t>Outcome, share of booked dollars</t>
        </is>
      </c>
      <c r="G710" t="n">
        <v>247</v>
      </c>
      <c r="H710" t="n">
        <v>7611989.880000005</v>
      </c>
      <c r="I710" t="b">
        <v>1</v>
      </c>
      <c r="J710" t="b">
        <v>0</v>
      </c>
      <c r="K710" t="n">
        <v>0.4798278515672451</v>
      </c>
      <c r="M710" t="n">
        <v>0.6322249607186298</v>
      </c>
      <c r="O710" t="n">
        <v>-300905.7418459901</v>
      </c>
      <c r="P710" t="n">
        <v>-161465.3897691786</v>
      </c>
      <c r="Q710">
        <f>'_live'!$C$21</f>
        <v/>
      </c>
      <c r="T710" t="n">
        <v>0.07599502770831189</v>
      </c>
      <c r="U710" t="n">
        <v>0.05767651254013206</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0.03646453087507255</v>
      </c>
      <c r="AI710">
        <f>IF($Y710="worse","Yes",IF($Y710="worse, not significant","Not sure",IF(OR($Y710="too few losses to test",$Y710="too few loans to test"),"Too few losses",IF($Y710="","","No"))))</f>
        <v/>
      </c>
      <c r="AJ710">
        <f>IF($AA710="yes","Yes",IF($AA710="","","No"))</f>
        <v/>
      </c>
      <c r="AM710">
        <f>IF(AND(ISNUMBER($AC710),ISNUMBER(IF($V710,IF($AL710="","",$AL710),IF($AK710="","",$AK710)))),IF(AND(ABS($AC710-significance_bar)&lt;=2.0*IF($V710,IF($AL710="","",$AL710),IF($AK710="","",$AK710)),OR($Y710="worse",$Y710="better",$Y710="worse, not significant",$Y710="better, not significant")),IF(ROUND($AC710,3)=ROUND(significance_bar,3),TEXT($AC710,"0.0000"),TEXT($AC710,"0.000")),""),"")</f>
        <v/>
      </c>
      <c r="AN710">
        <f>IF(AND(ISNUMBER($AC710),ISNUMBER(IF($V710,IF($AL710="","",$AL710),IF($AK710="","",$AK710)))),IF(AND(ABS($AC710-significance_bar)&lt;=2.0*IF($V710,IF($AL710="","",$AL710),IF($AK710="","",$AK710)),OR($Y710="worse",$Y710="worse, not significant")),IF(ROUND($AC710,3)=ROUND(significance_bar,3),TEXT($AC710,"0.0000"),TEXT($AC710,"0.000")),""),"")</f>
        <v/>
      </c>
      <c r="AO710">
        <f>IF(OR($AI710="",$AN710=""),$AI710,$AI710&amp;" · borderline (p "&amp;$AN710&amp;")")</f>
        <v/>
      </c>
    </row>
    <row r="711">
      <c r="A711" t="inlineStr">
        <is>
          <t>three-way</t>
        </is>
      </c>
      <c r="B711" t="inlineStr">
        <is>
          <t>FICO x ASSET_CLASS / SYS_FLAG</t>
        </is>
      </c>
      <c r="C711" t="inlineStr">
        <is>
          <t>712 - 745</t>
        </is>
      </c>
      <c r="D711" t="inlineStr">
        <is>
          <t>2 / SYS_FLAG N</t>
        </is>
      </c>
      <c r="E711" t="inlineStr">
        <is>
          <t>gco_rate</t>
        </is>
      </c>
      <c r="F711" t="inlineStr">
        <is>
          <t>GCO per booked dollar</t>
        </is>
      </c>
      <c r="G711" t="n">
        <v>247</v>
      </c>
      <c r="H711" t="n">
        <v>7611989.880000005</v>
      </c>
      <c r="I711" t="b">
        <v>1</v>
      </c>
      <c r="J711" t="b">
        <v>0</v>
      </c>
      <c r="K711" t="n">
        <v>0.5620520599764369</v>
      </c>
      <c r="M711" t="n">
        <v>0.7541036535433436</v>
      </c>
      <c r="O711" t="n">
        <v>-140512.9991553733</v>
      </c>
      <c r="P711" t="n">
        <v>-58801.93134891219</v>
      </c>
      <c r="Q711">
        <f>'_live'!$C$22</f>
        <v/>
      </c>
      <c r="T711" t="n">
        <v>0.04214982865365727</v>
      </c>
      <c r="U711" t="n">
        <v>0.03141530731369181</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0.02369039802244191</v>
      </c>
      <c r="AI711">
        <f>IF($Y711="worse","Yes",IF($Y711="worse, not significant","Not sure",IF(OR($Y711="too few losses to test",$Y711="too few loans to test"),"Too few losses",IF($Y711="","","No"))))</f>
        <v/>
      </c>
      <c r="AJ711">
        <f>IF($AA711="yes","Yes",IF($AA711="","","No"))</f>
        <v/>
      </c>
      <c r="AM711">
        <f>IF(AND(ISNUMBER($AC711),ISNUMBER(IF($V711,IF($AL711="","",$AL711),IF($AK711="","",$AK711)))),IF(AND(ABS($AC711-significance_bar)&lt;=2.0*IF($V711,IF($AL711="","",$AL711),IF($AK711="","",$AK711)),OR($Y711="worse",$Y711="better",$Y711="worse, not significant",$Y711="better, not significant")),IF(ROUND($AC711,3)=ROUND(significance_bar,3),TEXT($AC711,"0.0000"),TEXT($AC711,"0.000")),""),"")</f>
        <v/>
      </c>
      <c r="AN711">
        <f>IF(AND(ISNUMBER($AC711),ISNUMBER(IF($V711,IF($AL711="","",$AL711),IF($AK711="","",$AK711)))),IF(AND(ABS($AC711-significance_bar)&lt;=2.0*IF($V711,IF($AL711="","",$AL711),IF($AK711="","",$AK711)),OR($Y711="worse",$Y711="worse, not significant")),IF(ROUND($AC711,3)=ROUND(significance_bar,3),TEXT($AC711,"0.0000"),TEXT($AC711,"0.000")),""),"")</f>
        <v/>
      </c>
      <c r="AO711">
        <f>IF(OR($AI711="",$AN711=""),$AI711,$AI711&amp;" · borderline (p "&amp;$AN711&amp;")")</f>
        <v/>
      </c>
    </row>
    <row r="712">
      <c r="A712" t="inlineStr">
        <is>
          <t>three-way</t>
        </is>
      </c>
      <c r="B712" t="inlineStr">
        <is>
          <t>FICO x ASSET_CLASS / SYS_FLAG</t>
        </is>
      </c>
      <c r="C712" t="inlineStr">
        <is>
          <t>712 - 745</t>
        </is>
      </c>
      <c r="D712" t="inlineStr">
        <is>
          <t>2 / SYS_FLAG N</t>
        </is>
      </c>
      <c r="E712" t="inlineStr">
        <is>
          <t>ranr_rate</t>
        </is>
      </c>
      <c r="F712" t="inlineStr">
        <is>
          <t>Profit after losses: RANR per booked dollar</t>
        </is>
      </c>
      <c r="G712" t="n">
        <v>247</v>
      </c>
      <c r="H712" t="n">
        <v>7611989.880000005</v>
      </c>
      <c r="I712" t="b">
        <v>0</v>
      </c>
      <c r="J712" t="b">
        <v>0</v>
      </c>
      <c r="K712" t="n">
        <v>-0.0377368765358735</v>
      </c>
      <c r="L712" t="n">
        <v>0.01180336511803365</v>
      </c>
      <c r="M712" t="n">
        <v>-0.005408442054877949</v>
      </c>
      <c r="N712" t="n">
        <v>0.8858714128587142</v>
      </c>
      <c r="O712" t="n">
        <v>287252.7222938788</v>
      </c>
      <c r="P712" t="n">
        <v>41169.00618829741</v>
      </c>
      <c r="Q712">
        <f>'_live'!$C$23</f>
        <v/>
      </c>
      <c r="R712" t="inlineStr">
        <is>
          <t>shuffled: 52 of 10,000</t>
        </is>
      </c>
      <c r="S712" t="inlineStr">
        <is>
          <t>shuffled: 6,397 of 10,000</t>
        </is>
      </c>
      <c r="T712" t="n">
        <v>0.1291031369965351</v>
      </c>
      <c r="U712" t="n">
        <v>0.0967747025155395</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0.09136626046066156</v>
      </c>
      <c r="AI712">
        <f>IF($Y712="worse","Yes",IF($Y712="worse, not significant","Not sure",IF(OR($Y712="too few losses to test",$Y712="too few loans to test"),"Too few losses",IF($Y712="","","No"))))</f>
        <v/>
      </c>
      <c r="AJ712">
        <f>IF($AA712="yes","Yes",IF($AA712="","","No"))</f>
        <v/>
      </c>
      <c r="AK712" t="n">
        <v>0.001617095970848019</v>
      </c>
      <c r="AL712" t="n">
        <v>0.005275201752636222</v>
      </c>
      <c r="AM712">
        <f>IF(AND(ISNUMBER($AC712),ISNUMBER(IF($V712,IF($AL712="","",$AL712),IF($AK712="","",$AK712)))),IF(AND(ABS($AC712-significance_bar)&lt;=2.0*IF($V712,IF($AL712="","",$AL712),IF($AK712="","",$AK712)),OR($Y712="worse",$Y712="better",$Y712="worse, not significant",$Y712="better, not significant",AND(profit_kind="test",$Y712="in line",ISNUMBER($AB712),$AB712&lt;&gt;0))),IF(ROUND($AC712,3)=ROUND(significance_bar,3),TEXT($AC712,"0.0000"),TEXT($AC712,"0.000")),""),"")</f>
        <v/>
      </c>
      <c r="AN712">
        <f>IF(AND(ISNUMBER($AC712),ISNUMBER(IF($V712,IF($AL712="","",$AL712),IF($AK712="","",$AK712)))),IF(AND(ABS($AC712-significance_bar)&lt;=2.0*IF($V712,IF($AL712="","",$AL712),IF($AK712="","",$AK712)),OR($Y712="worse",$Y712="worse, not significant",AND(profit_kind="test",$Y712="in line",ISNUMBER($AB712),$AB712&lt;0))),IF(ROUND($AC712,3)=ROUND(significance_bar,3),TEXT($AC712,"0.0000"),TEXT($AC712,"0.000")),""),"")</f>
        <v/>
      </c>
      <c r="AO712">
        <f>IF(OR($AI712="",$AN712=""),$AI712,$AI712&amp;" · borderline (p "&amp;$AN712&amp;")")</f>
        <v/>
      </c>
    </row>
    <row r="713">
      <c r="A713" t="inlineStr">
        <is>
          <t>three-way</t>
        </is>
      </c>
      <c r="B713" t="inlineStr">
        <is>
          <t>FICO x ASSET_CLASS / SYS_FLAG</t>
        </is>
      </c>
      <c r="C713" t="inlineStr">
        <is>
          <t>712 - 745</t>
        </is>
      </c>
      <c r="D713" t="inlineStr">
        <is>
          <t>2 / SYS_FLAG N</t>
        </is>
      </c>
      <c r="E713" t="inlineStr">
        <is>
          <t>contribution_rate</t>
        </is>
      </c>
      <c r="F713" t="inlineStr">
        <is>
          <t>Contribution before losses per booked dollar</t>
        </is>
      </c>
      <c r="G713" t="n">
        <v>247</v>
      </c>
      <c r="H713" t="n">
        <v>7611989.880000005</v>
      </c>
      <c r="I713" t="b">
        <v>0</v>
      </c>
      <c r="J713" t="b">
        <v>0</v>
      </c>
      <c r="K713" t="n">
        <v>-0.05619353740213918</v>
      </c>
      <c r="L713" t="n">
        <v>0.0001814633351479667</v>
      </c>
      <c r="M713" t="n">
        <v>-0.01308787287690498</v>
      </c>
      <c r="N713" t="n">
        <v>0.3827617238276173</v>
      </c>
      <c r="O713" t="n">
        <v>427744.6380264853</v>
      </c>
      <c r="P713" t="n">
        <v>99624.75588972727</v>
      </c>
      <c r="Q713">
        <f>'_live'!$C$24</f>
        <v/>
      </c>
      <c r="R713" t="inlineStr">
        <is>
          <t>shuffled: 0 of 10,000</t>
        </is>
      </c>
      <c r="S713" t="inlineStr">
        <is>
          <t>shuffled: 192 of 10,000</t>
        </is>
      </c>
      <c r="T713" t="n">
        <v>0.1712501958852427</v>
      </c>
      <c r="U713" t="n">
        <v>0.1281445313600084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0.1150566584831035</v>
      </c>
      <c r="AI713">
        <f>IF($Y713="worse","Yes",IF($Y713="worse, not significant","Not sure",IF(OR($Y713="too few losses to test",$Y713="too few loans to test"),"Too few losses",IF($Y713="","","No"))))</f>
        <v/>
      </c>
      <c r="AJ713">
        <f>IF($AA713="yes","Yes",IF($AA713="","","No"))</f>
        <v/>
      </c>
      <c r="AK713" t="n">
        <v>0.0001814633351479667</v>
      </c>
      <c r="AL713" t="n">
        <v>0.02108704376792517</v>
      </c>
      <c r="AM713">
        <f>IF(AND(ISNUMBER($AC713),ISNUMBER(IF($V713,IF($AL713="","",$AL713),IF($AK713="","",$AK713)))),IF(AND(ABS($AC713-significance_bar)&lt;=2.0*IF($V713,IF($AL713="","",$AL713),IF($AK713="","",$AK713)),OR($Y713="worse",$Y713="better",$Y713="worse, not significant",$Y713="better, not significant",AND(profit_kind="test",$Y713="in line",ISNUMBER($AB713),$AB713&lt;&gt;0))),IF(ROUND($AC713,3)=ROUND(significance_bar,3),TEXT($AC713,"0.0000"),TEXT($AC713,"0.000")),""),"")</f>
        <v/>
      </c>
      <c r="AN713">
        <f>IF(AND(ISNUMBER($AC713),ISNUMBER(IF($V713,IF($AL713="","",$AL713),IF($AK713="","",$AK713)))),IF(AND(ABS($AC713-significance_bar)&lt;=2.0*IF($V713,IF($AL713="","",$AL713),IF($AK713="","",$AK713)),OR($Y713="worse",$Y713="worse, not significant",AND(profit_kind="test",$Y713="in line",ISNUMBER($AB713),$AB713&lt;0))),IF(ROUND($AC713,3)=ROUND(significance_bar,3),TEXT($AC713,"0.0000"),TEXT($AC713,"0.000")),""),"")</f>
        <v/>
      </c>
      <c r="AO713">
        <f>IF(OR($AI713="",$AN713=""),$AI713,$AI713&amp;" · borderline (p "&amp;$AN713&amp;")")</f>
        <v/>
      </c>
    </row>
    <row r="714">
      <c r="A714" t="inlineStr">
        <is>
          <t>three-way</t>
        </is>
      </c>
      <c r="B714" t="inlineStr">
        <is>
          <t>FICO x ASSET_CLASS / SYS_FLAG</t>
        </is>
      </c>
      <c r="C714" t="inlineStr">
        <is>
          <t>654 - 685</t>
        </is>
      </c>
      <c r="D714" t="inlineStr">
        <is>
          <t>2 / SYS_FLAG Y</t>
        </is>
      </c>
      <c r="E714" t="inlineStr">
        <is>
          <t>outcome_loans</t>
        </is>
      </c>
      <c r="F714" t="inlineStr">
        <is>
          <t>Outcome, share of loans</t>
        </is>
      </c>
      <c r="G714" t="n">
        <v>163</v>
      </c>
      <c r="H714" t="n">
        <v>163</v>
      </c>
      <c r="I714" t="b">
        <v>0</v>
      </c>
      <c r="J714" t="b">
        <v>0</v>
      </c>
      <c r="K714" t="n">
        <v>1.35756068727962</v>
      </c>
      <c r="L714" t="n">
        <v>0.3955168456979902</v>
      </c>
      <c r="M714" t="n">
        <v>1.269992942070688</v>
      </c>
      <c r="N714" t="n">
        <v>0.5666368538444249</v>
      </c>
      <c r="O714" t="n">
        <v>4.47753956100051</v>
      </c>
      <c r="P714" t="n">
        <v>3.614098837209303</v>
      </c>
      <c r="Q714">
        <f>'_live'!$C$20</f>
        <v/>
      </c>
      <c r="R714" t="inlineStr">
        <is>
          <t>z test</t>
        </is>
      </c>
      <c r="S714" t="inlineStr">
        <is>
          <t>z test</t>
        </is>
      </c>
      <c r="T714" t="n">
        <v>0.07682491066870853</v>
      </c>
      <c r="U714" t="n">
        <v>0.08212209302325581</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0.1042944785276074</v>
      </c>
      <c r="AI714">
        <f>IF($Y714="worse","Yes",IF($Y714="worse, not significant","Not sure",IF(OR($Y714="too few losses to test",$Y714="too few loans to test"),"Too few losses",IF($Y714="","","No"))))</f>
        <v/>
      </c>
      <c r="AJ714">
        <f>IF($AA714="yes","Yes",IF($AA714="","","No"))</f>
        <v/>
      </c>
      <c r="AM714">
        <f>IF(AND(ISNUMBER($AC714),ISNUMBER(IF($V714,IF($AL714="","",$AL714),IF($AK714="","",$AK714)))),IF(AND(ABS($AC714-significance_bar)&lt;=2.0*IF($V714,IF($AL714="","",$AL714),IF($AK714="","",$AK714)),OR($Y714="worse",$Y714="better",$Y714="worse, not significant",$Y714="better, not significant")),IF(ROUND($AC714,3)=ROUND(significance_bar,3),TEXT($AC714,"0.0000"),TEXT($AC714,"0.000")),""),"")</f>
        <v/>
      </c>
      <c r="AN714">
        <f>IF(AND(ISNUMBER($AC714),ISNUMBER(IF($V714,IF($AL714="","",$AL714),IF($AK714="","",$AK714)))),IF(AND(ABS($AC714-significance_bar)&lt;=2.0*IF($V714,IF($AL714="","",$AL714),IF($AK714="","",$AK714)),OR($Y714="worse",$Y714="worse, not significant")),IF(ROUND($AC714,3)=ROUND(significance_bar,3),TEXT($AC714,"0.0000"),TEXT($AC714,"0.000")),""),"")</f>
        <v/>
      </c>
      <c r="AO714">
        <f>IF(OR($AI714="",$AN714=""),$AI714,$AI714&amp;" · borderline (p "&amp;$AN714&amp;")")</f>
        <v/>
      </c>
    </row>
    <row r="715">
      <c r="A715" t="inlineStr">
        <is>
          <t>three-way</t>
        </is>
      </c>
      <c r="B715" t="inlineStr">
        <is>
          <t>FICO x ASSET_CLASS / SYS_FLAG</t>
        </is>
      </c>
      <c r="C715" t="inlineStr">
        <is>
          <t>654 - 685</t>
        </is>
      </c>
      <c r="D715" t="inlineStr">
        <is>
          <t>2 / SYS_FLAG Y</t>
        </is>
      </c>
      <c r="E715" t="inlineStr">
        <is>
          <t>outcome_booked</t>
        </is>
      </c>
      <c r="F715" t="inlineStr">
        <is>
          <t>Outcome, share of booked dollars</t>
        </is>
      </c>
      <c r="G715" t="n">
        <v>163</v>
      </c>
      <c r="H715" t="n">
        <v>5110584.88</v>
      </c>
      <c r="I715" t="b">
        <v>0</v>
      </c>
      <c r="J715" t="b">
        <v>0</v>
      </c>
      <c r="K715" t="n">
        <v>1.378718208532519</v>
      </c>
      <c r="L715" t="n">
        <v>0.4569543045695431</v>
      </c>
      <c r="M715" t="n">
        <v>1.325500812679238</v>
      </c>
      <c r="N715" t="n">
        <v>0.5657034296570344</v>
      </c>
      <c r="O715" t="n">
        <v>143750.8833776566</v>
      </c>
      <c r="P715" t="n">
        <v>128511.4802867969</v>
      </c>
      <c r="Q715">
        <f>'_live'!$C$21</f>
        <v/>
      </c>
      <c r="R715" t="inlineStr">
        <is>
          <t>shuffled: 2,284 of 10,000</t>
        </is>
      </c>
      <c r="S715" t="inlineStr">
        <is>
          <t>shuffled: 3,048 of 10,000</t>
        </is>
      </c>
      <c r="T715" t="n">
        <v>0.07427176253500428</v>
      </c>
      <c r="U715" t="n">
        <v>0.07725369189312888</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0.1023998313868138</v>
      </c>
      <c r="AI715">
        <f>IF($Y715="worse","Yes",IF($Y715="worse, not significant","Not sure",IF(OR($Y715="too few losses to test",$Y715="too few loans to test"),"Too few losses",IF($Y715="","","No"))))</f>
        <v/>
      </c>
      <c r="AJ715">
        <f>IF($AA715="yes","Yes",IF($AA715="","","No"))</f>
        <v/>
      </c>
      <c r="AK715" t="n">
        <v>0.008397031455666051</v>
      </c>
      <c r="AL715" t="n">
        <v>0.00812731346189991</v>
      </c>
      <c r="AM715">
        <f>IF(AND(ISNUMBER($AC715),ISNUMBER(IF($V715,IF($AL715="","",$AL715),IF($AK715="","",$AK715)))),IF(AND(ABS($AC715-significance_bar)&lt;=2.0*IF($V715,IF($AL715="","",$AL715),IF($AK715="","",$AK715)),OR($Y715="worse",$Y715="better",$Y715="worse, not significant",$Y715="better, not significant")),IF(ROUND($AC715,3)=ROUND(significance_bar,3),TEXT($AC715,"0.0000"),TEXT($AC715,"0.000")),""),"")</f>
        <v/>
      </c>
      <c r="AN715">
        <f>IF(AND(ISNUMBER($AC715),ISNUMBER(IF($V715,IF($AL715="","",$AL715),IF($AK715="","",$AK715)))),IF(AND(ABS($AC715-significance_bar)&lt;=2.0*IF($V715,IF($AL715="","",$AL715),IF($AK715="","",$AK715)),OR($Y715="worse",$Y715="worse, not significant")),IF(ROUND($AC715,3)=ROUND(significance_bar,3),TEXT($AC715,"0.0000"),TEXT($AC715,"0.000")),""),"")</f>
        <v/>
      </c>
      <c r="AO715">
        <f>IF(OR($AI715="",$AN715=""),$AI715,$AI715&amp;" · borderline (p "&amp;$AN715&amp;")")</f>
        <v/>
      </c>
    </row>
    <row r="716">
      <c r="A716" t="inlineStr">
        <is>
          <t>three-way</t>
        </is>
      </c>
      <c r="B716" t="inlineStr">
        <is>
          <t>FICO x ASSET_CLASS / SYS_FLAG</t>
        </is>
      </c>
      <c r="C716" t="inlineStr">
        <is>
          <t>654 - 685</t>
        </is>
      </c>
      <c r="D716" t="inlineStr">
        <is>
          <t>2 / SYS_FLAG Y</t>
        </is>
      </c>
      <c r="E716" t="inlineStr">
        <is>
          <t>gco_rate</t>
        </is>
      </c>
      <c r="F716" t="inlineStr">
        <is>
          <t>GCO per booked dollar</t>
        </is>
      </c>
      <c r="G716" t="n">
        <v>163</v>
      </c>
      <c r="H716" t="n">
        <v>5110584.88</v>
      </c>
      <c r="I716" t="b">
        <v>0</v>
      </c>
      <c r="J716" t="b">
        <v>0</v>
      </c>
      <c r="K716" t="n">
        <v>1.359344081656749</v>
      </c>
      <c r="L716" t="n">
        <v>0.4714195247141952</v>
      </c>
      <c r="M716" t="n">
        <v>1.27771354909067</v>
      </c>
      <c r="N716" t="n">
        <v>0.6916933306669333</v>
      </c>
      <c r="O716" t="n">
        <v>75866.37933467116</v>
      </c>
      <c r="P716" t="n">
        <v>62378.05527433535</v>
      </c>
      <c r="Q716">
        <f>'_live'!$C$22</f>
        <v/>
      </c>
      <c r="R716" t="inlineStr">
        <is>
          <t>shuffled: 2,719 of 10,000</t>
        </is>
      </c>
      <c r="S716" t="inlineStr">
        <is>
          <t>shuffled: 4,005 of 10,000</t>
        </is>
      </c>
      <c r="T716" t="n">
        <v>0.04131124237688601</v>
      </c>
      <c r="U716" t="n">
        <v>0.04395053403861374</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0.05615619283090746</v>
      </c>
      <c r="AI716">
        <f>IF($Y716="worse","Yes",IF($Y716="worse, not significant","Not sure",IF(OR($Y716="too few losses to test",$Y716="too few loans to test"),"Too few losses",IF($Y716="","","No"))))</f>
        <v/>
      </c>
      <c r="AJ716">
        <f>IF($AA716="yes","Yes",IF($AA716="","","No"))</f>
        <v/>
      </c>
      <c r="AK716" t="n">
        <v>0.00771291649046918</v>
      </c>
      <c r="AL716" t="n">
        <v>0.008034687291019178</v>
      </c>
      <c r="AM716">
        <f>IF(AND(ISNUMBER($AC716),ISNUMBER(IF($V716,IF($AL716="","",$AL716),IF($AK716="","",$AK716)))),IF(AND(ABS($AC716-significance_bar)&lt;=2.0*IF($V716,IF($AL716="","",$AL716),IF($AK716="","",$AK716)),OR($Y716="worse",$Y716="better",$Y716="worse, not significant",$Y716="better, not significant")),IF(ROUND($AC716,3)=ROUND(significance_bar,3),TEXT($AC716,"0.0000"),TEXT($AC716,"0.000")),""),"")</f>
        <v/>
      </c>
      <c r="AN716">
        <f>IF(AND(ISNUMBER($AC716),ISNUMBER(IF($V716,IF($AL716="","",$AL716),IF($AK716="","",$AK716)))),IF(AND(ABS($AC716-significance_bar)&lt;=2.0*IF($V716,IF($AL716="","",$AL716),IF($AK716="","",$AK716)),OR($Y716="worse",$Y716="worse, not significant")),IF(ROUND($AC716,3)=ROUND(significance_bar,3),TEXT($AC716,"0.0000"),TEXT($AC716,"0.000")),""),"")</f>
        <v/>
      </c>
      <c r="AO716">
        <f>IF(OR($AI716="",$AN716=""),$AI716,$AI716&amp;" · borderline (p "&amp;$AN716&amp;")")</f>
        <v/>
      </c>
    </row>
    <row r="717">
      <c r="A717" t="inlineStr">
        <is>
          <t>three-way</t>
        </is>
      </c>
      <c r="B717" t="inlineStr">
        <is>
          <t>FICO x ASSET_CLASS / SYS_FLAG</t>
        </is>
      </c>
      <c r="C717" t="inlineStr">
        <is>
          <t>654 - 685</t>
        </is>
      </c>
      <c r="D717" t="inlineStr">
        <is>
          <t>2 / SYS_FLAG Y</t>
        </is>
      </c>
      <c r="E717" t="inlineStr">
        <is>
          <t>ranr_rate</t>
        </is>
      </c>
      <c r="F717" t="inlineStr">
        <is>
          <t>Profit after losses: RANR per booked dollar</t>
        </is>
      </c>
      <c r="G717" t="n">
        <v>163</v>
      </c>
      <c r="H717" t="n">
        <v>5110584.88</v>
      </c>
      <c r="I717" t="b">
        <v>0</v>
      </c>
      <c r="J717" t="b">
        <v>0</v>
      </c>
      <c r="K717" t="n">
        <v>0.02224761400112404</v>
      </c>
      <c r="L717" t="n">
        <v>0.2593678132186781</v>
      </c>
      <c r="M717" t="n">
        <v>-0.01481229493432029</v>
      </c>
      <c r="N717" t="n">
        <v>0.7598600139986001</v>
      </c>
      <c r="O717" t="n">
        <v>-113698.3197302209</v>
      </c>
      <c r="P717" t="n">
        <v>75699.49052943778</v>
      </c>
      <c r="Q717">
        <f>'_live'!$C$23</f>
        <v/>
      </c>
      <c r="R717" t="inlineStr">
        <is>
          <t>shuffled: 1,693 of 10,000</t>
        </is>
      </c>
      <c r="S717" t="inlineStr">
        <is>
          <t>shuffled: 3,957 of 10,000</t>
        </is>
      </c>
      <c r="T717" t="n">
        <v>0.12754947536842</v>
      </c>
      <c r="U717" t="n">
        <v>0.1646093843038643</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0.149797089369544</v>
      </c>
      <c r="AI717">
        <f>IF($Y717="worse","Yes",IF($Y717="worse, not significant","Not sure",IF(OR($Y717="too few losses to test",$Y717="too few loans to test"),"Too few losses",IF($Y717="","","No"))))</f>
        <v/>
      </c>
      <c r="AJ717">
        <f>IF($AA717="yes","Yes",IF($AA717="","","No"))</f>
        <v/>
      </c>
      <c r="AK717" t="n">
        <v>0.005743564237102792</v>
      </c>
      <c r="AL717" t="n">
        <v>0.009389057386145637</v>
      </c>
      <c r="AM717">
        <f>IF(AND(ISNUMBER($AC717),ISNUMBER(IF($V717,IF($AL717="","",$AL717),IF($AK717="","",$AK717)))),IF(AND(ABS($AC717-significance_bar)&lt;=2.0*IF($V717,IF($AL717="","",$AL717),IF($AK717="","",$AK717)),OR($Y717="worse",$Y717="better",$Y717="worse, not significant",$Y717="better, not significant",AND(profit_kind="test",$Y717="in line",ISNUMBER($AB717),$AB717&lt;&gt;0))),IF(ROUND($AC717,3)=ROUND(significance_bar,3),TEXT($AC717,"0.0000"),TEXT($AC717,"0.000")),""),"")</f>
        <v/>
      </c>
      <c r="AN717">
        <f>IF(AND(ISNUMBER($AC717),ISNUMBER(IF($V717,IF($AL717="","",$AL717),IF($AK717="","",$AK717)))),IF(AND(ABS($AC717-significance_bar)&lt;=2.0*IF($V717,IF($AL717="","",$AL717),IF($AK717="","",$AK717)),OR($Y717="worse",$Y717="worse, not significant",AND(profit_kind="test",$Y717="in line",ISNUMBER($AB717),$AB717&lt;0))),IF(ROUND($AC717,3)=ROUND(significance_bar,3),TEXT($AC717,"0.0000"),TEXT($AC717,"0.000")),""),"")</f>
        <v/>
      </c>
      <c r="AO717">
        <f>IF(OR($AI717="",$AN717=""),$AI717,$AI717&amp;" · borderline (p "&amp;$AN717&amp;")")</f>
        <v/>
      </c>
    </row>
    <row r="718">
      <c r="A718" t="inlineStr">
        <is>
          <t>three-way</t>
        </is>
      </c>
      <c r="B718" t="inlineStr">
        <is>
          <t>FICO x ASSET_CLASS / SYS_FLAG</t>
        </is>
      </c>
      <c r="C718" t="inlineStr">
        <is>
          <t>654 - 685</t>
        </is>
      </c>
      <c r="D718" t="inlineStr">
        <is>
          <t>2 / SYS_FLAG Y</t>
        </is>
      </c>
      <c r="E718" t="inlineStr">
        <is>
          <t>contribution_rate</t>
        </is>
      </c>
      <c r="F718" t="inlineStr">
        <is>
          <t>Contribution before losses per booked dollar</t>
        </is>
      </c>
      <c r="G718" t="n">
        <v>163</v>
      </c>
      <c r="H718" t="n">
        <v>5110584.88</v>
      </c>
      <c r="I718" t="b">
        <v>0</v>
      </c>
      <c r="J718" t="b">
        <v>0</v>
      </c>
      <c r="K718" t="n">
        <v>0.03709555060577741</v>
      </c>
      <c r="L718" t="n">
        <v>0.00114321901143219</v>
      </c>
      <c r="M718" t="n">
        <v>-0.002606636142026608</v>
      </c>
      <c r="N718" t="n">
        <v>0.9799190293736585</v>
      </c>
      <c r="O718" t="n">
        <v>-189579.9600411608</v>
      </c>
      <c r="P718" t="n">
        <v>13321.43525510281</v>
      </c>
      <c r="Q718">
        <f>'_live'!$C$24</f>
        <v/>
      </c>
      <c r="R718" t="inlineStr">
        <is>
          <t>shuffled: 6 of 10,000</t>
        </is>
      </c>
      <c r="S718" t="inlineStr">
        <is>
          <t>shuffled: 7,886 of 10,000</t>
        </is>
      </c>
      <c r="T718" t="n">
        <v>0.168857731594674</v>
      </c>
      <c r="U718" t="n">
        <v>0.2085599183424781</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0.2059532822004514</v>
      </c>
      <c r="AI718">
        <f>IF($Y718="worse","Yes",IF($Y718="worse, not significant","Not sure",IF(OR($Y718="too few losses to test",$Y718="too few loans to test"),"Too few losses",IF($Y718="","","No"))))</f>
        <v/>
      </c>
      <c r="AJ718">
        <f>IF($AA718="yes","Yes",IF($AA718="","","No"))</f>
        <v/>
      </c>
      <c r="AK718" t="n">
        <v>0.0004319665228885773</v>
      </c>
      <c r="AL718" t="n">
        <v>0.002013133534953629</v>
      </c>
      <c r="AM718">
        <f>IF(AND(ISNUMBER($AC718),ISNUMBER(IF($V718,IF($AL718="","",$AL718),IF($AK718="","",$AK718)))),IF(AND(ABS($AC718-significance_bar)&lt;=2.0*IF($V718,IF($AL718="","",$AL718),IF($AK718="","",$AK718)),OR($Y718="worse",$Y718="better",$Y718="worse, not significant",$Y718="better, not significant",AND(profit_kind="test",$Y718="in line",ISNUMBER($AB718),$AB718&lt;&gt;0))),IF(ROUND($AC718,3)=ROUND(significance_bar,3),TEXT($AC718,"0.0000"),TEXT($AC718,"0.000")),""),"")</f>
        <v/>
      </c>
      <c r="AN718">
        <f>IF(AND(ISNUMBER($AC718),ISNUMBER(IF($V718,IF($AL718="","",$AL718),IF($AK718="","",$AK718)))),IF(AND(ABS($AC718-significance_bar)&lt;=2.0*IF($V718,IF($AL718="","",$AL718),IF($AK718="","",$AK718)),OR($Y718="worse",$Y718="worse, not significant",AND(profit_kind="test",$Y718="in line",ISNUMBER($AB718),$AB718&lt;0))),IF(ROUND($AC718,3)=ROUND(significance_bar,3),TEXT($AC718,"0.0000"),TEXT($AC718,"0.000")),""),"")</f>
        <v/>
      </c>
      <c r="AO718">
        <f>IF(OR($AI718="",$AN718=""),$AI718,$AI718&amp;" · borderline (p "&amp;$AN718&amp;")")</f>
        <v/>
      </c>
    </row>
    <row r="719">
      <c r="A719" t="inlineStr">
        <is>
          <t>three-way</t>
        </is>
      </c>
      <c r="B719" t="inlineStr">
        <is>
          <t>FICO x ASSET_CLASS / SYS_FLAG</t>
        </is>
      </c>
      <c r="C719" t="inlineStr">
        <is>
          <t>686 - 711</t>
        </is>
      </c>
      <c r="D719" t="inlineStr">
        <is>
          <t>2 / SYS_FLAG N</t>
        </is>
      </c>
      <c r="E719" t="inlineStr">
        <is>
          <t>outcome_loans</t>
        </is>
      </c>
      <c r="F719" t="inlineStr">
        <is>
          <t>Outcome, share of loans</t>
        </is>
      </c>
      <c r="G719" t="n">
        <v>216</v>
      </c>
      <c r="H719" t="n">
        <v>216</v>
      </c>
      <c r="I719" t="b">
        <v>1</v>
      </c>
      <c r="J719" t="b">
        <v>0</v>
      </c>
      <c r="K719" t="n">
        <v>0.2934235130896368</v>
      </c>
      <c r="M719" t="n">
        <v>0.3423890923890924</v>
      </c>
      <c r="O719" t="n">
        <v>-12.04021585506874</v>
      </c>
      <c r="P719" t="n">
        <v>-9.603268945022288</v>
      </c>
      <c r="Q719">
        <f>'_live'!$C$20</f>
        <v/>
      </c>
      <c r="T719" t="n">
        <v>0.07888988821791083</v>
      </c>
      <c r="U719" t="n">
        <v>0.0676077265973254</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0.02314814814814815</v>
      </c>
      <c r="AI719">
        <f>IF($Y719="worse","Yes",IF($Y719="worse, not significant","Not sure",IF(OR($Y719="too few losses to test",$Y719="too few loans to test"),"Too few losses",IF($Y719="","","No"))))</f>
        <v/>
      </c>
      <c r="AJ719">
        <f>IF($AA719="yes","Yes",IF($AA719="","","No"))</f>
        <v/>
      </c>
      <c r="AM719">
        <f>IF(AND(ISNUMBER($AC719),ISNUMBER(IF($V719,IF($AL719="","",$AL719),IF($AK719="","",$AK719)))),IF(AND(ABS($AC719-significance_bar)&lt;=2.0*IF($V719,IF($AL719="","",$AL719),IF($AK719="","",$AK719)),OR($Y719="worse",$Y719="better",$Y719="worse, not significant",$Y719="better, not significant")),IF(ROUND($AC719,3)=ROUND(significance_bar,3),TEXT($AC719,"0.0000"),TEXT($AC719,"0.000")),""),"")</f>
        <v/>
      </c>
      <c r="AN719">
        <f>IF(AND(ISNUMBER($AC719),ISNUMBER(IF($V719,IF($AL719="","",$AL719),IF($AK719="","",$AK719)))),IF(AND(ABS($AC719-significance_bar)&lt;=2.0*IF($V719,IF($AL719="","",$AL719),IF($AK719="","",$AK719)),OR($Y719="worse",$Y719="worse, not significant")),IF(ROUND($AC719,3)=ROUND(significance_bar,3),TEXT($AC719,"0.0000"),TEXT($AC719,"0.000")),""),"")</f>
        <v/>
      </c>
      <c r="AO719">
        <f>IF(OR($AI719="",$AN719=""),$AI719,$AI719&amp;" · borderline (p "&amp;$AN719&amp;")")</f>
        <v/>
      </c>
    </row>
    <row r="720">
      <c r="A720" t="inlineStr">
        <is>
          <t>three-way</t>
        </is>
      </c>
      <c r="B720" t="inlineStr">
        <is>
          <t>FICO x ASSET_CLASS / SYS_FLAG</t>
        </is>
      </c>
      <c r="C720" t="inlineStr">
        <is>
          <t>686 - 711</t>
        </is>
      </c>
      <c r="D720" t="inlineStr">
        <is>
          <t>2 / SYS_FLAG N</t>
        </is>
      </c>
      <c r="E720" t="inlineStr">
        <is>
          <t>outcome_booked</t>
        </is>
      </c>
      <c r="F720" t="inlineStr">
        <is>
          <t>Outcome, share of booked dollars</t>
        </is>
      </c>
      <c r="G720" t="n">
        <v>216</v>
      </c>
      <c r="H720" t="n">
        <v>7044506.669999999</v>
      </c>
      <c r="I720" t="b">
        <v>1</v>
      </c>
      <c r="J720" t="b">
        <v>0</v>
      </c>
      <c r="K720" t="n">
        <v>0.219683097780328</v>
      </c>
      <c r="M720" t="n">
        <v>0.26542674778927</v>
      </c>
      <c r="O720" t="n">
        <v>-420283.8465104643</v>
      </c>
      <c r="P720" t="n">
        <v>-327460.3735057174</v>
      </c>
      <c r="Q720">
        <f>'_live'!$C$21</f>
        <v/>
      </c>
      <c r="T720" t="n">
        <v>0.07645767712935737</v>
      </c>
      <c r="U720" t="n">
        <v>0.06328095981570238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0.01679645936086537</v>
      </c>
      <c r="AI720">
        <f>IF($Y720="worse","Yes",IF($Y720="worse, not significant","Not sure",IF(OR($Y720="too few losses to test",$Y720="too few loans to test"),"Too few losses",IF($Y720="","","No"))))</f>
        <v/>
      </c>
      <c r="AJ720">
        <f>IF($AA720="yes","Yes",IF($AA720="","","No"))</f>
        <v/>
      </c>
      <c r="AM720">
        <f>IF(AND(ISNUMBER($AC720),ISNUMBER(IF($V720,IF($AL720="","",$AL720),IF($AK720="","",$AK720)))),IF(AND(ABS($AC720-significance_bar)&lt;=2.0*IF($V720,IF($AL720="","",$AL720),IF($AK720="","",$AK720)),OR($Y720="worse",$Y720="better",$Y720="worse, not significant",$Y720="better, not significant")),IF(ROUND($AC720,3)=ROUND(significance_bar,3),TEXT($AC720,"0.0000"),TEXT($AC720,"0.000")),""),"")</f>
        <v/>
      </c>
      <c r="AN720">
        <f>IF(AND(ISNUMBER($AC720),ISNUMBER(IF($V720,IF($AL720="","",$AL720),IF($AK720="","",$AK720)))),IF(AND(ABS($AC720-significance_bar)&lt;=2.0*IF($V720,IF($AL720="","",$AL720),IF($AK720="","",$AK720)),OR($Y720="worse",$Y720="worse, not significant")),IF(ROUND($AC720,3)=ROUND(significance_bar,3),TEXT($AC720,"0.0000"),TEXT($AC720,"0.000")),""),"")</f>
        <v/>
      </c>
      <c r="AO720">
        <f>IF(OR($AI720="",$AN720=""),$AI720,$AI720&amp;" · borderline (p "&amp;$AN720&amp;")")</f>
        <v/>
      </c>
    </row>
    <row r="721">
      <c r="A721" t="inlineStr">
        <is>
          <t>three-way</t>
        </is>
      </c>
      <c r="B721" t="inlineStr">
        <is>
          <t>FICO x ASSET_CLASS / SYS_FLAG</t>
        </is>
      </c>
      <c r="C721" t="inlineStr">
        <is>
          <t>686 - 711</t>
        </is>
      </c>
      <c r="D721" t="inlineStr">
        <is>
          <t>2 / SYS_FLAG N</t>
        </is>
      </c>
      <c r="E721" t="inlineStr">
        <is>
          <t>gco_rate</t>
        </is>
      </c>
      <c r="F721" t="inlineStr">
        <is>
          <t>GCO per booked dollar</t>
        </is>
      </c>
      <c r="G721" t="n">
        <v>216</v>
      </c>
      <c r="H721" t="n">
        <v>7044506.669999999</v>
      </c>
      <c r="I721" t="b">
        <v>1</v>
      </c>
      <c r="J721" t="b">
        <v>0</v>
      </c>
      <c r="K721" t="n">
        <v>0.2029611771279296</v>
      </c>
      <c r="M721" t="n">
        <v>0.2453625615504314</v>
      </c>
      <c r="O721" t="n">
        <v>-238799.276928227</v>
      </c>
      <c r="P721" t="n">
        <v>-187023.6613263212</v>
      </c>
      <c r="Q721">
        <f>'_live'!$C$22</f>
        <v/>
      </c>
      <c r="T721" t="n">
        <v>0.04253074075494161</v>
      </c>
      <c r="U721" t="n">
        <v>0.03518095488244051</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0.008632089207745759</v>
      </c>
      <c r="AI721">
        <f>IF($Y721="worse","Yes",IF($Y721="worse, not significant","Not sure",IF(OR($Y721="too few losses to test",$Y721="too few loans to test"),"Too few losses",IF($Y721="","","No"))))</f>
        <v/>
      </c>
      <c r="AJ721">
        <f>IF($AA721="yes","Yes",IF($AA721="","","No"))</f>
        <v/>
      </c>
      <c r="AM721">
        <f>IF(AND(ISNUMBER($AC721),ISNUMBER(IF($V721,IF($AL721="","",$AL721),IF($AK721="","",$AK721)))),IF(AND(ABS($AC721-significance_bar)&lt;=2.0*IF($V721,IF($AL721="","",$AL721),IF($AK721="","",$AK721)),OR($Y721="worse",$Y721="better",$Y721="worse, not significant",$Y721="better, not significant")),IF(ROUND($AC721,3)=ROUND(significance_bar,3),TEXT($AC721,"0.0000"),TEXT($AC721,"0.000")),""),"")</f>
        <v/>
      </c>
      <c r="AN721">
        <f>IF(AND(ISNUMBER($AC721),ISNUMBER(IF($V721,IF($AL721="","",$AL721),IF($AK721="","",$AK721)))),IF(AND(ABS($AC721-significance_bar)&lt;=2.0*IF($V721,IF($AL721="","",$AL721),IF($AK721="","",$AK721)),OR($Y721="worse",$Y721="worse, not significant")),IF(ROUND($AC721,3)=ROUND(significance_bar,3),TEXT($AC721,"0.0000"),TEXT($AC721,"0.000")),""),"")</f>
        <v/>
      </c>
      <c r="AO721">
        <f>IF(OR($AI721="",$AN721=""),$AI721,$AI721&amp;" · borderline (p "&amp;$AN721&amp;")")</f>
        <v/>
      </c>
    </row>
    <row r="722">
      <c r="A722" t="inlineStr">
        <is>
          <t>three-way</t>
        </is>
      </c>
      <c r="B722" t="inlineStr">
        <is>
          <t>FICO x ASSET_CLASS / SYS_FLAG</t>
        </is>
      </c>
      <c r="C722" t="inlineStr">
        <is>
          <t>686 - 711</t>
        </is>
      </c>
      <c r="D722" t="inlineStr">
        <is>
          <t>2 / SYS_FLAG N</t>
        </is>
      </c>
      <c r="E722" t="inlineStr">
        <is>
          <t>ranr_rate</t>
        </is>
      </c>
      <c r="F722" t="inlineStr">
        <is>
          <t>Profit after losses: RANR per booked dollar</t>
        </is>
      </c>
      <c r="G722" t="n">
        <v>216</v>
      </c>
      <c r="H722" t="n">
        <v>7044506.669999999</v>
      </c>
      <c r="I722" t="b">
        <v>0</v>
      </c>
      <c r="J722" t="b">
        <v>0</v>
      </c>
      <c r="K722" t="n">
        <v>0.04715249338683092</v>
      </c>
      <c r="L722" t="n">
        <v>0.0016331700163317</v>
      </c>
      <c r="M722" t="n">
        <v>0.03705357728679617</v>
      </c>
      <c r="N722" t="n">
        <v>0.06119388061193881</v>
      </c>
      <c r="O722" t="n">
        <v>-332166.0541706613</v>
      </c>
      <c r="P722" t="n">
        <v>-261024.1723441961</v>
      </c>
      <c r="Q722">
        <f>'_live'!$C$23</f>
        <v/>
      </c>
      <c r="R722" t="inlineStr">
        <is>
          <t>shuffled: 5 of 10,000</t>
        </is>
      </c>
      <c r="S722" t="inlineStr">
        <is>
          <t>shuffled: 50 of 10,000</t>
        </is>
      </c>
      <c r="T722" t="n">
        <v>0.1267029257890303</v>
      </c>
      <c r="U722" t="n">
        <v>0.1368018418890651</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0.1738554191758612</v>
      </c>
      <c r="AI722">
        <f>IF($Y722="worse","Yes",IF($Y722="worse, not significant","Not sure",IF(OR($Y722="too few losses to test",$Y722="too few loans to test"),"Too few losses",IF($Y722="","","No"))))</f>
        <v/>
      </c>
      <c r="AJ722">
        <f>IF($AA722="yes","Yes",IF($AA722="","","No"))</f>
        <v/>
      </c>
      <c r="AK722" t="n">
        <v>0.0006665721616466547</v>
      </c>
      <c r="AL722" t="n">
        <v>0.008547408240624273</v>
      </c>
      <c r="AM722">
        <f>IF(AND(ISNUMBER($AC722),ISNUMBER(IF($V722,IF($AL722="","",$AL722),IF($AK722="","",$AK722)))),IF(AND(ABS($AC722-significance_bar)&lt;=2.0*IF($V722,IF($AL722="","",$AL722),IF($AK722="","",$AK722)),OR($Y722="worse",$Y722="better",$Y722="worse, not significant",$Y722="better, not significant",AND(profit_kind="test",$Y722="in line",ISNUMBER($AB722),$AB722&lt;&gt;0))),IF(ROUND($AC722,3)=ROUND(significance_bar,3),TEXT($AC722,"0.0000"),TEXT($AC722,"0.000")),""),"")</f>
        <v/>
      </c>
      <c r="AN722">
        <f>IF(AND(ISNUMBER($AC722),ISNUMBER(IF($V722,IF($AL722="","",$AL722),IF($AK722="","",$AK722)))),IF(AND(ABS($AC722-significance_bar)&lt;=2.0*IF($V722,IF($AL722="","",$AL722),IF($AK722="","",$AK722)),OR($Y722="worse",$Y722="worse, not significant",AND(profit_kind="test",$Y722="in line",ISNUMBER($AB722),$AB722&lt;0))),IF(ROUND($AC722,3)=ROUND(significance_bar,3),TEXT($AC722,"0.0000"),TEXT($AC722,"0.000")),""),"")</f>
        <v/>
      </c>
      <c r="AO722">
        <f>IF(OR($AI722="",$AN722=""),$AI722,$AI722&amp;" · borderline (p "&amp;$AN722&amp;")")</f>
        <v/>
      </c>
    </row>
    <row r="723">
      <c r="A723" t="inlineStr">
        <is>
          <t>three-way</t>
        </is>
      </c>
      <c r="B723" t="inlineStr">
        <is>
          <t>FICO x ASSET_CLASS / SYS_FLAG</t>
        </is>
      </c>
      <c r="C723" t="inlineStr">
        <is>
          <t>686 - 711</t>
        </is>
      </c>
      <c r="D723" t="inlineStr">
        <is>
          <t>2 / SYS_FLAG N</t>
        </is>
      </c>
      <c r="E723" t="inlineStr">
        <is>
          <t>contribution_rate</t>
        </is>
      </c>
      <c r="F723" t="inlineStr">
        <is>
          <t>Contribution before losses per booked dollar</t>
        </is>
      </c>
      <c r="G723" t="n">
        <v>216</v>
      </c>
      <c r="H723" t="n">
        <v>7044506.669999999</v>
      </c>
      <c r="I723" t="b">
        <v>0</v>
      </c>
      <c r="J723" t="b">
        <v>0</v>
      </c>
      <c r="K723" t="n">
        <v>0.01325698485197663</v>
      </c>
      <c r="L723" t="n">
        <v>0.2049395060493951</v>
      </c>
      <c r="M723" t="n">
        <v>0.01050471161210145</v>
      </c>
      <c r="N723" t="n">
        <v>0.6095390460953904</v>
      </c>
      <c r="O723" t="n">
        <v>-93388.91821383825</v>
      </c>
      <c r="P723" t="n">
        <v>-74000.51101787505</v>
      </c>
      <c r="Q723">
        <f>'_live'!$C$24</f>
        <v/>
      </c>
      <c r="R723" t="inlineStr">
        <is>
          <t>shuffled: 1,463 of 10,000</t>
        </is>
      </c>
      <c r="S723" t="inlineStr">
        <is>
          <t>shuffled: 1,523 of 10,000</t>
        </is>
      </c>
      <c r="T723" t="n">
        <v>0.1692305235316304</v>
      </c>
      <c r="U723" t="n">
        <v>0.1719827967715056</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0.182487508383607</v>
      </c>
      <c r="AI723">
        <f>IF($Y723="worse","Yes",IF($Y723="worse, not significant","Not sure",IF(OR($Y723="too few losses to test",$Y723="too few loans to test"),"Too few losses",IF($Y723="","","No"))))</f>
        <v/>
      </c>
      <c r="AJ723">
        <f>IF($AA723="yes","Yes",IF($AA723="","","No"))</f>
        <v/>
      </c>
      <c r="AK723" t="n">
        <v>0.004948889848535558</v>
      </c>
      <c r="AL723" t="n">
        <v>0.0143757376703482</v>
      </c>
      <c r="AM723">
        <f>IF(AND(ISNUMBER($AC723),ISNUMBER(IF($V723,IF($AL723="","",$AL723),IF($AK723="","",$AK723)))),IF(AND(ABS($AC723-significance_bar)&lt;=2.0*IF($V723,IF($AL723="","",$AL723),IF($AK723="","",$AK723)),OR($Y723="worse",$Y723="better",$Y723="worse, not significant",$Y723="better, not significant",AND(profit_kind="test",$Y723="in line",ISNUMBER($AB723),$AB723&lt;&gt;0))),IF(ROUND($AC723,3)=ROUND(significance_bar,3),TEXT($AC723,"0.0000"),TEXT($AC723,"0.000")),""),"")</f>
        <v/>
      </c>
      <c r="AN723">
        <f>IF(AND(ISNUMBER($AC723),ISNUMBER(IF($V723,IF($AL723="","",$AL723),IF($AK723="","",$AK723)))),IF(AND(ABS($AC723-significance_bar)&lt;=2.0*IF($V723,IF($AL723="","",$AL723),IF($AK723="","",$AK723)),OR($Y723="worse",$Y723="worse, not significant",AND(profit_kind="test",$Y723="in line",ISNUMBER($AB723),$AB723&lt;0))),IF(ROUND($AC723,3)=ROUND(significance_bar,3),TEXT($AC723,"0.0000"),TEXT($AC723,"0.000")),""),"")</f>
        <v/>
      </c>
      <c r="AO723">
        <f>IF(OR($AI723="",$AN723=""),$AI723,$AI723&amp;" · borderline (p "&amp;$AN723&amp;")")</f>
        <v/>
      </c>
    </row>
    <row r="724">
      <c r="A724" t="inlineStr">
        <is>
          <t>three-way</t>
        </is>
      </c>
      <c r="B724" t="inlineStr">
        <is>
          <t>FICO x ASSET_CLASS / SYS_FLAG</t>
        </is>
      </c>
      <c r="C724" t="inlineStr">
        <is>
          <t>746 - 921</t>
        </is>
      </c>
      <c r="D724" t="inlineStr">
        <is>
          <t>1 / SYS_FLAG Y</t>
        </is>
      </c>
      <c r="E724" t="inlineStr">
        <is>
          <t>outcome_loans</t>
        </is>
      </c>
      <c r="F724" t="inlineStr">
        <is>
          <t>Outcome, share of loans</t>
        </is>
      </c>
      <c r="G724" t="n">
        <v>183</v>
      </c>
      <c r="H724" t="n">
        <v>183</v>
      </c>
      <c r="I724" t="b">
        <v>0</v>
      </c>
      <c r="J724" t="b">
        <v>0</v>
      </c>
      <c r="K724" t="n">
        <v>0.7727207362668967</v>
      </c>
      <c r="L724" t="n">
        <v>0.563854801876237</v>
      </c>
      <c r="M724" t="n">
        <v>1.635915568413158</v>
      </c>
      <c r="N724" t="n">
        <v>0.3538064683800896</v>
      </c>
      <c r="O724" t="n">
        <v>-3.235414534288637</v>
      </c>
      <c r="P724" t="n">
        <v>4.275936599423631</v>
      </c>
      <c r="Q724">
        <f>'_live'!$C$20</f>
        <v/>
      </c>
      <c r="R724" t="inlineStr">
        <is>
          <t>z test</t>
        </is>
      </c>
      <c r="S724" t="inlineStr">
        <is>
          <t>z test</t>
        </is>
      </c>
      <c r="T724" t="n">
        <v>0.07778915046059365</v>
      </c>
      <c r="U724" t="n">
        <v>0.03674351585014409</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0.06010928961748634</v>
      </c>
      <c r="AI724">
        <f>IF($Y724="worse","Yes",IF($Y724="worse, not significant","Not sure",IF(OR($Y724="too few losses to test",$Y724="too few loans to test"),"Too few losses",IF($Y724="","","No"))))</f>
        <v/>
      </c>
      <c r="AJ724">
        <f>IF($AA724="yes","Yes",IF($AA724="","","No"))</f>
        <v/>
      </c>
      <c r="AM724">
        <f>IF(AND(ISNUMBER($AC724),ISNUMBER(IF($V724,IF($AL724="","",$AL724),IF($AK724="","",$AK724)))),IF(AND(ABS($AC724-significance_bar)&lt;=2.0*IF($V724,IF($AL724="","",$AL724),IF($AK724="","",$AK724)),OR($Y724="worse",$Y724="better",$Y724="worse, not significant",$Y724="better, not significant")),IF(ROUND($AC724,3)=ROUND(significance_bar,3),TEXT($AC724,"0.0000"),TEXT($AC724,"0.000")),""),"")</f>
        <v/>
      </c>
      <c r="AN724">
        <f>IF(AND(ISNUMBER($AC724),ISNUMBER(IF($V724,IF($AL724="","",$AL724),IF($AK724="","",$AK724)))),IF(AND(ABS($AC724-significance_bar)&lt;=2.0*IF($V724,IF($AL724="","",$AL724),IF($AK724="","",$AK724)),OR($Y724="worse",$Y724="worse, not significant")),IF(ROUND($AC724,3)=ROUND(significance_bar,3),TEXT($AC724,"0.0000"),TEXT($AC724,"0.000")),""),"")</f>
        <v/>
      </c>
      <c r="AO724">
        <f>IF(OR($AI724="",$AN724=""),$AI724,$AI724&amp;" · borderline (p "&amp;$AN724&amp;")")</f>
        <v/>
      </c>
    </row>
    <row r="725">
      <c r="A725" t="inlineStr">
        <is>
          <t>three-way</t>
        </is>
      </c>
      <c r="B725" t="inlineStr">
        <is>
          <t>FICO x ASSET_CLASS / SYS_FLAG</t>
        </is>
      </c>
      <c r="C725" t="inlineStr">
        <is>
          <t>746 - 921</t>
        </is>
      </c>
      <c r="D725" t="inlineStr">
        <is>
          <t>1 / SYS_FLAG Y</t>
        </is>
      </c>
      <c r="E725" t="inlineStr">
        <is>
          <t>outcome_booked</t>
        </is>
      </c>
      <c r="F725" t="inlineStr">
        <is>
          <t>Outcome, share of booked dollars</t>
        </is>
      </c>
      <c r="G725" t="n">
        <v>183</v>
      </c>
      <c r="H725" t="n">
        <v>5999485.120000003</v>
      </c>
      <c r="I725" t="b">
        <v>0</v>
      </c>
      <c r="J725" t="b">
        <v>0</v>
      </c>
      <c r="K725" t="n">
        <v>0.7020289060889486</v>
      </c>
      <c r="L725" t="n">
        <v>0.4745969847459698</v>
      </c>
      <c r="M725" t="n">
        <v>1.526000150101828</v>
      </c>
      <c r="N725" t="n">
        <v>0.5657034296570344</v>
      </c>
      <c r="O725" t="n">
        <v>-134702.7960128641</v>
      </c>
      <c r="P725" t="n">
        <v>109392.8057515304</v>
      </c>
      <c r="Q725">
        <f>'_live'!$C$21</f>
        <v/>
      </c>
      <c r="R725" t="inlineStr">
        <is>
          <t>shuffled: 3,047 of 10,000</t>
        </is>
      </c>
      <c r="S725" t="inlineStr">
        <is>
          <t>shuffled: 2,549 of 10,000</t>
        </is>
      </c>
      <c r="T725" t="n">
        <v>0.07535090878146289</v>
      </c>
      <c r="U725" t="n">
        <v>0.0346648170782478</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0.05289851606465854</v>
      </c>
      <c r="AI725">
        <f>IF($Y725="worse","Yes",IF($Y725="worse, not significant","Not sure",IF(OR($Y725="too few losses to test",$Y725="too few loans to test"),"Too few losses",IF($Y725="","","No"))))</f>
        <v/>
      </c>
      <c r="AJ725">
        <f>IF($AA725="yes","Yes",IF($AA725="","","No"))</f>
        <v/>
      </c>
      <c r="AK725" t="n">
        <v>0.006784443087213825</v>
      </c>
      <c r="AL725" t="n">
        <v>0.00812731346189991</v>
      </c>
      <c r="AM725">
        <f>IF(AND(ISNUMBER($AC725),ISNUMBER(IF($V725,IF($AL725="","",$AL725),IF($AK725="","",$AK725)))),IF(AND(ABS($AC725-significance_bar)&lt;=2.0*IF($V725,IF($AL725="","",$AL725),IF($AK725="","",$AK725)),OR($Y725="worse",$Y725="better",$Y725="worse, not significant",$Y725="better, not significant")),IF(ROUND($AC725,3)=ROUND(significance_bar,3),TEXT($AC725,"0.0000"),TEXT($AC725,"0.000")),""),"")</f>
        <v/>
      </c>
      <c r="AN725">
        <f>IF(AND(ISNUMBER($AC725),ISNUMBER(IF($V725,IF($AL725="","",$AL725),IF($AK725="","",$AK725)))),IF(AND(ABS($AC725-significance_bar)&lt;=2.0*IF($V725,IF($AL725="","",$AL725),IF($AK725="","",$AK725)),OR($Y725="worse",$Y725="worse, not significant")),IF(ROUND($AC725,3)=ROUND(significance_bar,3),TEXT($AC725,"0.0000"),TEXT($AC725,"0.000")),""),"")</f>
        <v/>
      </c>
      <c r="AO725">
        <f>IF(OR($AI725="",$AN725=""),$AI725,$AI725&amp;" · borderline (p "&amp;$AN725&amp;")")</f>
        <v/>
      </c>
    </row>
    <row r="726">
      <c r="A726" t="inlineStr">
        <is>
          <t>three-way</t>
        </is>
      </c>
      <c r="B726" t="inlineStr">
        <is>
          <t>FICO x ASSET_CLASS / SYS_FLAG</t>
        </is>
      </c>
      <c r="C726" t="inlineStr">
        <is>
          <t>746 - 921</t>
        </is>
      </c>
      <c r="D726" t="inlineStr">
        <is>
          <t>1 / SYS_FLAG Y</t>
        </is>
      </c>
      <c r="E726" t="inlineStr">
        <is>
          <t>gco_rate</t>
        </is>
      </c>
      <c r="F726" t="inlineStr">
        <is>
          <t>GCO per booked dollar</t>
        </is>
      </c>
      <c r="G726" t="n">
        <v>183</v>
      </c>
      <c r="H726" t="n">
        <v>5999485.120000003</v>
      </c>
      <c r="I726" t="b">
        <v>0</v>
      </c>
      <c r="J726" t="b">
        <v>0</v>
      </c>
      <c r="K726" t="n">
        <v>0.6051113422279496</v>
      </c>
      <c r="L726" t="n">
        <v>0.3444655534446555</v>
      </c>
      <c r="M726" t="n">
        <v>1.36609607492471</v>
      </c>
      <c r="N726" t="n">
        <v>0.6916933306669333</v>
      </c>
      <c r="O726" t="n">
        <v>-99481.63017382941</v>
      </c>
      <c r="P726" t="n">
        <v>40852.3793462178</v>
      </c>
      <c r="Q726">
        <f>'_live'!$C$22</f>
        <v/>
      </c>
      <c r="R726" t="inlineStr">
        <is>
          <t>shuffled: 1,854 of 10,000</t>
        </is>
      </c>
      <c r="S726" t="inlineStr">
        <is>
          <t>shuffled: 4,256 of 10,000</t>
        </is>
      </c>
      <c r="T726" t="n">
        <v>0.04199081006701944</v>
      </c>
      <c r="U726" t="n">
        <v>0.01859980121990571</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0.02540911544089303</v>
      </c>
      <c r="AI726">
        <f>IF($Y726="worse","Yes",IF($Y726="worse, not significant","Not sure",IF(OR($Y726="too few losses to test",$Y726="too few loans to test"),"Too few losses",IF($Y726="","","No"))))</f>
        <v/>
      </c>
      <c r="AJ726">
        <f>IF($AA726="yes","Yes",IF($AA726="","","No"))</f>
        <v/>
      </c>
      <c r="AK726" t="n">
        <v>0.007218484775917799</v>
      </c>
      <c r="AL726" t="n">
        <v>0.008034687291019178</v>
      </c>
      <c r="AM726">
        <f>IF(AND(ISNUMBER($AC726),ISNUMBER(IF($V726,IF($AL726="","",$AL726),IF($AK726="","",$AK726)))),IF(AND(ABS($AC726-significance_bar)&lt;=2.0*IF($V726,IF($AL726="","",$AL726),IF($AK726="","",$AK726)),OR($Y726="worse",$Y726="better",$Y726="worse, not significant",$Y726="better, not significant")),IF(ROUND($AC726,3)=ROUND(significance_bar,3),TEXT($AC726,"0.0000"),TEXT($AC726,"0.000")),""),"")</f>
        <v/>
      </c>
      <c r="AN726">
        <f>IF(AND(ISNUMBER($AC726),ISNUMBER(IF($V726,IF($AL726="","",$AL726),IF($AK726="","",$AK726)))),IF(AND(ABS($AC726-significance_bar)&lt;=2.0*IF($V726,IF($AL726="","",$AL726),IF($AK726="","",$AK726)),OR($Y726="worse",$Y726="worse, not significant")),IF(ROUND($AC726,3)=ROUND(significance_bar,3),TEXT($AC726,"0.0000"),TEXT($AC726,"0.000")),""),"")</f>
        <v/>
      </c>
      <c r="AO726">
        <f>IF(OR($AI726="",$AN726=""),$AI726,$AI726&amp;" · borderline (p "&amp;$AN726&amp;")")</f>
        <v/>
      </c>
    </row>
    <row r="727">
      <c r="A727" t="inlineStr">
        <is>
          <t>three-way</t>
        </is>
      </c>
      <c r="B727" t="inlineStr">
        <is>
          <t>FICO x ASSET_CLASS / SYS_FLAG</t>
        </is>
      </c>
      <c r="C727" t="inlineStr">
        <is>
          <t>746 - 921</t>
        </is>
      </c>
      <c r="D727" t="inlineStr">
        <is>
          <t>1 / SYS_FLAG Y</t>
        </is>
      </c>
      <c r="E727" t="inlineStr">
        <is>
          <t>ranr_rate</t>
        </is>
      </c>
      <c r="F727" t="inlineStr">
        <is>
          <t>Profit after losses: RANR per booked dollar</t>
        </is>
      </c>
      <c r="G727" t="n">
        <v>183</v>
      </c>
      <c r="H727" t="n">
        <v>5999485.120000003</v>
      </c>
      <c r="I727" t="b">
        <v>0</v>
      </c>
      <c r="J727" t="b">
        <v>0</v>
      </c>
      <c r="K727" t="n">
        <v>-0.08944483753323812</v>
      </c>
      <c r="L727" t="n">
        <v>0.0003768853883842385</v>
      </c>
      <c r="M727" t="n">
        <v>-0.006943275563182999</v>
      </c>
      <c r="N727" t="n">
        <v>0.7878323278783234</v>
      </c>
      <c r="O727" t="n">
        <v>536622.9718414799</v>
      </c>
      <c r="P727" t="n">
        <v>41656.07842537604</v>
      </c>
      <c r="Q727">
        <f>'_live'!$C$23</f>
        <v/>
      </c>
      <c r="R727" t="inlineStr">
        <is>
          <t>shuffled: 0 of 10,000</t>
        </is>
      </c>
      <c r="S727" t="inlineStr">
        <is>
          <t>shuffled: 4,431 of 10,000</t>
        </is>
      </c>
      <c r="T727" t="n">
        <v>0.1300694319984378</v>
      </c>
      <c r="U727" t="n">
        <v>0.04756787002838269</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0.04062459446519969</v>
      </c>
      <c r="AI727">
        <f>IF($Y727="worse","Yes",IF($Y727="worse, not significant","Not sure",IF(OR($Y727="too few losses to test",$Y727="too few loans to test"),"Too few losses",IF($Y727="","","No"))))</f>
        <v/>
      </c>
      <c r="AJ727">
        <f>IF($AA727="yes","Yes",IF($AA727="","","No"))</f>
        <v/>
      </c>
      <c r="AK727" t="n">
        <v>0.0003768853883842385</v>
      </c>
      <c r="AL727" t="n">
        <v>0.008831257148712414</v>
      </c>
      <c r="AM727">
        <f>IF(AND(ISNUMBER($AC727),ISNUMBER(IF($V727,IF($AL727="","",$AL727),IF($AK727="","",$AK727)))),IF(AND(ABS($AC727-significance_bar)&lt;=2.0*IF($V727,IF($AL727="","",$AL727),IF($AK727="","",$AK727)),OR($Y727="worse",$Y727="better",$Y727="worse, not significant",$Y727="better, not significant",AND(profit_kind="test",$Y727="in line",ISNUMBER($AB727),$AB727&lt;&gt;0))),IF(ROUND($AC727,3)=ROUND(significance_bar,3),TEXT($AC727,"0.0000"),TEXT($AC727,"0.000")),""),"")</f>
        <v/>
      </c>
      <c r="AN727">
        <f>IF(AND(ISNUMBER($AC727),ISNUMBER(IF($V727,IF($AL727="","",$AL727),IF($AK727="","",$AK727)))),IF(AND(ABS($AC727-significance_bar)&lt;=2.0*IF($V727,IF($AL727="","",$AL727),IF($AK727="","",$AK727)),OR($Y727="worse",$Y727="worse, not significant",AND(profit_kind="test",$Y727="in line",ISNUMBER($AB727),$AB727&lt;0))),IF(ROUND($AC727,3)=ROUND(significance_bar,3),TEXT($AC727,"0.0000"),TEXT($AC727,"0.000")),""),"")</f>
        <v/>
      </c>
      <c r="AO727">
        <f>IF(OR($AI727="",$AN727=""),$AI727,$AI727&amp;" · borderline (p "&amp;$AN727&amp;")")</f>
        <v/>
      </c>
    </row>
    <row r="728">
      <c r="A728" t="inlineStr">
        <is>
          <t>three-way</t>
        </is>
      </c>
      <c r="B728" t="inlineStr">
        <is>
          <t>FICO x ASSET_CLASS / SYS_FLAG</t>
        </is>
      </c>
      <c r="C728" t="inlineStr">
        <is>
          <t>746 - 921</t>
        </is>
      </c>
      <c r="D728" t="inlineStr">
        <is>
          <t>1 / SYS_FLAG Y</t>
        </is>
      </c>
      <c r="E728" t="inlineStr">
        <is>
          <t>contribution_rate</t>
        </is>
      </c>
      <c r="F728" t="inlineStr">
        <is>
          <t>Contribution before losses per booked dollar</t>
        </is>
      </c>
      <c r="G728" t="n">
        <v>183</v>
      </c>
      <c r="H728" t="n">
        <v>5999485.120000003</v>
      </c>
      <c r="I728" t="b">
        <v>0</v>
      </c>
      <c r="J728" t="b">
        <v>0</v>
      </c>
      <c r="K728" t="n">
        <v>-0.1060239322680348</v>
      </c>
      <c r="L728" t="n">
        <v>0.0001814633351479667</v>
      </c>
      <c r="M728" t="n">
        <v>-0.0001339613421957042</v>
      </c>
      <c r="N728" t="n">
        <v>0.9799190293736585</v>
      </c>
      <c r="O728" t="n">
        <v>636089.0040059632</v>
      </c>
      <c r="P728" t="n">
        <v>803.6990791583085</v>
      </c>
      <c r="Q728">
        <f>'_live'!$C$24</f>
        <v/>
      </c>
      <c r="R728" t="inlineStr">
        <is>
          <t>shuffled: 0 of 10,000</t>
        </is>
      </c>
      <c r="S728" t="inlineStr">
        <is>
          <t>shuffled: 9,595 of 10,000</t>
        </is>
      </c>
      <c r="T728" t="n">
        <v>0.1720576421741275</v>
      </c>
      <c r="U728" t="n">
        <v>0.0661676712482884</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0.0660337099060927</v>
      </c>
      <c r="AI728">
        <f>IF($Y728="worse","Yes",IF($Y728="worse, not significant","Not sure",IF(OR($Y728="too few losses to test",$Y728="too few loans to test"),"Too few losses",IF($Y728="","","No"))))</f>
        <v/>
      </c>
      <c r="AJ728">
        <f>IF($AA728="yes","Yes",IF($AA728="","","No"))</f>
        <v/>
      </c>
      <c r="AK728" t="n">
        <v>0.0001814633351479667</v>
      </c>
      <c r="AL728" t="n">
        <v>0.002013133534953629</v>
      </c>
      <c r="AM728">
        <f>IF(AND(ISNUMBER($AC728),ISNUMBER(IF($V728,IF($AL728="","",$AL728),IF($AK728="","",$AK728)))),IF(AND(ABS($AC728-significance_bar)&lt;=2.0*IF($V728,IF($AL728="","",$AL728),IF($AK728="","",$AK728)),OR($Y728="worse",$Y728="better",$Y728="worse, not significant",$Y728="better, not significant",AND(profit_kind="test",$Y728="in line",ISNUMBER($AB728),$AB728&lt;&gt;0))),IF(ROUND($AC728,3)=ROUND(significance_bar,3),TEXT($AC728,"0.0000"),TEXT($AC728,"0.000")),""),"")</f>
        <v/>
      </c>
      <c r="AN728">
        <f>IF(AND(ISNUMBER($AC728),ISNUMBER(IF($V728,IF($AL728="","",$AL728),IF($AK728="","",$AK728)))),IF(AND(ABS($AC728-significance_bar)&lt;=2.0*IF($V728,IF($AL728="","",$AL728),IF($AK728="","",$AK728)),OR($Y728="worse",$Y728="worse, not significant",AND(profit_kind="test",$Y728="in line",ISNUMBER($AB728),$AB728&lt;0))),IF(ROUND($AC728,3)=ROUND(significance_bar,3),TEXT($AC728,"0.0000"),TEXT($AC728,"0.000")),""),"")</f>
        <v/>
      </c>
      <c r="AO728">
        <f>IF(OR($AI728="",$AN728=""),$AI728,$AI728&amp;" · borderline (p "&amp;$AN728&amp;")")</f>
        <v/>
      </c>
    </row>
    <row r="729">
      <c r="A729" t="inlineStr">
        <is>
          <t>three-way</t>
        </is>
      </c>
      <c r="B729" t="inlineStr">
        <is>
          <t>FICO x ASSET_CLASS / SYS_FLAG</t>
        </is>
      </c>
      <c r="C729" t="inlineStr">
        <is>
          <t>712 - 745</t>
        </is>
      </c>
      <c r="D729" t="inlineStr">
        <is>
          <t>1 / SYS_FLAG Y</t>
        </is>
      </c>
      <c r="E729" t="inlineStr">
        <is>
          <t>outcome_loans</t>
        </is>
      </c>
      <c r="F729" t="inlineStr">
        <is>
          <t>Outcome, share of loans</t>
        </is>
      </c>
      <c r="G729" t="n">
        <v>167</v>
      </c>
      <c r="H729" t="n">
        <v>167</v>
      </c>
      <c r="I729" t="b">
        <v>1</v>
      </c>
      <c r="J729" t="b">
        <v>0</v>
      </c>
      <c r="K729" t="n">
        <v>0.614051765536031</v>
      </c>
      <c r="M729" t="n">
        <v>0.8756158568938074</v>
      </c>
      <c r="O729" t="n">
        <v>-5.028217568947907</v>
      </c>
      <c r="P729" t="n">
        <v>-1.136426592797784</v>
      </c>
      <c r="Q729">
        <f>'_live'!$C$20</f>
        <v/>
      </c>
      <c r="T729" t="n">
        <v>0.07801327885597549</v>
      </c>
      <c r="U729" t="n">
        <v>0.05470914127423823</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0.04790419161676647</v>
      </c>
      <c r="AI729">
        <f>IF($Y729="worse","Yes",IF($Y729="worse, not significant","Not sure",IF(OR($Y729="too few losses to test",$Y729="too few loans to test"),"Too few losses",IF($Y729="","","No"))))</f>
        <v/>
      </c>
      <c r="AJ729">
        <f>IF($AA729="yes","Yes",IF($AA729="","","No"))</f>
        <v/>
      </c>
      <c r="AM729">
        <f>IF(AND(ISNUMBER($AC729),ISNUMBER(IF($V729,IF($AL729="","",$AL729),IF($AK729="","",$AK729)))),IF(AND(ABS($AC729-significance_bar)&lt;=2.0*IF($V729,IF($AL729="","",$AL729),IF($AK729="","",$AK729)),OR($Y729="worse",$Y729="better",$Y729="worse, not significant",$Y729="better, not significant")),IF(ROUND($AC729,3)=ROUND(significance_bar,3),TEXT($AC729,"0.0000"),TEXT($AC729,"0.000")),""),"")</f>
        <v/>
      </c>
      <c r="AN729">
        <f>IF(AND(ISNUMBER($AC729),ISNUMBER(IF($V729,IF($AL729="","",$AL729),IF($AK729="","",$AK729)))),IF(AND(ABS($AC729-significance_bar)&lt;=2.0*IF($V729,IF($AL729="","",$AL729),IF($AK729="","",$AK729)),OR($Y729="worse",$Y729="worse, not significant")),IF(ROUND($AC729,3)=ROUND(significance_bar,3),TEXT($AC729,"0.0000"),TEXT($AC729,"0.000")),""),"")</f>
        <v/>
      </c>
      <c r="AO729">
        <f>IF(OR($AI729="",$AN729=""),$AI729,$AI729&amp;" · borderline (p "&amp;$AN729&amp;")")</f>
        <v/>
      </c>
    </row>
    <row r="730">
      <c r="A730" t="inlineStr">
        <is>
          <t>three-way</t>
        </is>
      </c>
      <c r="B730" t="inlineStr">
        <is>
          <t>FICO x ASSET_CLASS / SYS_FLAG</t>
        </is>
      </c>
      <c r="C730" t="inlineStr">
        <is>
          <t>712 - 745</t>
        </is>
      </c>
      <c r="D730" t="inlineStr">
        <is>
          <t>1 / SYS_FLAG Y</t>
        </is>
      </c>
      <c r="E730" t="inlineStr">
        <is>
          <t>outcome_booked</t>
        </is>
      </c>
      <c r="F730" t="inlineStr">
        <is>
          <t>Outcome, share of booked dollars</t>
        </is>
      </c>
      <c r="G730" t="n">
        <v>167</v>
      </c>
      <c r="H730" t="n">
        <v>5418888.979999998</v>
      </c>
      <c r="I730" t="b">
        <v>1</v>
      </c>
      <c r="J730" t="b">
        <v>0</v>
      </c>
      <c r="K730" t="n">
        <v>0.7260914570685971</v>
      </c>
      <c r="M730" t="n">
        <v>1.002656953952929</v>
      </c>
      <c r="O730" t="n">
        <v>-111709.5813720694</v>
      </c>
      <c r="P730" t="n">
        <v>784.7075501992949</v>
      </c>
      <c r="Q730">
        <f>'_live'!$C$21</f>
        <v/>
      </c>
      <c r="T730" t="n">
        <v>0.07526179865970783</v>
      </c>
      <c r="U730" t="n">
        <v>0.05450213937577308</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0.05464694905043065</v>
      </c>
      <c r="AI730">
        <f>IF($Y730="worse","Yes",IF($Y730="worse, not significant","Not sure",IF(OR($Y730="too few losses to test",$Y730="too few loans to test"),"Too few losses",IF($Y730="","","No"))))</f>
        <v/>
      </c>
      <c r="AJ730">
        <f>IF($AA730="yes","Yes",IF($AA730="","","No"))</f>
        <v/>
      </c>
      <c r="AM730">
        <f>IF(AND(ISNUMBER($AC730),ISNUMBER(IF($V730,IF($AL730="","",$AL730),IF($AK730="","",$AK730)))),IF(AND(ABS($AC730-significance_bar)&lt;=2.0*IF($V730,IF($AL730="","",$AL730),IF($AK730="","",$AK730)),OR($Y730="worse",$Y730="better",$Y730="worse, not significant",$Y730="better, not significant")),IF(ROUND($AC730,3)=ROUND(significance_bar,3),TEXT($AC730,"0.0000"),TEXT($AC730,"0.000")),""),"")</f>
        <v/>
      </c>
      <c r="AN730">
        <f>IF(AND(ISNUMBER($AC730),ISNUMBER(IF($V730,IF($AL730="","",$AL730),IF($AK730="","",$AK730)))),IF(AND(ABS($AC730-significance_bar)&lt;=2.0*IF($V730,IF($AL730="","",$AL730),IF($AK730="","",$AK730)),OR($Y730="worse",$Y730="worse, not significant")),IF(ROUND($AC730,3)=ROUND(significance_bar,3),TEXT($AC730,"0.0000"),TEXT($AC730,"0.000")),""),"")</f>
        <v/>
      </c>
      <c r="AO730">
        <f>IF(OR($AI730="",$AN730=""),$AI730,$AI730&amp;" · borderline (p "&amp;$AN730&amp;")")</f>
        <v/>
      </c>
    </row>
    <row r="731">
      <c r="A731" t="inlineStr">
        <is>
          <t>three-way</t>
        </is>
      </c>
      <c r="B731" t="inlineStr">
        <is>
          <t>FICO x ASSET_CLASS / SYS_FLAG</t>
        </is>
      </c>
      <c r="C731" t="inlineStr">
        <is>
          <t>712 - 745</t>
        </is>
      </c>
      <c r="D731" t="inlineStr">
        <is>
          <t>1 / SYS_FLAG Y</t>
        </is>
      </c>
      <c r="E731" t="inlineStr">
        <is>
          <t>gco_rate</t>
        </is>
      </c>
      <c r="F731" t="inlineStr">
        <is>
          <t>GCO per booked dollar</t>
        </is>
      </c>
      <c r="G731" t="n">
        <v>167</v>
      </c>
      <c r="H731" t="n">
        <v>5418888.979999998</v>
      </c>
      <c r="I731" t="b">
        <v>1</v>
      </c>
      <c r="J731" t="b">
        <v>0</v>
      </c>
      <c r="K731" t="n">
        <v>0.7422387489993825</v>
      </c>
      <c r="M731" t="n">
        <v>1.029112224094525</v>
      </c>
      <c r="O731" t="n">
        <v>-58429.68167408582</v>
      </c>
      <c r="P731" t="n">
        <v>4759.618690992647</v>
      </c>
      <c r="Q731">
        <f>'_live'!$C$22</f>
        <v/>
      </c>
      <c r="T731" t="n">
        <v>0.04183171172369837</v>
      </c>
      <c r="U731" t="n">
        <v>0.03017077890180496</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0.03104911737830068</v>
      </c>
      <c r="AI731">
        <f>IF($Y731="worse","Yes",IF($Y731="worse, not significant","Not sure",IF(OR($Y731="too few losses to test",$Y731="too few loans to test"),"Too few losses",IF($Y731="","","No"))))</f>
        <v/>
      </c>
      <c r="AJ731">
        <f>IF($AA731="yes","Yes",IF($AA731="","","No"))</f>
        <v/>
      </c>
      <c r="AM731">
        <f>IF(AND(ISNUMBER($AC731),ISNUMBER(IF($V731,IF($AL731="","",$AL731),IF($AK731="","",$AK731)))),IF(AND(ABS($AC731-significance_bar)&lt;=2.0*IF($V731,IF($AL731="","",$AL731),IF($AK731="","",$AK731)),OR($Y731="worse",$Y731="better",$Y731="worse, not significant",$Y731="better, not significant")),IF(ROUND($AC731,3)=ROUND(significance_bar,3),TEXT($AC731,"0.0000"),TEXT($AC731,"0.000")),""),"")</f>
        <v/>
      </c>
      <c r="AN731">
        <f>IF(AND(ISNUMBER($AC731),ISNUMBER(IF($V731,IF($AL731="","",$AL731),IF($AK731="","",$AK731)))),IF(AND(ABS($AC731-significance_bar)&lt;=2.0*IF($V731,IF($AL731="","",$AL731),IF($AK731="","",$AK731)),OR($Y731="worse",$Y731="worse, not significant")),IF(ROUND($AC731,3)=ROUND(significance_bar,3),TEXT($AC731,"0.0000"),TEXT($AC731,"0.000")),""),"")</f>
        <v/>
      </c>
      <c r="AO731">
        <f>IF(OR($AI731="",$AN731=""),$AI731,$AI731&amp;" · borderline (p "&amp;$AN731&amp;")")</f>
        <v/>
      </c>
    </row>
    <row r="732">
      <c r="A732" t="inlineStr">
        <is>
          <t>three-way</t>
        </is>
      </c>
      <c r="B732" t="inlineStr">
        <is>
          <t>FICO x ASSET_CLASS / SYS_FLAG</t>
        </is>
      </c>
      <c r="C732" t="inlineStr">
        <is>
          <t>712 - 745</t>
        </is>
      </c>
      <c r="D732" t="inlineStr">
        <is>
          <t>1 / SYS_FLAG Y</t>
        </is>
      </c>
      <c r="E732" t="inlineStr">
        <is>
          <t>ranr_rate</t>
        </is>
      </c>
      <c r="F732" t="inlineStr">
        <is>
          <t>Profit after losses: RANR per booked dollar</t>
        </is>
      </c>
      <c r="G732" t="n">
        <v>167</v>
      </c>
      <c r="H732" t="n">
        <v>5418888.979999998</v>
      </c>
      <c r="I732" t="b">
        <v>0</v>
      </c>
      <c r="J732" t="b">
        <v>0</v>
      </c>
      <c r="K732" t="n">
        <v>-0.03777606549219627</v>
      </c>
      <c r="L732" t="n">
        <v>0.03135686431356864</v>
      </c>
      <c r="M732" t="n">
        <v>-0.005550500226713093</v>
      </c>
      <c r="N732" t="n">
        <v>0.8858714128587142</v>
      </c>
      <c r="O732" t="n">
        <v>204704.3050034206</v>
      </c>
      <c r="P732" t="n">
        <v>30077.54451202304</v>
      </c>
      <c r="Q732">
        <f>'_live'!$C$23</f>
        <v/>
      </c>
      <c r="R732" t="inlineStr">
        <is>
          <t>shuffled: 159 of 10,000</t>
        </is>
      </c>
      <c r="S732" t="inlineStr">
        <is>
          <t>shuffled: 6,812 of 10,000</t>
        </is>
      </c>
      <c r="T732" t="n">
        <v>0.1287832667506358</v>
      </c>
      <c r="U732" t="n">
        <v>0.09655770148515261</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0.09100720125843952</v>
      </c>
      <c r="AI732">
        <f>IF($Y732="worse","Yes",IF($Y732="worse, not significant","Not sure",IF(OR($Y732="too few losses to test",$Y732="too few loans to test"),"Too few losses",IF($Y732="","","No"))))</f>
        <v/>
      </c>
      <c r="AJ732">
        <f>IF($AA732="yes","Yes",IF($AA732="","","No"))</f>
        <v/>
      </c>
      <c r="AK732" t="n">
        <v>0.002459190946531298</v>
      </c>
      <c r="AL732" t="n">
        <v>0.005275201752636222</v>
      </c>
      <c r="AM732">
        <f>IF(AND(ISNUMBER($AC732),ISNUMBER(IF($V732,IF($AL732="","",$AL732),IF($AK732="","",$AK732)))),IF(AND(ABS($AC732-significance_bar)&lt;=2.0*IF($V732,IF($AL732="","",$AL732),IF($AK732="","",$AK732)),OR($Y732="worse",$Y732="better",$Y732="worse, not significant",$Y732="better, not significant",AND(profit_kind="test",$Y732="in line",ISNUMBER($AB732),$AB732&lt;&gt;0))),IF(ROUND($AC732,3)=ROUND(significance_bar,3),TEXT($AC732,"0.0000"),TEXT($AC732,"0.000")),""),"")</f>
        <v/>
      </c>
      <c r="AN732">
        <f>IF(AND(ISNUMBER($AC732),ISNUMBER(IF($V732,IF($AL732="","",$AL732),IF($AK732="","",$AK732)))),IF(AND(ABS($AC732-significance_bar)&lt;=2.0*IF($V732,IF($AL732="","",$AL732),IF($AK732="","",$AK732)),OR($Y732="worse",$Y732="worse, not significant",AND(profit_kind="test",$Y732="in line",ISNUMBER($AB732),$AB732&lt;0))),IF(ROUND($AC732,3)=ROUND(significance_bar,3),TEXT($AC732,"0.0000"),TEXT($AC732,"0.000")),""),"")</f>
        <v/>
      </c>
      <c r="AO732">
        <f>IF(OR($AI732="",$AN732=""),$AI732,$AI732&amp;" · borderline (p "&amp;$AN732&amp;")")</f>
        <v/>
      </c>
    </row>
    <row r="733">
      <c r="A733" t="inlineStr">
        <is>
          <t>three-way</t>
        </is>
      </c>
      <c r="B733" t="inlineStr">
        <is>
          <t>FICO x ASSET_CLASS / SYS_FLAG</t>
        </is>
      </c>
      <c r="C733" t="inlineStr">
        <is>
          <t>712 - 745</t>
        </is>
      </c>
      <c r="D733" t="inlineStr">
        <is>
          <t>1 / SYS_FLAG Y</t>
        </is>
      </c>
      <c r="E733" t="inlineStr">
        <is>
          <t>contribution_rate</t>
        </is>
      </c>
      <c r="F733" t="inlineStr">
        <is>
          <t>Contribution before losses per booked dollar</t>
        </is>
      </c>
      <c r="G733" t="n">
        <v>167</v>
      </c>
      <c r="H733" t="n">
        <v>5418888.979999998</v>
      </c>
      <c r="I733" t="b">
        <v>0</v>
      </c>
      <c r="J733" t="b">
        <v>0</v>
      </c>
      <c r="K733" t="n">
        <v>-0.04855586386822744</v>
      </c>
      <c r="L733" t="n">
        <v>0.0001814633351479667</v>
      </c>
      <c r="M733" t="n">
        <v>-0.004628679327084717</v>
      </c>
      <c r="N733" t="n">
        <v>0.937752378608293</v>
      </c>
      <c r="O733" t="n">
        <v>263118.8356299177</v>
      </c>
      <c r="P733" t="n">
        <v>25082.29939749313</v>
      </c>
      <c r="Q733">
        <f>'_live'!$C$24</f>
        <v/>
      </c>
      <c r="R733" t="inlineStr">
        <is>
          <t>shuffled: 0 of 10,000</t>
        </is>
      </c>
      <c r="S733" t="inlineStr">
        <is>
          <t>shuffled: 4,859 of 10,000</t>
        </is>
      </c>
      <c r="T733" t="n">
        <v>0.1706121825049677</v>
      </c>
      <c r="U733" t="n">
        <v>0.126684997963825</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0.1220563186367403</v>
      </c>
      <c r="AI733">
        <f>IF($Y733="worse","Yes",IF($Y733="worse, not significant","Not sure",IF(OR($Y733="too few losses to test",$Y733="too few loans to test"),"Too few losses",IF($Y733="","","No"))))</f>
        <v/>
      </c>
      <c r="AJ733">
        <f>IF($AA733="yes","Yes",IF($AA733="","","No"))</f>
        <v/>
      </c>
      <c r="AK733" t="n">
        <v>0.0001814633351479667</v>
      </c>
      <c r="AL733" t="n">
        <v>0.009229602574987216</v>
      </c>
      <c r="AM733">
        <f>IF(AND(ISNUMBER($AC733),ISNUMBER(IF($V733,IF($AL733="","",$AL733),IF($AK733="","",$AK733)))),IF(AND(ABS($AC733-significance_bar)&lt;=2.0*IF($V733,IF($AL733="","",$AL733),IF($AK733="","",$AK733)),OR($Y733="worse",$Y733="better",$Y733="worse, not significant",$Y733="better, not significant",AND(profit_kind="test",$Y733="in line",ISNUMBER($AB733),$AB733&lt;&gt;0))),IF(ROUND($AC733,3)=ROUND(significance_bar,3),TEXT($AC733,"0.0000"),TEXT($AC733,"0.000")),""),"")</f>
        <v/>
      </c>
      <c r="AN733">
        <f>IF(AND(ISNUMBER($AC733),ISNUMBER(IF($V733,IF($AL733="","",$AL733),IF($AK733="","",$AK733)))),IF(AND(ABS($AC733-significance_bar)&lt;=2.0*IF($V733,IF($AL733="","",$AL733),IF($AK733="","",$AK733)),OR($Y733="worse",$Y733="worse, not significant",AND(profit_kind="test",$Y733="in line",ISNUMBER($AB733),$AB733&lt;0))),IF(ROUND($AC733,3)=ROUND(significance_bar,3),TEXT($AC733,"0.0000"),TEXT($AC733,"0.000")),""),"")</f>
        <v/>
      </c>
      <c r="AO733">
        <f>IF(OR($AI733="",$AN733=""),$AI733,$AI733&amp;" · borderline (p "&amp;$AN733&amp;")")</f>
        <v/>
      </c>
    </row>
    <row r="734">
      <c r="A734" t="inlineStr">
        <is>
          <t>three-way</t>
        </is>
      </c>
      <c r="B734" t="inlineStr">
        <is>
          <t>FICO x ASSET_CLASS / SYS_FLAG</t>
        </is>
      </c>
      <c r="C734" t="inlineStr">
        <is>
          <t>(marked missing)</t>
        </is>
      </c>
      <c r="D734" t="inlineStr">
        <is>
          <t>3 / SYS_FLAG Y</t>
        </is>
      </c>
      <c r="E734" t="inlineStr">
        <is>
          <t>outcome_loans</t>
        </is>
      </c>
      <c r="F734" t="inlineStr">
        <is>
          <t>Outcome, share of loans</t>
        </is>
      </c>
      <c r="G734" t="n">
        <v>22</v>
      </c>
      <c r="H734" t="n">
        <v>22</v>
      </c>
      <c r="I734" t="b">
        <v>1</v>
      </c>
      <c r="J734" t="b">
        <v>0</v>
      </c>
      <c r="K734" t="n">
        <v>1.175335199646383</v>
      </c>
      <c r="M734" t="n">
        <v>1.568181818181818</v>
      </c>
      <c r="O734" t="n">
        <v>0.2983577786135136</v>
      </c>
      <c r="P734" t="n">
        <v>0.7246376811594202</v>
      </c>
      <c r="Q734">
        <f>'_live'!$C$20</f>
        <v/>
      </c>
      <c r="T734" t="n">
        <v>0.07734737369938574</v>
      </c>
      <c r="U734" t="n">
        <v>0.05797101449275362</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0.09090909090909091</v>
      </c>
      <c r="AI734">
        <f>IF($Y734="worse","Yes",IF($Y734="worse, not significant","Not sure",IF(OR($Y734="too few losses to test",$Y734="too few loans to test"),"Too few losses",IF($Y734="","","No"))))</f>
        <v/>
      </c>
      <c r="AJ734">
        <f>IF($AA734="yes","Yes",IF($AA734="","","No"))</f>
        <v/>
      </c>
      <c r="AM734">
        <f>IF(AND(ISNUMBER($AC734),ISNUMBER(IF($V734,IF($AL734="","",$AL734),IF($AK734="","",$AK734)))),IF(AND(ABS($AC734-significance_bar)&lt;=2.0*IF($V734,IF($AL734="","",$AL734),IF($AK734="","",$AK734)),OR($Y734="worse",$Y734="better",$Y734="worse, not significant",$Y734="better, not significant")),IF(ROUND($AC734,3)=ROUND(significance_bar,3),TEXT($AC734,"0.0000"),TEXT($AC734,"0.000")),""),"")</f>
        <v/>
      </c>
      <c r="AN734">
        <f>IF(AND(ISNUMBER($AC734),ISNUMBER(IF($V734,IF($AL734="","",$AL734),IF($AK734="","",$AK734)))),IF(AND(ABS($AC734-significance_bar)&lt;=2.0*IF($V734,IF($AL734="","",$AL734),IF($AK734="","",$AK734)),OR($Y734="worse",$Y734="worse, not significant")),IF(ROUND($AC734,3)=ROUND(significance_bar,3),TEXT($AC734,"0.0000"),TEXT($AC734,"0.000")),""),"")</f>
        <v/>
      </c>
      <c r="AO734">
        <f>IF(OR($AI734="",$AN734=""),$AI734,$AI734&amp;" · borderline (p "&amp;$AN734&amp;")")</f>
        <v/>
      </c>
    </row>
    <row r="735">
      <c r="A735" t="inlineStr">
        <is>
          <t>three-way</t>
        </is>
      </c>
      <c r="B735" t="inlineStr">
        <is>
          <t>FICO x ASSET_CLASS / SYS_FLAG</t>
        </is>
      </c>
      <c r="C735" t="inlineStr">
        <is>
          <t>(marked missing)</t>
        </is>
      </c>
      <c r="D735" t="inlineStr">
        <is>
          <t>3 / SYS_FLAG Y</t>
        </is>
      </c>
      <c r="E735" t="inlineStr">
        <is>
          <t>outcome_booked</t>
        </is>
      </c>
      <c r="F735" t="inlineStr">
        <is>
          <t>Outcome, share of booked dollars</t>
        </is>
      </c>
      <c r="G735" t="n">
        <v>22</v>
      </c>
      <c r="H735" t="n">
        <v>814026.7399999999</v>
      </c>
      <c r="I735" t="b">
        <v>1</v>
      </c>
      <c r="J735" t="b">
        <v>0</v>
      </c>
      <c r="K735" t="n">
        <v>0.8931443546959213</v>
      </c>
      <c r="M735" t="n">
        <v>1.494071112480917</v>
      </c>
      <c r="O735" t="n">
        <v>-6511.060762103341</v>
      </c>
      <c r="P735" t="n">
        <v>17996.75182233345</v>
      </c>
      <c r="Q735">
        <f>'_live'!$C$21</f>
        <v/>
      </c>
      <c r="T735" t="n">
        <v>0.0748541021663531</v>
      </c>
      <c r="U735" t="n">
        <v>0.04474721331349208</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0.06685551877571001</v>
      </c>
      <c r="AI735">
        <f>IF($Y735="worse","Yes",IF($Y735="worse, not significant","Not sure",IF(OR($Y735="too few losses to test",$Y735="too few loans to test"),"Too few losses",IF($Y735="","","No"))))</f>
        <v/>
      </c>
      <c r="AJ735">
        <f>IF($AA735="yes","Yes",IF($AA735="","","No"))</f>
        <v/>
      </c>
      <c r="AM735">
        <f>IF(AND(ISNUMBER($AC735),ISNUMBER(IF($V735,IF($AL735="","",$AL735),IF($AK735="","",$AK735)))),IF(AND(ABS($AC735-significance_bar)&lt;=2.0*IF($V735,IF($AL735="","",$AL735),IF($AK735="","",$AK735)),OR($Y735="worse",$Y735="better",$Y735="worse, not significant",$Y735="better, not significant")),IF(ROUND($AC735,3)=ROUND(significance_bar,3),TEXT($AC735,"0.0000"),TEXT($AC735,"0.000")),""),"")</f>
        <v/>
      </c>
      <c r="AN735">
        <f>IF(AND(ISNUMBER($AC735),ISNUMBER(IF($V735,IF($AL735="","",$AL735),IF($AK735="","",$AK735)))),IF(AND(ABS($AC735-significance_bar)&lt;=2.0*IF($V735,IF($AL735="","",$AL735),IF($AK735="","",$AK735)),OR($Y735="worse",$Y735="worse, not significant")),IF(ROUND($AC735,3)=ROUND(significance_bar,3),TEXT($AC735,"0.0000"),TEXT($AC735,"0.000")),""),"")</f>
        <v/>
      </c>
      <c r="AO735">
        <f>IF(OR($AI735="",$AN735=""),$AI735,$AI735&amp;" · borderline (p "&amp;$AN735&amp;")")</f>
        <v/>
      </c>
    </row>
    <row r="736">
      <c r="A736" t="inlineStr">
        <is>
          <t>three-way</t>
        </is>
      </c>
      <c r="B736" t="inlineStr">
        <is>
          <t>FICO x ASSET_CLASS / SYS_FLAG</t>
        </is>
      </c>
      <c r="C736" t="inlineStr">
        <is>
          <t>(marked missing)</t>
        </is>
      </c>
      <c r="D736" t="inlineStr">
        <is>
          <t>3 / SYS_FLAG Y</t>
        </is>
      </c>
      <c r="E736" t="inlineStr">
        <is>
          <t>gco_rate</t>
        </is>
      </c>
      <c r="F736" t="inlineStr">
        <is>
          <t>GCO per booked dollar</t>
        </is>
      </c>
      <c r="G736" t="n">
        <v>22</v>
      </c>
      <c r="H736" t="n">
        <v>814026.7399999999</v>
      </c>
      <c r="I736" t="b">
        <v>1</v>
      </c>
      <c r="J736" t="b">
        <v>0</v>
      </c>
      <c r="K736" t="n">
        <v>1.069811728669332</v>
      </c>
      <c r="M736" t="n">
        <v>2.017345647826413</v>
      </c>
      <c r="O736" t="n">
        <v>2363.848942553508</v>
      </c>
      <c r="P736" t="n">
        <v>18267.82737120125</v>
      </c>
      <c r="Q736">
        <f>'_live'!$C$22</f>
        <v/>
      </c>
      <c r="T736" t="n">
        <v>0.04159610414941221</v>
      </c>
      <c r="U736" t="n">
        <v>0.02205868891825194</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0.04450000008599227</v>
      </c>
      <c r="AI736">
        <f>IF($Y736="worse","Yes",IF($Y736="worse, not significant","Not sure",IF(OR($Y736="too few losses to test",$Y736="too few loans to test"),"Too few losses",IF($Y736="","","No"))))</f>
        <v/>
      </c>
      <c r="AJ736">
        <f>IF($AA736="yes","Yes",IF($AA736="","","No"))</f>
        <v/>
      </c>
      <c r="AM736">
        <f>IF(AND(ISNUMBER($AC736),ISNUMBER(IF($V736,IF($AL736="","",$AL736),IF($AK736="","",$AK736)))),IF(AND(ABS($AC736-significance_bar)&lt;=2.0*IF($V736,IF($AL736="","",$AL736),IF($AK736="","",$AK736)),OR($Y736="worse",$Y736="better",$Y736="worse, not significant",$Y736="better, not significant")),IF(ROUND($AC736,3)=ROUND(significance_bar,3),TEXT($AC736,"0.0000"),TEXT($AC736,"0.000")),""),"")</f>
        <v/>
      </c>
      <c r="AN736">
        <f>IF(AND(ISNUMBER($AC736),ISNUMBER(IF($V736,IF($AL736="","",$AL736),IF($AK736="","",$AK736)))),IF(AND(ABS($AC736-significance_bar)&lt;=2.0*IF($V736,IF($AL736="","",$AL736),IF($AK736="","",$AK736)),OR($Y736="worse",$Y736="worse, not significant")),IF(ROUND($AC736,3)=ROUND(significance_bar,3),TEXT($AC736,"0.0000"),TEXT($AC736,"0.000")),""),"")</f>
        <v/>
      </c>
      <c r="AO736">
        <f>IF(OR($AI736="",$AN736=""),$AI736,$AI736&amp;" · borderline (p "&amp;$AN736&amp;")")</f>
        <v/>
      </c>
    </row>
    <row r="737">
      <c r="A737" t="inlineStr">
        <is>
          <t>three-way</t>
        </is>
      </c>
      <c r="B737" t="inlineStr">
        <is>
          <t>FICO x ASSET_CLASS / SYS_FLAG</t>
        </is>
      </c>
      <c r="C737" t="inlineStr">
        <is>
          <t>(marked missing)</t>
        </is>
      </c>
      <c r="D737" t="inlineStr">
        <is>
          <t>3 / SYS_FLAG Y</t>
        </is>
      </c>
      <c r="E737" t="inlineStr">
        <is>
          <t>ranr_rate</t>
        </is>
      </c>
      <c r="F737" t="inlineStr">
        <is>
          <t>Profit after losses: RANR per booked dollar</t>
        </is>
      </c>
      <c r="G737" t="n">
        <v>22</v>
      </c>
      <c r="H737" t="n">
        <v>814026.7399999999</v>
      </c>
      <c r="I737" t="b">
        <v>0</v>
      </c>
      <c r="J737" t="b">
        <v>0</v>
      </c>
      <c r="K737" t="n">
        <v>-0.03573962584434744</v>
      </c>
      <c r="L737" t="n">
        <v>0.4848065193480652</v>
      </c>
      <c r="M737" t="n">
        <v>-0.07423753000526438</v>
      </c>
      <c r="N737" t="n">
        <v>0.3162883711628837</v>
      </c>
      <c r="O737" t="n">
        <v>29093.01111489389</v>
      </c>
      <c r="P737" t="n">
        <v>60431.33453583754</v>
      </c>
      <c r="Q737">
        <f>'_live'!$C$23</f>
        <v/>
      </c>
      <c r="R737" t="inlineStr">
        <is>
          <t>shuffled: 3,957 of 10,000</t>
        </is>
      </c>
      <c r="S737" t="inlineStr">
        <is>
          <t>shuffled: 571 of 10,000</t>
        </is>
      </c>
      <c r="T737" t="n">
        <v>0.1281027833494682</v>
      </c>
      <c r="U737" t="n">
        <v>0.1666006875103852</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0.09236315750512079</v>
      </c>
      <c r="AI737">
        <f>IF($Y737="worse","Yes",IF($Y737="worse, not significant","Not sure",IF(OR($Y737="too few losses to test",$Y737="too few loans to test"),"Too few losses",IF($Y737="","","No"))))</f>
        <v/>
      </c>
      <c r="AJ737">
        <f>IF($AA737="yes","Yes",IF($AA737="","","No"))</f>
        <v/>
      </c>
      <c r="AK737" t="n">
        <v>0.005990414217723128</v>
      </c>
      <c r="AL737" t="n">
        <v>0.01190859289693359</v>
      </c>
      <c r="AM737">
        <f>IF(AND(ISNUMBER($AC737),ISNUMBER(IF($V737,IF($AL737="","",$AL737),IF($AK737="","",$AK737)))),IF(AND(ABS($AC737-significance_bar)&lt;=2.0*IF($V737,IF($AL737="","",$AL737),IF($AK737="","",$AK737)),OR($Y737="worse",$Y737="better",$Y737="worse, not significant",$Y737="better, not significant",AND(profit_kind="test",$Y737="in line",ISNUMBER($AB737),$AB737&lt;&gt;0))),IF(ROUND($AC737,3)=ROUND(significance_bar,3),TEXT($AC737,"0.0000"),TEXT($AC737,"0.000")),""),"")</f>
        <v/>
      </c>
      <c r="AN737">
        <f>IF(AND(ISNUMBER($AC737),ISNUMBER(IF($V737,IF($AL737="","",$AL737),IF($AK737="","",$AK737)))),IF(AND(ABS($AC737-significance_bar)&lt;=2.0*IF($V737,IF($AL737="","",$AL737),IF($AK737="","",$AK737)),OR($Y737="worse",$Y737="worse, not significant",AND(profit_kind="test",$Y737="in line",ISNUMBER($AB737),$AB737&lt;0))),IF(ROUND($AC737,3)=ROUND(significance_bar,3),TEXT($AC737,"0.0000"),TEXT($AC737,"0.000")),""),"")</f>
        <v/>
      </c>
      <c r="AO737">
        <f>IF(OR($AI737="",$AN737=""),$AI737,$AI737&amp;" · borderline (p "&amp;$AN737&amp;")")</f>
        <v/>
      </c>
    </row>
    <row r="738">
      <c r="A738" t="inlineStr">
        <is>
          <t>three-way</t>
        </is>
      </c>
      <c r="B738" t="inlineStr">
        <is>
          <t>FICO x ASSET_CLASS / SYS_FLAG</t>
        </is>
      </c>
      <c r="C738" t="inlineStr">
        <is>
          <t>(marked missing)</t>
        </is>
      </c>
      <c r="D738" t="inlineStr">
        <is>
          <t>3 / SYS_FLAG Y</t>
        </is>
      </c>
      <c r="E738" t="inlineStr">
        <is>
          <t>contribution_rate</t>
        </is>
      </c>
      <c r="F738" t="inlineStr">
        <is>
          <t>Contribution before losses per booked dollar</t>
        </is>
      </c>
      <c r="G738" t="n">
        <v>22</v>
      </c>
      <c r="H738" t="n">
        <v>814026.7399999999</v>
      </c>
      <c r="I738" t="b">
        <v>0</v>
      </c>
      <c r="J738" t="b">
        <v>0</v>
      </c>
      <c r="K738" t="n">
        <v>-0.03283287900553655</v>
      </c>
      <c r="L738" t="n">
        <v>0.3454154584541546</v>
      </c>
      <c r="M738" t="n">
        <v>-0.05179621883752403</v>
      </c>
      <c r="N738" t="n">
        <v>0.5536900855369009</v>
      </c>
      <c r="O738" t="n">
        <v>26726.84146169135</v>
      </c>
      <c r="P738" t="n">
        <v>42163.50716463626</v>
      </c>
      <c r="Q738">
        <f>'_live'!$C$24</f>
        <v/>
      </c>
      <c r="R738" t="inlineStr">
        <is>
          <t>shuffled: 2,537 of 10,000</t>
        </is>
      </c>
      <c r="S738" t="inlineStr">
        <is>
          <t>shuffled: 958 of 10,000</t>
        </is>
      </c>
      <c r="T738" t="n">
        <v>0.1696960365966496</v>
      </c>
      <c r="U738" t="n">
        <v>0.1886593764286371</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0.1368631575911131</v>
      </c>
      <c r="AI738">
        <f>IF($Y738="worse","Yes",IF($Y738="worse, not significant","Not sure",IF(OR($Y738="too few losses to test",$Y738="too few loans to test"),"Too few losses",IF($Y738="","","No"))))</f>
        <v/>
      </c>
      <c r="AJ738">
        <f>IF($AA738="yes","Yes",IF($AA738="","","No"))</f>
        <v/>
      </c>
      <c r="AK738" t="n">
        <v>0.005923149327109646</v>
      </c>
      <c r="AL738" t="n">
        <v>0.01452421936150749</v>
      </c>
      <c r="AM738">
        <f>IF(AND(ISNUMBER($AC738),ISNUMBER(IF($V738,IF($AL738="","",$AL738),IF($AK738="","",$AK738)))),IF(AND(ABS($AC738-significance_bar)&lt;=2.0*IF($V738,IF($AL738="","",$AL738),IF($AK738="","",$AK738)),OR($Y738="worse",$Y738="better",$Y738="worse, not significant",$Y738="better, not significant",AND(profit_kind="test",$Y738="in line",ISNUMBER($AB738),$AB738&lt;&gt;0))),IF(ROUND($AC738,3)=ROUND(significance_bar,3),TEXT($AC738,"0.0000"),TEXT($AC738,"0.000")),""),"")</f>
        <v/>
      </c>
      <c r="AN738">
        <f>IF(AND(ISNUMBER($AC738),ISNUMBER(IF($V738,IF($AL738="","",$AL738),IF($AK738="","",$AK738)))),IF(AND(ABS($AC738-significance_bar)&lt;=2.0*IF($V738,IF($AL738="","",$AL738),IF($AK738="","",$AK738)),OR($Y738="worse",$Y738="worse, not significant",AND(profit_kind="test",$Y738="in line",ISNUMBER($AB738),$AB738&lt;0))),IF(ROUND($AC738,3)=ROUND(significance_bar,3),TEXT($AC738,"0.0000"),TEXT($AC738,"0.000")),""),"")</f>
        <v/>
      </c>
      <c r="AO738">
        <f>IF(OR($AI738="",$AN738=""),$AI738,$AI738&amp;" · borderline (p "&amp;$AN738&amp;")")</f>
        <v/>
      </c>
    </row>
    <row r="739">
      <c r="A739" t="inlineStr">
        <is>
          <t>three-way</t>
        </is>
      </c>
      <c r="B739" t="inlineStr">
        <is>
          <t>FICO x ASSET_CLASS / SYS_FLAG</t>
        </is>
      </c>
      <c r="C739" t="inlineStr">
        <is>
          <t>712 - 745</t>
        </is>
      </c>
      <c r="D739" t="inlineStr">
        <is>
          <t>3 / SYS_FLAG Y</t>
        </is>
      </c>
      <c r="E739" t="inlineStr">
        <is>
          <t>outcome_loans</t>
        </is>
      </c>
      <c r="F739" t="inlineStr">
        <is>
          <t>Outcome, share of loans</t>
        </is>
      </c>
      <c r="G739" t="n">
        <v>169</v>
      </c>
      <c r="H739" t="n">
        <v>169</v>
      </c>
      <c r="I739" t="b">
        <v>0</v>
      </c>
      <c r="J739" t="b">
        <v>0</v>
      </c>
      <c r="K739" t="n">
        <v>0.8382318592338835</v>
      </c>
      <c r="L739" t="n">
        <v>0.6752722432492424</v>
      </c>
      <c r="M739" t="n">
        <v>1.234973528495796</v>
      </c>
      <c r="N739" t="n">
        <v>0.684732370093894</v>
      </c>
      <c r="O739" t="n">
        <v>-2.122860791826309</v>
      </c>
      <c r="P739" t="n">
        <v>2.092926490984745</v>
      </c>
      <c r="Q739">
        <f>'_live'!$C$20</f>
        <v/>
      </c>
      <c r="R739" t="inlineStr">
        <is>
          <t>z test</t>
        </is>
      </c>
      <c r="S739" t="inlineStr">
        <is>
          <t>z test</t>
        </is>
      </c>
      <c r="T739" t="n">
        <v>0.07765006385696041</v>
      </c>
      <c r="U739" t="n">
        <v>0.05270457697642163</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0.0650887573964497</v>
      </c>
      <c r="AI739">
        <f>IF($Y739="worse","Yes",IF($Y739="worse, not significant","Not sure",IF(OR($Y739="too few losses to test",$Y739="too few loans to test"),"Too few losses",IF($Y739="","","No"))))</f>
        <v/>
      </c>
      <c r="AJ739">
        <f>IF($AA739="yes","Yes",IF($AA739="","","No"))</f>
        <v/>
      </c>
      <c r="AM739">
        <f>IF(AND(ISNUMBER($AC739),ISNUMBER(IF($V739,IF($AL739="","",$AL739),IF($AK739="","",$AK739)))),IF(AND(ABS($AC739-significance_bar)&lt;=2.0*IF($V739,IF($AL739="","",$AL739),IF($AK739="","",$AK739)),OR($Y739="worse",$Y739="better",$Y739="worse, not significant",$Y739="better, not significant")),IF(ROUND($AC739,3)=ROUND(significance_bar,3),TEXT($AC739,"0.0000"),TEXT($AC739,"0.000")),""),"")</f>
        <v/>
      </c>
      <c r="AN739">
        <f>IF(AND(ISNUMBER($AC739),ISNUMBER(IF($V739,IF($AL739="","",$AL739),IF($AK739="","",$AK739)))),IF(AND(ABS($AC739-significance_bar)&lt;=2.0*IF($V739,IF($AL739="","",$AL739),IF($AK739="","",$AK739)),OR($Y739="worse",$Y739="worse, not significant")),IF(ROUND($AC739,3)=ROUND(significance_bar,3),TEXT($AC739,"0.0000"),TEXT($AC739,"0.000")),""),"")</f>
        <v/>
      </c>
      <c r="AO739">
        <f>IF(OR($AI739="",$AN739=""),$AI739,$AI739&amp;" · borderline (p "&amp;$AN739&amp;")")</f>
        <v/>
      </c>
    </row>
    <row r="740">
      <c r="A740" t="inlineStr">
        <is>
          <t>three-way</t>
        </is>
      </c>
      <c r="B740" t="inlineStr">
        <is>
          <t>FICO x ASSET_CLASS / SYS_FLAG</t>
        </is>
      </c>
      <c r="C740" t="inlineStr">
        <is>
          <t>712 - 745</t>
        </is>
      </c>
      <c r="D740" t="inlineStr">
        <is>
          <t>3 / SYS_FLAG Y</t>
        </is>
      </c>
      <c r="E740" t="inlineStr">
        <is>
          <t>outcome_booked</t>
        </is>
      </c>
      <c r="F740" t="inlineStr">
        <is>
          <t>Outcome, share of booked dollars</t>
        </is>
      </c>
      <c r="G740" t="n">
        <v>169</v>
      </c>
      <c r="H740" t="n">
        <v>5174041.010000001</v>
      </c>
      <c r="I740" t="b">
        <v>0</v>
      </c>
      <c r="J740" t="b">
        <v>0</v>
      </c>
      <c r="K740" t="n">
        <v>0.6795619215450962</v>
      </c>
      <c r="L740" t="n">
        <v>0.4745969847459698</v>
      </c>
      <c r="M740" t="n">
        <v>0.9323466120987248</v>
      </c>
      <c r="N740" t="n">
        <v>0.9677814827212931</v>
      </c>
      <c r="O740" t="n">
        <v>-124865.5662657639</v>
      </c>
      <c r="P740" t="n">
        <v>-19214.97221008583</v>
      </c>
      <c r="Q740">
        <f>'_live'!$C$21</f>
        <v/>
      </c>
      <c r="R740" t="inlineStr">
        <is>
          <t>shuffled: 2,828 of 10,000</t>
        </is>
      </c>
      <c r="S740" t="inlineStr">
        <is>
          <t>shuffled: 8,561 of 10,000</t>
        </is>
      </c>
      <c r="T740" t="n">
        <v>0.07531278463248281</v>
      </c>
      <c r="U740" t="n">
        <v>0.05489342694832753</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0.05117970064176201</v>
      </c>
      <c r="AI740">
        <f>IF($Y740="worse","Yes",IF($Y740="worse, not significant","Not sure",IF(OR($Y740="too few losses to test",$Y740="too few loans to test"),"Too few losses",IF($Y740="","","No"))))</f>
        <v/>
      </c>
      <c r="AJ740">
        <f>IF($AA740="yes","Yes",IF($AA740="","","No"))</f>
        <v/>
      </c>
      <c r="AK740" t="n">
        <v>0.006784443087213825</v>
      </c>
      <c r="AL740" t="n">
        <v>0.003967528849731803</v>
      </c>
      <c r="AM740">
        <f>IF(AND(ISNUMBER($AC740),ISNUMBER(IF($V740,IF($AL740="","",$AL740),IF($AK740="","",$AK740)))),IF(AND(ABS($AC740-significance_bar)&lt;=2.0*IF($V740,IF($AL740="","",$AL740),IF($AK740="","",$AK740)),OR($Y740="worse",$Y740="better",$Y740="worse, not significant",$Y740="better, not significant")),IF(ROUND($AC740,3)=ROUND(significance_bar,3),TEXT($AC740,"0.0000"),TEXT($AC740,"0.000")),""),"")</f>
        <v/>
      </c>
      <c r="AN740">
        <f>IF(AND(ISNUMBER($AC740),ISNUMBER(IF($V740,IF($AL740="","",$AL740),IF($AK740="","",$AK740)))),IF(AND(ABS($AC740-significance_bar)&lt;=2.0*IF($V740,IF($AL740="","",$AL740),IF($AK740="","",$AK740)),OR($Y740="worse",$Y740="worse, not significant")),IF(ROUND($AC740,3)=ROUND(significance_bar,3),TEXT($AC740,"0.0000"),TEXT($AC740,"0.000")),""),"")</f>
        <v/>
      </c>
      <c r="AO740">
        <f>IF(OR($AI740="",$AN740=""),$AI740,$AI740&amp;" · borderline (p "&amp;$AN740&amp;")")</f>
        <v/>
      </c>
    </row>
    <row r="741">
      <c r="A741" t="inlineStr">
        <is>
          <t>three-way</t>
        </is>
      </c>
      <c r="B741" t="inlineStr">
        <is>
          <t>FICO x ASSET_CLASS / SYS_FLAG</t>
        </is>
      </c>
      <c r="C741" t="inlineStr">
        <is>
          <t>712 - 745</t>
        </is>
      </c>
      <c r="D741" t="inlineStr">
        <is>
          <t>3 / SYS_FLAG Y</t>
        </is>
      </c>
      <c r="E741" t="inlineStr">
        <is>
          <t>gco_rate</t>
        </is>
      </c>
      <c r="F741" t="inlineStr">
        <is>
          <t>GCO per booked dollar</t>
        </is>
      </c>
      <c r="G741" t="n">
        <v>169</v>
      </c>
      <c r="H741" t="n">
        <v>5174041.010000001</v>
      </c>
      <c r="I741" t="b">
        <v>0</v>
      </c>
      <c r="J741" t="b">
        <v>0</v>
      </c>
      <c r="K741" t="n">
        <v>0.7153297774151447</v>
      </c>
      <c r="L741" t="n">
        <v>0.5079071040264393</v>
      </c>
      <c r="M741" t="n">
        <v>0.9878220603616421</v>
      </c>
      <c r="N741" t="n">
        <v>0.9754024597540246</v>
      </c>
      <c r="O741" t="n">
        <v>-61632.01577961884</v>
      </c>
      <c r="P741" t="n">
        <v>-1909.262891790655</v>
      </c>
      <c r="Q741">
        <f>'_live'!$C$22</f>
        <v/>
      </c>
      <c r="R741" t="inlineStr">
        <is>
          <t>shuffled: 3,577 of 10,000</t>
        </is>
      </c>
      <c r="S741" t="inlineStr">
        <is>
          <t>shuffled: 9,754 of 10,000</t>
        </is>
      </c>
      <c r="T741" t="n">
        <v>0.0418441224878538</v>
      </c>
      <c r="U741" t="n">
        <v>0.03030135489625557</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0.02993234682536851</v>
      </c>
      <c r="AI741">
        <f>IF($Y741="worse","Yes",IF($Y741="worse, not significant","Not sure",IF(OR($Y741="too few losses to test",$Y741="too few loans to test"),"Too few losses",IF($Y741="","","No"))))</f>
        <v/>
      </c>
      <c r="AJ741">
        <f>IF($AA741="yes","Yes",IF($AA741="","","No"))</f>
        <v/>
      </c>
      <c r="AK741" t="n">
        <v>0.006611060033083899</v>
      </c>
      <c r="AL741" t="n">
        <v>0.001548951298776788</v>
      </c>
      <c r="AM741">
        <f>IF(AND(ISNUMBER($AC741),ISNUMBER(IF($V741,IF($AL741="","",$AL741),IF($AK741="","",$AK741)))),IF(AND(ABS($AC741-significance_bar)&lt;=2.0*IF($V741,IF($AL741="","",$AL741),IF($AK741="","",$AK741)),OR($Y741="worse",$Y741="better",$Y741="worse, not significant",$Y741="better, not significant")),IF(ROUND($AC741,3)=ROUND(significance_bar,3),TEXT($AC741,"0.0000"),TEXT($AC741,"0.000")),""),"")</f>
        <v/>
      </c>
      <c r="AN741">
        <f>IF(AND(ISNUMBER($AC741),ISNUMBER(IF($V741,IF($AL741="","",$AL741),IF($AK741="","",$AK741)))),IF(AND(ABS($AC741-significance_bar)&lt;=2.0*IF($V741,IF($AL741="","",$AL741),IF($AK741="","",$AK741)),OR($Y741="worse",$Y741="worse, not significant")),IF(ROUND($AC741,3)=ROUND(significance_bar,3),TEXT($AC741,"0.0000"),TEXT($AC741,"0.000")),""),"")</f>
        <v/>
      </c>
      <c r="AO741">
        <f>IF(OR($AI741="",$AN741=""),$AI741,$AI741&amp;" · borderline (p "&amp;$AN741&amp;")")</f>
        <v/>
      </c>
    </row>
    <row r="742">
      <c r="A742" t="inlineStr">
        <is>
          <t>three-way</t>
        </is>
      </c>
      <c r="B742" t="inlineStr">
        <is>
          <t>FICO x ASSET_CLASS / SYS_FLAG</t>
        </is>
      </c>
      <c r="C742" t="inlineStr">
        <is>
          <t>712 - 745</t>
        </is>
      </c>
      <c r="D742" t="inlineStr">
        <is>
          <t>3 / SYS_FLAG Y</t>
        </is>
      </c>
      <c r="E742" t="inlineStr">
        <is>
          <t>ranr_rate</t>
        </is>
      </c>
      <c r="F742" t="inlineStr">
        <is>
          <t>Profit after losses: RANR per booked dollar</t>
        </is>
      </c>
      <c r="G742" t="n">
        <v>169</v>
      </c>
      <c r="H742" t="n">
        <v>5174041.010000001</v>
      </c>
      <c r="I742" t="b">
        <v>0</v>
      </c>
      <c r="J742" t="b">
        <v>0</v>
      </c>
      <c r="K742" t="n">
        <v>-0.0388699342530622</v>
      </c>
      <c r="L742" t="n">
        <v>0.02960120654601206</v>
      </c>
      <c r="M742" t="n">
        <v>-0.006753464015078869</v>
      </c>
      <c r="N742" t="n">
        <v>0.8858714128587142</v>
      </c>
      <c r="O742" t="n">
        <v>201114.6338813476</v>
      </c>
      <c r="P742" t="n">
        <v>34942.69977357739</v>
      </c>
      <c r="Q742">
        <f>'_live'!$C$23</f>
        <v/>
      </c>
      <c r="R742" t="inlineStr">
        <is>
          <t>shuffled: 144 of 10,000</t>
        </is>
      </c>
      <c r="S742" t="inlineStr">
        <is>
          <t>shuffled: 6,177 of 10,000</t>
        </is>
      </c>
      <c r="T742" t="n">
        <v>0.1287693569868607</v>
      </c>
      <c r="U742" t="n">
        <v>0.0966528867488774</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0.08989942273379853</v>
      </c>
      <c r="AI742">
        <f>IF($Y742="worse","Yes",IF($Y742="worse, not significant","Not sure",IF(OR($Y742="too few losses to test",$Y742="too few loans to test"),"Too few losses",IF($Y742="","","No"))))</f>
        <v/>
      </c>
      <c r="AJ742">
        <f>IF($AA742="yes","Yes",IF($AA742="","","No"))</f>
        <v/>
      </c>
      <c r="AK742" t="n">
        <v>0.002440482847084328</v>
      </c>
      <c r="AL742" t="n">
        <v>0.005275201752636222</v>
      </c>
      <c r="AM742">
        <f>IF(AND(ISNUMBER($AC742),ISNUMBER(IF($V742,IF($AL742="","",$AL742),IF($AK742="","",$AK742)))),IF(AND(ABS($AC742-significance_bar)&lt;=2.0*IF($V742,IF($AL742="","",$AL742),IF($AK742="","",$AK742)),OR($Y742="worse",$Y742="better",$Y742="worse, not significant",$Y742="better, not significant",AND(profit_kind="test",$Y742="in line",ISNUMBER($AB742),$AB742&lt;&gt;0))),IF(ROUND($AC742,3)=ROUND(significance_bar,3),TEXT($AC742,"0.0000"),TEXT($AC742,"0.000")),""),"")</f>
        <v/>
      </c>
      <c r="AN742">
        <f>IF(AND(ISNUMBER($AC742),ISNUMBER(IF($V742,IF($AL742="","",$AL742),IF($AK742="","",$AK742)))),IF(AND(ABS($AC742-significance_bar)&lt;=2.0*IF($V742,IF($AL742="","",$AL742),IF($AK742="","",$AK742)),OR($Y742="worse",$Y742="worse, not significant",AND(profit_kind="test",$Y742="in line",ISNUMBER($AB742),$AB742&lt;0))),IF(ROUND($AC742,3)=ROUND(significance_bar,3),TEXT($AC742,"0.0000"),TEXT($AC742,"0.000")),""),"")</f>
        <v/>
      </c>
      <c r="AO742">
        <f>IF(OR($AI742="",$AN742=""),$AI742,$AI742&amp;" · borderline (p "&amp;$AN742&amp;")")</f>
        <v/>
      </c>
    </row>
    <row r="743">
      <c r="A743" t="inlineStr">
        <is>
          <t>three-way</t>
        </is>
      </c>
      <c r="B743" t="inlineStr">
        <is>
          <t>FICO x ASSET_CLASS / SYS_FLAG</t>
        </is>
      </c>
      <c r="C743" t="inlineStr">
        <is>
          <t>712 - 745</t>
        </is>
      </c>
      <c r="D743" t="inlineStr">
        <is>
          <t>3 / SYS_FLAG Y</t>
        </is>
      </c>
      <c r="E743" t="inlineStr">
        <is>
          <t>contribution_rate</t>
        </is>
      </c>
      <c r="F743" t="inlineStr">
        <is>
          <t>Contribution before losses per booked dollar</t>
        </is>
      </c>
      <c r="G743" t="n">
        <v>169</v>
      </c>
      <c r="H743" t="n">
        <v>5174041.010000001</v>
      </c>
      <c r="I743" t="b">
        <v>0</v>
      </c>
      <c r="J743" t="b">
        <v>0</v>
      </c>
      <c r="K743" t="n">
        <v>-0.05077891447053895</v>
      </c>
      <c r="L743" t="n">
        <v>0.0001814633351479667</v>
      </c>
      <c r="M743" t="n">
        <v>-0.007079303918740232</v>
      </c>
      <c r="N743" t="n">
        <v>0.8981501849815018</v>
      </c>
      <c r="O743" t="n">
        <v>262732.185913851</v>
      </c>
      <c r="P743" t="n">
        <v>36628.60879781574</v>
      </c>
      <c r="Q743">
        <f>'_live'!$C$24</f>
        <v/>
      </c>
      <c r="R743" t="inlineStr">
        <is>
          <t>shuffled: 0 of 10,000</t>
        </is>
      </c>
      <c r="S743" t="inlineStr">
        <is>
          <t>shuffled: 2,806 of 10,000</t>
        </is>
      </c>
      <c r="T743" t="n">
        <v>0.170610684029706</v>
      </c>
      <c r="U743" t="n">
        <v>0.1269110734779073</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0.1198317695591671</v>
      </c>
      <c r="AI743">
        <f>IF($Y743="worse","Yes",IF($Y743="worse, not significant","Not sure",IF(OR($Y743="too few losses to test",$Y743="too few loans to test"),"Too few losses",IF($Y743="","","No"))))</f>
        <v/>
      </c>
      <c r="AJ743">
        <f>IF($AA743="yes","Yes",IF($AA743="","","No"))</f>
        <v/>
      </c>
      <c r="AK743" t="n">
        <v>0.0001814633351479667</v>
      </c>
      <c r="AL743" t="n">
        <v>0.01437847988195727</v>
      </c>
      <c r="AM743">
        <f>IF(AND(ISNUMBER($AC743),ISNUMBER(IF($V743,IF($AL743="","",$AL743),IF($AK743="","",$AK743)))),IF(AND(ABS($AC743-significance_bar)&lt;=2.0*IF($V743,IF($AL743="","",$AL743),IF($AK743="","",$AK743)),OR($Y743="worse",$Y743="better",$Y743="worse, not significant",$Y743="better, not significant",AND(profit_kind="test",$Y743="in line",ISNUMBER($AB743),$AB743&lt;&gt;0))),IF(ROUND($AC743,3)=ROUND(significance_bar,3),TEXT($AC743,"0.0000"),TEXT($AC743,"0.000")),""),"")</f>
        <v/>
      </c>
      <c r="AN743">
        <f>IF(AND(ISNUMBER($AC743),ISNUMBER(IF($V743,IF($AL743="","",$AL743),IF($AK743="","",$AK743)))),IF(AND(ABS($AC743-significance_bar)&lt;=2.0*IF($V743,IF($AL743="","",$AL743),IF($AK743="","",$AK743)),OR($Y743="worse",$Y743="worse, not significant",AND(profit_kind="test",$Y743="in line",ISNUMBER($AB743),$AB743&lt;0))),IF(ROUND($AC743,3)=ROUND(significance_bar,3),TEXT($AC743,"0.0000"),TEXT($AC743,"0.000")),""),"")</f>
        <v/>
      </c>
      <c r="AO743">
        <f>IF(OR($AI743="",$AN743=""),$AI743,$AI743&amp;" · borderline (p "&amp;$AN743&amp;")")</f>
        <v/>
      </c>
    </row>
    <row r="744">
      <c r="A744" t="inlineStr">
        <is>
          <t>three-way</t>
        </is>
      </c>
      <c r="B744" t="inlineStr">
        <is>
          <t>FICO x ASSET_CLASS / SYS_FLAG</t>
        </is>
      </c>
      <c r="C744" t="inlineStr">
        <is>
          <t>746 - 921</t>
        </is>
      </c>
      <c r="D744" t="inlineStr">
        <is>
          <t>4 / SYS_FLAG N</t>
        </is>
      </c>
      <c r="E744" t="inlineStr">
        <is>
          <t>outcome_loans</t>
        </is>
      </c>
      <c r="F744" t="inlineStr">
        <is>
          <t>Outcome, share of loans</t>
        </is>
      </c>
      <c r="G744" t="n">
        <v>209</v>
      </c>
      <c r="H744" t="n">
        <v>209</v>
      </c>
      <c r="I744" t="b">
        <v>1</v>
      </c>
      <c r="J744" t="b">
        <v>0</v>
      </c>
      <c r="K744" t="n">
        <v>0.4263220439691028</v>
      </c>
      <c r="M744" t="n">
        <v>0.8294040887342323</v>
      </c>
      <c r="O744" t="n">
        <v>-9.41951219512195</v>
      </c>
      <c r="P744" t="n">
        <v>-1.439794419970632</v>
      </c>
      <c r="Q744">
        <f>'_live'!$C$20</f>
        <v/>
      </c>
      <c r="T744" t="n">
        <v>0.07856225930680359</v>
      </c>
      <c r="U744" t="n">
        <v>0.04038179148311307</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0.03349282296650718</v>
      </c>
      <c r="AI744">
        <f>IF($Y744="worse","Yes",IF($Y744="worse, not significant","Not sure",IF(OR($Y744="too few losses to test",$Y744="too few loans to test"),"Too few losses",IF($Y744="","","No"))))</f>
        <v/>
      </c>
      <c r="AJ744">
        <f>IF($AA744="yes","Yes",IF($AA744="","","No"))</f>
        <v/>
      </c>
      <c r="AM744">
        <f>IF(AND(ISNUMBER($AC744),ISNUMBER(IF($V744,IF($AL744="","",$AL744),IF($AK744="","",$AK744)))),IF(AND(ABS($AC744-significance_bar)&lt;=2.0*IF($V744,IF($AL744="","",$AL744),IF($AK744="","",$AK744)),OR($Y744="worse",$Y744="better",$Y744="worse, not significant",$Y744="better, not significant")),IF(ROUND($AC744,3)=ROUND(significance_bar,3),TEXT($AC744,"0.0000"),TEXT($AC744,"0.000")),""),"")</f>
        <v/>
      </c>
      <c r="AN744">
        <f>IF(AND(ISNUMBER($AC744),ISNUMBER(IF($V744,IF($AL744="","",$AL744),IF($AK744="","",$AK744)))),IF(AND(ABS($AC744-significance_bar)&lt;=2.0*IF($V744,IF($AL744="","",$AL744),IF($AK744="","",$AK744)),OR($Y744="worse",$Y744="worse, not significant")),IF(ROUND($AC744,3)=ROUND(significance_bar,3),TEXT($AC744,"0.0000"),TEXT($AC744,"0.000")),""),"")</f>
        <v/>
      </c>
      <c r="AO744">
        <f>IF(OR($AI744="",$AN744=""),$AI744,$AI744&amp;" · borderline (p "&amp;$AN744&amp;")")</f>
        <v/>
      </c>
    </row>
    <row r="745">
      <c r="A745" t="inlineStr">
        <is>
          <t>three-way</t>
        </is>
      </c>
      <c r="B745" t="inlineStr">
        <is>
          <t>FICO x ASSET_CLASS / SYS_FLAG</t>
        </is>
      </c>
      <c r="C745" t="inlineStr">
        <is>
          <t>746 - 921</t>
        </is>
      </c>
      <c r="D745" t="inlineStr">
        <is>
          <t>4 / SYS_FLAG N</t>
        </is>
      </c>
      <c r="E745" t="inlineStr">
        <is>
          <t>outcome_booked</t>
        </is>
      </c>
      <c r="F745" t="inlineStr">
        <is>
          <t>Outcome, share of booked dollars</t>
        </is>
      </c>
      <c r="G745" t="n">
        <v>209</v>
      </c>
      <c r="H745" t="n">
        <v>6624955.080000004</v>
      </c>
      <c r="I745" t="b">
        <v>1</v>
      </c>
      <c r="J745" t="b">
        <v>0</v>
      </c>
      <c r="K745" t="n">
        <v>0.3767934536462674</v>
      </c>
      <c r="M745" t="n">
        <v>0.7527760570881014</v>
      </c>
      <c r="O745" t="n">
        <v>-313970.892481607</v>
      </c>
      <c r="P745" t="n">
        <v>-62342.67899194884</v>
      </c>
      <c r="Q745">
        <f>'_live'!$C$21</f>
        <v/>
      </c>
      <c r="T745" t="n">
        <v>0.07604566165324199</v>
      </c>
      <c r="U745" t="n">
        <v>0.03806378699128458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0.02865350748914057</v>
      </c>
      <c r="AI745">
        <f>IF($Y745="worse","Yes",IF($Y745="worse, not significant","Not sure",IF(OR($Y745="too few losses to test",$Y745="too few loans to test"),"Too few losses",IF($Y745="","","No"))))</f>
        <v/>
      </c>
      <c r="AJ745">
        <f>IF($AA745="yes","Yes",IF($AA745="","","No"))</f>
        <v/>
      </c>
      <c r="AM745">
        <f>IF(AND(ISNUMBER($AC745),ISNUMBER(IF($V745,IF($AL745="","",$AL745),IF($AK745="","",$AK745)))),IF(AND(ABS($AC745-significance_bar)&lt;=2.0*IF($V745,IF($AL745="","",$AL745),IF($AK745="","",$AK745)),OR($Y745="worse",$Y745="better",$Y745="worse, not significant",$Y745="better, not significant")),IF(ROUND($AC745,3)=ROUND(significance_bar,3),TEXT($AC745,"0.0000"),TEXT($AC745,"0.000")),""),"")</f>
        <v/>
      </c>
      <c r="AN745">
        <f>IF(AND(ISNUMBER($AC745),ISNUMBER(IF($V745,IF($AL745="","",$AL745),IF($AK745="","",$AK745)))),IF(AND(ABS($AC745-significance_bar)&lt;=2.0*IF($V745,IF($AL745="","",$AL745),IF($AK745="","",$AK745)),OR($Y745="worse",$Y745="worse, not significant")),IF(ROUND($AC745,3)=ROUND(significance_bar,3),TEXT($AC745,"0.0000"),TEXT($AC745,"0.000")),""),"")</f>
        <v/>
      </c>
      <c r="AO745">
        <f>IF(OR($AI745="",$AN745=""),$AI745,$AI745&amp;" · borderline (p "&amp;$AN745&amp;")")</f>
        <v/>
      </c>
    </row>
    <row r="746">
      <c r="A746" t="inlineStr">
        <is>
          <t>three-way</t>
        </is>
      </c>
      <c r="B746" t="inlineStr">
        <is>
          <t>FICO x ASSET_CLASS / SYS_FLAG</t>
        </is>
      </c>
      <c r="C746" t="inlineStr">
        <is>
          <t>746 - 921</t>
        </is>
      </c>
      <c r="D746" t="inlineStr">
        <is>
          <t>4 / SYS_FLAG N</t>
        </is>
      </c>
      <c r="E746" t="inlineStr">
        <is>
          <t>gco_rate</t>
        </is>
      </c>
      <c r="F746" t="inlineStr">
        <is>
          <t>GCO per booked dollar</t>
        </is>
      </c>
      <c r="G746" t="n">
        <v>209</v>
      </c>
      <c r="H746" t="n">
        <v>6624955.080000004</v>
      </c>
      <c r="I746" t="b">
        <v>1</v>
      </c>
      <c r="J746" t="b">
        <v>0</v>
      </c>
      <c r="K746" t="n">
        <v>0.3825114070245904</v>
      </c>
      <c r="M746" t="n">
        <v>0.8127325612134406</v>
      </c>
      <c r="O746" t="n">
        <v>-172942.0969188095</v>
      </c>
      <c r="P746" t="n">
        <v>-24684.86653413883</v>
      </c>
      <c r="Q746">
        <f>'_live'!$C$22</f>
        <v/>
      </c>
      <c r="T746" t="n">
        <v>0.04227550882032687</v>
      </c>
      <c r="U746" t="n">
        <v>0.019896907215579</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0.01617086436154371</v>
      </c>
      <c r="AI746">
        <f>IF($Y746="worse","Yes",IF($Y746="worse, not significant","Not sure",IF(OR($Y746="too few losses to test",$Y746="too few loans to test"),"Too few losses",IF($Y746="","","No"))))</f>
        <v/>
      </c>
      <c r="AJ746">
        <f>IF($AA746="yes","Yes",IF($AA746="","","No"))</f>
        <v/>
      </c>
      <c r="AM746">
        <f>IF(AND(ISNUMBER($AC746),ISNUMBER(IF($V746,IF($AL746="","",$AL746),IF($AK746="","",$AK746)))),IF(AND(ABS($AC746-significance_bar)&lt;=2.0*IF($V746,IF($AL746="","",$AL746),IF($AK746="","",$AK746)),OR($Y746="worse",$Y746="better",$Y746="worse, not significant",$Y746="better, not significant")),IF(ROUND($AC746,3)=ROUND(significance_bar,3),TEXT($AC746,"0.0000"),TEXT($AC746,"0.000")),""),"")</f>
        <v/>
      </c>
      <c r="AN746">
        <f>IF(AND(ISNUMBER($AC746),ISNUMBER(IF($V746,IF($AL746="","",$AL746),IF($AK746="","",$AK746)))),IF(AND(ABS($AC746-significance_bar)&lt;=2.0*IF($V746,IF($AL746="","",$AL746),IF($AK746="","",$AK746)),OR($Y746="worse",$Y746="worse, not significant")),IF(ROUND($AC746,3)=ROUND(significance_bar,3),TEXT($AC746,"0.0000"),TEXT($AC746,"0.000")),""),"")</f>
        <v/>
      </c>
      <c r="AO746">
        <f>IF(OR($AI746="",$AN746=""),$AI746,$AI746&amp;" · borderline (p "&amp;$AN746&amp;")")</f>
        <v/>
      </c>
    </row>
    <row r="747">
      <c r="A747" t="inlineStr">
        <is>
          <t>three-way</t>
        </is>
      </c>
      <c r="B747" t="inlineStr">
        <is>
          <t>FICO x ASSET_CLASS / SYS_FLAG</t>
        </is>
      </c>
      <c r="C747" t="inlineStr">
        <is>
          <t>746 - 921</t>
        </is>
      </c>
      <c r="D747" t="inlineStr">
        <is>
          <t>4 / SYS_FLAG N</t>
        </is>
      </c>
      <c r="E747" t="inlineStr">
        <is>
          <t>ranr_rate</t>
        </is>
      </c>
      <c r="F747" t="inlineStr">
        <is>
          <t>Profit after losses: RANR per booked dollar</t>
        </is>
      </c>
      <c r="G747" t="n">
        <v>209</v>
      </c>
      <c r="H747" t="n">
        <v>6624955.080000004</v>
      </c>
      <c r="I747" t="b">
        <v>0</v>
      </c>
      <c r="J747" t="b">
        <v>0</v>
      </c>
      <c r="K747" t="n">
        <v>-0.08083892218964239</v>
      </c>
      <c r="L747" t="n">
        <v>0.0003768853883842385</v>
      </c>
      <c r="M747" t="n">
        <v>0.002857646749703548</v>
      </c>
      <c r="N747" t="n">
        <v>0.8858714128587142</v>
      </c>
      <c r="O747" t="n">
        <v>535554.2282219965</v>
      </c>
      <c r="P747" t="n">
        <v>-18931.78135129402</v>
      </c>
      <c r="Q747">
        <f>'_live'!$C$23</f>
        <v/>
      </c>
      <c r="R747" t="inlineStr">
        <is>
          <t>shuffled: 0 of 10,000</t>
        </is>
      </c>
      <c r="S747" t="inlineStr">
        <is>
          <t>shuffled: 7,382 of 10,000</t>
        </is>
      </c>
      <c r="T747" t="n">
        <v>0.1300652906799779</v>
      </c>
      <c r="U747" t="n">
        <v>0.04636872174063191</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0.04922636849033546</v>
      </c>
      <c r="AI747">
        <f>IF($Y747="worse","Yes",IF($Y747="worse, not significant","Not sure",IF(OR($Y747="too few losses to test",$Y747="too few loans to test"),"Too few losses",IF($Y747="","","No"))))</f>
        <v/>
      </c>
      <c r="AJ747">
        <f>IF($AA747="yes","Yes",IF($AA747="","","No"))</f>
        <v/>
      </c>
      <c r="AK747" t="n">
        <v>0.0003768853883842385</v>
      </c>
      <c r="AL747" t="n">
        <v>0.005275201752636222</v>
      </c>
      <c r="AM747">
        <f>IF(AND(ISNUMBER($AC747),ISNUMBER(IF($V747,IF($AL747="","",$AL747),IF($AK747="","",$AK747)))),IF(AND(ABS($AC747-significance_bar)&lt;=2.0*IF($V747,IF($AL747="","",$AL747),IF($AK747="","",$AK747)),OR($Y747="worse",$Y747="better",$Y747="worse, not significant",$Y747="better, not significant",AND(profit_kind="test",$Y747="in line",ISNUMBER($AB747),$AB747&lt;&gt;0))),IF(ROUND($AC747,3)=ROUND(significance_bar,3),TEXT($AC747,"0.0000"),TEXT($AC747,"0.000")),""),"")</f>
        <v/>
      </c>
      <c r="AN747">
        <f>IF(AND(ISNUMBER($AC747),ISNUMBER(IF($V747,IF($AL747="","",$AL747),IF($AK747="","",$AK747)))),IF(AND(ABS($AC747-significance_bar)&lt;=2.0*IF($V747,IF($AL747="","",$AL747),IF($AK747="","",$AK747)),OR($Y747="worse",$Y747="worse, not significant",AND(profit_kind="test",$Y747="in line",ISNUMBER($AB747),$AB747&lt;0))),IF(ROUND($AC747,3)=ROUND(significance_bar,3),TEXT($AC747,"0.0000"),TEXT($AC747,"0.000")),""),"")</f>
        <v/>
      </c>
      <c r="AO747">
        <f>IF(OR($AI747="",$AN747=""),$AI747,$AI747&amp;" · borderline (p "&amp;$AN747&amp;")")</f>
        <v/>
      </c>
    </row>
    <row r="748">
      <c r="A748" t="inlineStr">
        <is>
          <t>three-way</t>
        </is>
      </c>
      <c r="B748" t="inlineStr">
        <is>
          <t>FICO x ASSET_CLASS / SYS_FLAG</t>
        </is>
      </c>
      <c r="C748" t="inlineStr">
        <is>
          <t>746 - 921</t>
        </is>
      </c>
      <c r="D748" t="inlineStr">
        <is>
          <t>4 / SYS_FLAG N</t>
        </is>
      </c>
      <c r="E748" t="inlineStr">
        <is>
          <t>contribution_rate</t>
        </is>
      </c>
      <c r="F748" t="inlineStr">
        <is>
          <t>Contribution before losses per booked dollar</t>
        </is>
      </c>
      <c r="G748" t="n">
        <v>209</v>
      </c>
      <c r="H748" t="n">
        <v>6624955.080000004</v>
      </c>
      <c r="I748" t="b">
        <v>0</v>
      </c>
      <c r="J748" t="b">
        <v>0</v>
      </c>
      <c r="K748" t="n">
        <v>-0.1069409596350884</v>
      </c>
      <c r="L748" t="n">
        <v>0.0001814633351479667</v>
      </c>
      <c r="M748" t="n">
        <v>-0.0008683961043317728</v>
      </c>
      <c r="N748" t="n">
        <v>0.9799190293736585</v>
      </c>
      <c r="O748" t="n">
        <v>708479.0537945541</v>
      </c>
      <c r="P748" t="n">
        <v>5753.085182844952</v>
      </c>
      <c r="Q748">
        <f>'_live'!$C$24</f>
        <v/>
      </c>
      <c r="R748" t="inlineStr">
        <is>
          <t>shuffled: 0 of 10,000</t>
        </is>
      </c>
      <c r="S748" t="inlineStr">
        <is>
          <t>shuffled: 7,335 of 10,000</t>
        </is>
      </c>
      <c r="T748" t="n">
        <v>0.1723381924869675</v>
      </c>
      <c r="U748" t="n">
        <v>0.06626562895621091</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0.06539723285187914</v>
      </c>
      <c r="AI748">
        <f>IF($Y748="worse","Yes",IF($Y748="worse, not significant","Not sure",IF(OR($Y748="too few losses to test",$Y748="too few loans to test"),"Too few losses",IF($Y748="","","No"))))</f>
        <v/>
      </c>
      <c r="AJ748">
        <f>IF($AA748="yes","Yes",IF($AA748="","","No"))</f>
        <v/>
      </c>
      <c r="AK748" t="n">
        <v>0.0001814633351479667</v>
      </c>
      <c r="AL748" t="n">
        <v>0.002013133534953629</v>
      </c>
      <c r="AM748">
        <f>IF(AND(ISNUMBER($AC748),ISNUMBER(IF($V748,IF($AL748="","",$AL748),IF($AK748="","",$AK748)))),IF(AND(ABS($AC748-significance_bar)&lt;=2.0*IF($V748,IF($AL748="","",$AL748),IF($AK748="","",$AK748)),OR($Y748="worse",$Y748="better",$Y748="worse, not significant",$Y748="better, not significant",AND(profit_kind="test",$Y748="in line",ISNUMBER($AB748),$AB748&lt;&gt;0))),IF(ROUND($AC748,3)=ROUND(significance_bar,3),TEXT($AC748,"0.0000"),TEXT($AC748,"0.000")),""),"")</f>
        <v/>
      </c>
      <c r="AN748">
        <f>IF(AND(ISNUMBER($AC748),ISNUMBER(IF($V748,IF($AL748="","",$AL748),IF($AK748="","",$AK748)))),IF(AND(ABS($AC748-significance_bar)&lt;=2.0*IF($V748,IF($AL748="","",$AL748),IF($AK748="","",$AK748)),OR($Y748="worse",$Y748="worse, not significant",AND(profit_kind="test",$Y748="in line",ISNUMBER($AB748),$AB748&lt;0))),IF(ROUND($AC748,3)=ROUND(significance_bar,3),TEXT($AC748,"0.0000"),TEXT($AC748,"0.000")),""),"")</f>
        <v/>
      </c>
      <c r="AO748">
        <f>IF(OR($AI748="",$AN748=""),$AI748,$AI748&amp;" · borderline (p "&amp;$AN748&amp;")")</f>
        <v/>
      </c>
    </row>
    <row r="749">
      <c r="A749" t="inlineStr">
        <is>
          <t>three-way</t>
        </is>
      </c>
      <c r="B749" t="inlineStr">
        <is>
          <t>FICO x ASSET_CLASS / SYS_FLAG</t>
        </is>
      </c>
      <c r="C749" t="inlineStr">
        <is>
          <t>686 - 711</t>
        </is>
      </c>
      <c r="D749" t="inlineStr">
        <is>
          <t>1 / SYS_FLAG N</t>
        </is>
      </c>
      <c r="E749" t="inlineStr">
        <is>
          <t>outcome_loans</t>
        </is>
      </c>
      <c r="F749" t="inlineStr">
        <is>
          <t>Outcome, share of loans</t>
        </is>
      </c>
      <c r="G749" t="n">
        <v>205</v>
      </c>
      <c r="H749" t="n">
        <v>205</v>
      </c>
      <c r="I749" t="b">
        <v>0</v>
      </c>
      <c r="J749" t="b">
        <v>0</v>
      </c>
      <c r="K749" t="n">
        <v>0.6878530166880616</v>
      </c>
      <c r="L749" t="n">
        <v>0.3955168456979902</v>
      </c>
      <c r="M749" t="n">
        <v>0.8566427546628408</v>
      </c>
      <c r="N749" t="n">
        <v>0.7481717174350578</v>
      </c>
      <c r="O749" t="n">
        <v>-4.991788555298948</v>
      </c>
      <c r="P749" t="n">
        <v>-1.840825350036845</v>
      </c>
      <c r="Q749">
        <f>'_live'!$C$20</f>
        <v/>
      </c>
      <c r="R749" t="inlineStr">
        <is>
          <t>z test</t>
        </is>
      </c>
      <c r="S749" t="inlineStr">
        <is>
          <t>z test</t>
        </is>
      </c>
      <c r="T749" t="n">
        <v>0.07800872465999487</v>
      </c>
      <c r="U749" t="n">
        <v>0.06263817243920412</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0.05365853658536585</v>
      </c>
      <c r="AI749">
        <f>IF($Y749="worse","Yes",IF($Y749="worse, not significant","Not sure",IF(OR($Y749="too few losses to test",$Y749="too few loans to test"),"Too few losses",IF($Y749="","","No"))))</f>
        <v/>
      </c>
      <c r="AJ749">
        <f>IF($AA749="yes","Yes",IF($AA749="","","No"))</f>
        <v/>
      </c>
      <c r="AM749">
        <f>IF(AND(ISNUMBER($AC749),ISNUMBER(IF($V749,IF($AL749="","",$AL749),IF($AK749="","",$AK749)))),IF(AND(ABS($AC749-significance_bar)&lt;=2.0*IF($V749,IF($AL749="","",$AL749),IF($AK749="","",$AK749)),OR($Y749="worse",$Y749="better",$Y749="worse, not significant",$Y749="better, not significant")),IF(ROUND($AC749,3)=ROUND(significance_bar,3),TEXT($AC749,"0.0000"),TEXT($AC749,"0.000")),""),"")</f>
        <v/>
      </c>
      <c r="AN749">
        <f>IF(AND(ISNUMBER($AC749),ISNUMBER(IF($V749,IF($AL749="","",$AL749),IF($AK749="","",$AK749)))),IF(AND(ABS($AC749-significance_bar)&lt;=2.0*IF($V749,IF($AL749="","",$AL749),IF($AK749="","",$AK749)),OR($Y749="worse",$Y749="worse, not significant")),IF(ROUND($AC749,3)=ROUND(significance_bar,3),TEXT($AC749,"0.0000"),TEXT($AC749,"0.000")),""),"")</f>
        <v/>
      </c>
      <c r="AO749">
        <f>IF(OR($AI749="",$AN749=""),$AI749,$AI749&amp;" · borderline (p "&amp;$AN749&amp;")")</f>
        <v/>
      </c>
    </row>
    <row r="750">
      <c r="A750" t="inlineStr">
        <is>
          <t>three-way</t>
        </is>
      </c>
      <c r="B750" t="inlineStr">
        <is>
          <t>FICO x ASSET_CLASS / SYS_FLAG</t>
        </is>
      </c>
      <c r="C750" t="inlineStr">
        <is>
          <t>686 - 711</t>
        </is>
      </c>
      <c r="D750" t="inlineStr">
        <is>
          <t>1 / SYS_FLAG N</t>
        </is>
      </c>
      <c r="E750" t="inlineStr">
        <is>
          <t>outcome_booked</t>
        </is>
      </c>
      <c r="F750" t="inlineStr">
        <is>
          <t>Outcome, share of booked dollars</t>
        </is>
      </c>
      <c r="G750" t="n">
        <v>205</v>
      </c>
      <c r="H750" t="n">
        <v>6222482.109999998</v>
      </c>
      <c r="I750" t="b">
        <v>0</v>
      </c>
      <c r="J750" t="b">
        <v>0</v>
      </c>
      <c r="K750" t="n">
        <v>0.7021106066644298</v>
      </c>
      <c r="L750" t="n">
        <v>0.4745969847459698</v>
      </c>
      <c r="M750" t="n">
        <v>0.9217591828761249</v>
      </c>
      <c r="N750" t="n">
        <v>0.9609584496095845</v>
      </c>
      <c r="O750" t="n">
        <v>-139707.2554416364</v>
      </c>
      <c r="P750" t="n">
        <v>-27950.22829184349</v>
      </c>
      <c r="Q750">
        <f>'_live'!$C$21</f>
        <v/>
      </c>
      <c r="R750" t="inlineStr">
        <is>
          <t>shuffled: 2,853 of 10,000</t>
        </is>
      </c>
      <c r="S750" t="inlineStr">
        <is>
          <t>shuffled: 8,131 of 10,000</t>
        </is>
      </c>
      <c r="T750" t="n">
        <v>0.07537030354622209</v>
      </c>
      <c r="U750" t="n">
        <v>0.05741010291017833</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0.05291828954732022</v>
      </c>
      <c r="AI750">
        <f>IF($Y750="worse","Yes",IF($Y750="worse, not significant","Not sure",IF(OR($Y750="too few losses to test",$Y750="too few loans to test"),"Too few losses",IF($Y750="","","No"))))</f>
        <v/>
      </c>
      <c r="AJ750">
        <f>IF($AA750="yes","Yes",IF($AA750="","","No"))</f>
        <v/>
      </c>
      <c r="AK750" t="n">
        <v>0.006784443087213825</v>
      </c>
      <c r="AL750" t="n">
        <v>0.0046069189904356</v>
      </c>
      <c r="AM750">
        <f>IF(AND(ISNUMBER($AC750),ISNUMBER(IF($V750,IF($AL750="","",$AL750),IF($AK750="","",$AK750)))),IF(AND(ABS($AC750-significance_bar)&lt;=2.0*IF($V750,IF($AL750="","",$AL750),IF($AK750="","",$AK750)),OR($Y750="worse",$Y750="better",$Y750="worse, not significant",$Y750="better, not significant")),IF(ROUND($AC750,3)=ROUND(significance_bar,3),TEXT($AC750,"0.0000"),TEXT($AC750,"0.000")),""),"")</f>
        <v/>
      </c>
      <c r="AN750">
        <f>IF(AND(ISNUMBER($AC750),ISNUMBER(IF($V750,IF($AL750="","",$AL750),IF($AK750="","",$AK750)))),IF(AND(ABS($AC750-significance_bar)&lt;=2.0*IF($V750,IF($AL750="","",$AL750),IF($AK750="","",$AK750)),OR($Y750="worse",$Y750="worse, not significant")),IF(ROUND($AC750,3)=ROUND(significance_bar,3),TEXT($AC750,"0.0000"),TEXT($AC750,"0.000")),""),"")</f>
        <v/>
      </c>
      <c r="AO750">
        <f>IF(OR($AI750="",$AN750=""),$AI750,$AI750&amp;" · borderline (p "&amp;$AN750&amp;")")</f>
        <v/>
      </c>
    </row>
    <row r="751">
      <c r="A751" t="inlineStr">
        <is>
          <t>three-way</t>
        </is>
      </c>
      <c r="B751" t="inlineStr">
        <is>
          <t>FICO x ASSET_CLASS / SYS_FLAG</t>
        </is>
      </c>
      <c r="C751" t="inlineStr">
        <is>
          <t>686 - 711</t>
        </is>
      </c>
      <c r="D751" t="inlineStr">
        <is>
          <t>1 / SYS_FLAG N</t>
        </is>
      </c>
      <c r="E751" t="inlineStr">
        <is>
          <t>gco_rate</t>
        </is>
      </c>
      <c r="F751" t="inlineStr">
        <is>
          <t>GCO per booked dollar</t>
        </is>
      </c>
      <c r="G751" t="n">
        <v>205</v>
      </c>
      <c r="H751" t="n">
        <v>6222482.109999998</v>
      </c>
      <c r="I751" t="b">
        <v>0</v>
      </c>
      <c r="J751" t="b">
        <v>0</v>
      </c>
      <c r="K751" t="n">
        <v>0.7895469717923604</v>
      </c>
      <c r="L751" t="n">
        <v>0.6122387761223878</v>
      </c>
      <c r="M751" t="n">
        <v>1.05463752334596</v>
      </c>
      <c r="N751" t="n">
        <v>0.9754024597540246</v>
      </c>
      <c r="O751" t="n">
        <v>-54761.69258975214</v>
      </c>
      <c r="P751" t="n">
        <v>10643.57296772252</v>
      </c>
      <c r="Q751">
        <f>'_live'!$C$22</f>
        <v/>
      </c>
      <c r="R751" t="inlineStr">
        <is>
          <t>shuffled: 4,709 of 10,000</t>
        </is>
      </c>
      <c r="S751" t="inlineStr">
        <is>
          <t>shuffled: 8,754 of 10,000</t>
        </is>
      </c>
      <c r="T751" t="n">
        <v>0.0418174962964662</v>
      </c>
      <c r="U751" t="n">
        <v>0.03130637478558818</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0.03301687756881314</v>
      </c>
      <c r="AI751">
        <f>IF($Y751="worse","Yes",IF($Y751="worse, not significant","Not sure",IF(OR($Y751="too few losses to test",$Y751="too few loans to test"),"Too few losses",IF($Y751="","","No"))))</f>
        <v/>
      </c>
      <c r="AJ751">
        <f>IF($AA751="yes","Yes",IF($AA751="","","No"))</f>
        <v/>
      </c>
      <c r="AK751" t="n">
        <v>0.006489022191141473</v>
      </c>
      <c r="AL751" t="n">
        <v>0.001548951298776788</v>
      </c>
      <c r="AM751">
        <f>IF(AND(ISNUMBER($AC751),ISNUMBER(IF($V751,IF($AL751="","",$AL751),IF($AK751="","",$AK751)))),IF(AND(ABS($AC751-significance_bar)&lt;=2.0*IF($V751,IF($AL751="","",$AL751),IF($AK751="","",$AK751)),OR($Y751="worse",$Y751="better",$Y751="worse, not significant",$Y751="better, not significant")),IF(ROUND($AC751,3)=ROUND(significance_bar,3),TEXT($AC751,"0.0000"),TEXT($AC751,"0.000")),""),"")</f>
        <v/>
      </c>
      <c r="AN751">
        <f>IF(AND(ISNUMBER($AC751),ISNUMBER(IF($V751,IF($AL751="","",$AL751),IF($AK751="","",$AK751)))),IF(AND(ABS($AC751-significance_bar)&lt;=2.0*IF($V751,IF($AL751="","",$AL751),IF($AK751="","",$AK751)),OR($Y751="worse",$Y751="worse, not significant")),IF(ROUND($AC751,3)=ROUND(significance_bar,3),TEXT($AC751,"0.0000"),TEXT($AC751,"0.000")),""),"")</f>
        <v/>
      </c>
      <c r="AO751">
        <f>IF(OR($AI751="",$AN751=""),$AI751,$AI751&amp;" · borderline (p "&amp;$AN751&amp;")")</f>
        <v/>
      </c>
    </row>
    <row r="752">
      <c r="A752" t="inlineStr">
        <is>
          <t>three-way</t>
        </is>
      </c>
      <c r="B752" t="inlineStr">
        <is>
          <t>FICO x ASSET_CLASS / SYS_FLAG</t>
        </is>
      </c>
      <c r="C752" t="inlineStr">
        <is>
          <t>686 - 711</t>
        </is>
      </c>
      <c r="D752" t="inlineStr">
        <is>
          <t>1 / SYS_FLAG N</t>
        </is>
      </c>
      <c r="E752" t="inlineStr">
        <is>
          <t>ranr_rate</t>
        </is>
      </c>
      <c r="F752" t="inlineStr">
        <is>
          <t>Profit after losses: RANR per booked dollar</t>
        </is>
      </c>
      <c r="G752" t="n">
        <v>205</v>
      </c>
      <c r="H752" t="n">
        <v>6222482.109999998</v>
      </c>
      <c r="I752" t="b">
        <v>0</v>
      </c>
      <c r="J752" t="b">
        <v>0</v>
      </c>
      <c r="K752" t="n">
        <v>0.01379843470838021</v>
      </c>
      <c r="L752" t="n">
        <v>0.4524763739842232</v>
      </c>
      <c r="M752" t="n">
        <v>-0.0005267872623559988</v>
      </c>
      <c r="N752" t="n">
        <v>0.9703029697030296</v>
      </c>
      <c r="O752" t="n">
        <v>-85860.51311889896</v>
      </c>
      <c r="P752" t="n">
        <v>3277.924315785989</v>
      </c>
      <c r="Q752">
        <f>'_live'!$C$23</f>
        <v/>
      </c>
      <c r="R752" t="inlineStr">
        <is>
          <t>shuffled: 3,416 of 10,000</t>
        </is>
      </c>
      <c r="S752" t="inlineStr">
        <is>
          <t>shuffled: 9,703 of 10,000</t>
        </is>
      </c>
      <c r="T752" t="n">
        <v>0.1276573452263571</v>
      </c>
      <c r="U752" t="n">
        <v>0.1419825671970933</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0.1414557799347373</v>
      </c>
      <c r="AI752">
        <f>IF($Y752="worse","Yes",IF($Y752="worse, not significant","Not sure",IF(OR($Y752="too few losses to test",$Y752="too few loans to test"),"Too few losses",IF($Y752="","","No"))))</f>
        <v/>
      </c>
      <c r="AJ752">
        <f>IF($AA752="yes","Yes",IF($AA752="","","No"))</f>
        <v/>
      </c>
      <c r="AK752" t="n">
        <v>0.006280848662684574</v>
      </c>
      <c r="AL752" t="n">
        <v>0.001697501596126236</v>
      </c>
      <c r="AM752">
        <f>IF(AND(ISNUMBER($AC752),ISNUMBER(IF($V752,IF($AL752="","",$AL752),IF($AK752="","",$AK752)))),IF(AND(ABS($AC752-significance_bar)&lt;=2.0*IF($V752,IF($AL752="","",$AL752),IF($AK752="","",$AK752)),OR($Y752="worse",$Y752="better",$Y752="worse, not significant",$Y752="better, not significant",AND(profit_kind="test",$Y752="in line",ISNUMBER($AB752),$AB752&lt;&gt;0))),IF(ROUND($AC752,3)=ROUND(significance_bar,3),TEXT($AC752,"0.0000"),TEXT($AC752,"0.000")),""),"")</f>
        <v/>
      </c>
      <c r="AN752">
        <f>IF(AND(ISNUMBER($AC752),ISNUMBER(IF($V752,IF($AL752="","",$AL752),IF($AK752="","",$AK752)))),IF(AND(ABS($AC752-significance_bar)&lt;=2.0*IF($V752,IF($AL752="","",$AL752),IF($AK752="","",$AK752)),OR($Y752="worse",$Y752="worse, not significant",AND(profit_kind="test",$Y752="in line",ISNUMBER($AB752),$AB752&lt;0))),IF(ROUND($AC752,3)=ROUND(significance_bar,3),TEXT($AC752,"0.0000"),TEXT($AC752,"0.000")),""),"")</f>
        <v/>
      </c>
      <c r="AO752">
        <f>IF(OR($AI752="",$AN752=""),$AI752,$AI752&amp;" · borderline (p "&amp;$AN752&amp;")")</f>
        <v/>
      </c>
    </row>
    <row r="753">
      <c r="A753" t="inlineStr">
        <is>
          <t>three-way</t>
        </is>
      </c>
      <c r="B753" t="inlineStr">
        <is>
          <t>FICO x ASSET_CLASS / SYS_FLAG</t>
        </is>
      </c>
      <c r="C753" t="inlineStr">
        <is>
          <t>686 - 711</t>
        </is>
      </c>
      <c r="D753" t="inlineStr">
        <is>
          <t>1 / SYS_FLAG N</t>
        </is>
      </c>
      <c r="E753" t="inlineStr">
        <is>
          <t>contribution_rate</t>
        </is>
      </c>
      <c r="F753" t="inlineStr">
        <is>
          <t>Contribution before losses per booked dollar</t>
        </is>
      </c>
      <c r="G753" t="n">
        <v>205</v>
      </c>
      <c r="H753" t="n">
        <v>6222482.109999998</v>
      </c>
      <c r="I753" t="b">
        <v>0</v>
      </c>
      <c r="J753" t="b">
        <v>0</v>
      </c>
      <c r="K753" t="n">
        <v>0.005000798317073091</v>
      </c>
      <c r="L753" t="n">
        <v>0.7245299860257877</v>
      </c>
      <c r="M753" t="n">
        <v>0.0011837155208691</v>
      </c>
      <c r="N753" t="n">
        <v>0.9799190293736585</v>
      </c>
      <c r="O753" t="n">
        <v>-31117.37806370528</v>
      </c>
      <c r="P753" t="n">
        <v>-7365.648651937256</v>
      </c>
      <c r="Q753">
        <f>'_live'!$C$24</f>
        <v/>
      </c>
      <c r="R753" t="inlineStr">
        <is>
          <t>shuffled: 5,929 of 10,000</t>
        </is>
      </c>
      <c r="S753" t="inlineStr">
        <is>
          <t>shuffled: 8,717 of 10,000</t>
        </is>
      </c>
      <c r="T753" t="n">
        <v>0.1694718591864775</v>
      </c>
      <c r="U753" t="n">
        <v>0.1732889419826815</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0.1744726575035506</v>
      </c>
      <c r="AI753">
        <f>IF($Y753="worse","Yes",IF($Y753="worse, not significant","Not sure",IF(OR($Y753="too few losses to test",$Y753="too few loans to test"),"Too few losses",IF($Y753="","","No"))))</f>
        <v/>
      </c>
      <c r="AJ753">
        <f>IF($AA753="yes","Yes",IF($AA753="","","No"))</f>
        <v/>
      </c>
      <c r="AK753" t="n">
        <v>0.005839160812699521</v>
      </c>
      <c r="AL753" t="n">
        <v>0.002013133534953629</v>
      </c>
      <c r="AM753">
        <f>IF(AND(ISNUMBER($AC753),ISNUMBER(IF($V753,IF($AL753="","",$AL753),IF($AK753="","",$AK753)))),IF(AND(ABS($AC753-significance_bar)&lt;=2.0*IF($V753,IF($AL753="","",$AL753),IF($AK753="","",$AK753)),OR($Y753="worse",$Y753="better",$Y753="worse, not significant",$Y753="better, not significant",AND(profit_kind="test",$Y753="in line",ISNUMBER($AB753),$AB753&lt;&gt;0))),IF(ROUND($AC753,3)=ROUND(significance_bar,3),TEXT($AC753,"0.0000"),TEXT($AC753,"0.000")),""),"")</f>
        <v/>
      </c>
      <c r="AN753">
        <f>IF(AND(ISNUMBER($AC753),ISNUMBER(IF($V753,IF($AL753="","",$AL753),IF($AK753="","",$AK753)))),IF(AND(ABS($AC753-significance_bar)&lt;=2.0*IF($V753,IF($AL753="","",$AL753),IF($AK753="","",$AK753)),OR($Y753="worse",$Y753="worse, not significant",AND(profit_kind="test",$Y753="in line",ISNUMBER($AB753),$AB753&lt;0))),IF(ROUND($AC753,3)=ROUND(significance_bar,3),TEXT($AC753,"0.0000"),TEXT($AC753,"0.000")),""),"")</f>
        <v/>
      </c>
      <c r="AO753">
        <f>IF(OR($AI753="",$AN753=""),$AI753,$AI753&amp;" · borderline (p "&amp;$AN753&amp;")")</f>
        <v/>
      </c>
    </row>
    <row r="754">
      <c r="A754" t="inlineStr">
        <is>
          <t>three-way</t>
        </is>
      </c>
      <c r="B754" t="inlineStr">
        <is>
          <t>FICO x ASSET_CLASS / SYS_FLAG</t>
        </is>
      </c>
      <c r="C754" t="inlineStr">
        <is>
          <t>654 - 685</t>
        </is>
      </c>
      <c r="D754" t="inlineStr">
        <is>
          <t>1 / SYS_FLAG N</t>
        </is>
      </c>
      <c r="E754" t="inlineStr">
        <is>
          <t>outcome_loans</t>
        </is>
      </c>
      <c r="F754" t="inlineStr">
        <is>
          <t>Outcome, share of loans</t>
        </is>
      </c>
      <c r="G754" t="n">
        <v>210</v>
      </c>
      <c r="H754" t="n">
        <v>210</v>
      </c>
      <c r="I754" t="b">
        <v>0</v>
      </c>
      <c r="J754" t="b">
        <v>0</v>
      </c>
      <c r="K754" t="n">
        <v>0.6090390179060129</v>
      </c>
      <c r="L754" t="n">
        <v>0.326876491628326</v>
      </c>
      <c r="M754" t="n">
        <v>0.5273809523809523</v>
      </c>
      <c r="N754" t="n">
        <v>0.1440508832300698</v>
      </c>
      <c r="O754" t="n">
        <v>-6.419309282321223</v>
      </c>
      <c r="P754" t="n">
        <v>-8.961625282167045</v>
      </c>
      <c r="Q754">
        <f>'_live'!$C$20</f>
        <v/>
      </c>
      <c r="R754" t="inlineStr">
        <is>
          <t>z test</t>
        </is>
      </c>
      <c r="S754" t="inlineStr">
        <is>
          <t>z test</t>
        </is>
      </c>
      <c r="T754" t="n">
        <v>0.07818718705867249</v>
      </c>
      <c r="U754" t="n">
        <v>0.09029345372460497</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0.04761904761904762</v>
      </c>
      <c r="AI754">
        <f>IF($Y754="worse","Yes",IF($Y754="worse, not significant","Not sure",IF(OR($Y754="too few losses to test",$Y754="too few loans to test"),"Too few losses",IF($Y754="","","No"))))</f>
        <v/>
      </c>
      <c r="AJ754">
        <f>IF($AA754="yes","Yes",IF($AA754="","","No"))</f>
        <v/>
      </c>
      <c r="AM754">
        <f>IF(AND(ISNUMBER($AC754),ISNUMBER(IF($V754,IF($AL754="","",$AL754),IF($AK754="","",$AK754)))),IF(AND(ABS($AC754-significance_bar)&lt;=2.0*IF($V754,IF($AL754="","",$AL754),IF($AK754="","",$AK754)),OR($Y754="worse",$Y754="better",$Y754="worse, not significant",$Y754="better, not significant")),IF(ROUND($AC754,3)=ROUND(significance_bar,3),TEXT($AC754,"0.0000"),TEXT($AC754,"0.000")),""),"")</f>
        <v/>
      </c>
      <c r="AN754">
        <f>IF(AND(ISNUMBER($AC754),ISNUMBER(IF($V754,IF($AL754="","",$AL754),IF($AK754="","",$AK754)))),IF(AND(ABS($AC754-significance_bar)&lt;=2.0*IF($V754,IF($AL754="","",$AL754),IF($AK754="","",$AK754)),OR($Y754="worse",$Y754="worse, not significant")),IF(ROUND($AC754,3)=ROUND(significance_bar,3),TEXT($AC754,"0.0000"),TEXT($AC754,"0.000")),""),"")</f>
        <v/>
      </c>
      <c r="AO754">
        <f>IF(OR($AI754="",$AN754=""),$AI754,$AI754&amp;" · borderline (p "&amp;$AN754&amp;")")</f>
        <v/>
      </c>
    </row>
    <row r="755">
      <c r="A755" t="inlineStr">
        <is>
          <t>three-way</t>
        </is>
      </c>
      <c r="B755" t="inlineStr">
        <is>
          <t>FICO x ASSET_CLASS / SYS_FLAG</t>
        </is>
      </c>
      <c r="C755" t="inlineStr">
        <is>
          <t>654 - 685</t>
        </is>
      </c>
      <c r="D755" t="inlineStr">
        <is>
          <t>1 / SYS_FLAG N</t>
        </is>
      </c>
      <c r="E755" t="inlineStr">
        <is>
          <t>outcome_booked</t>
        </is>
      </c>
      <c r="F755" t="inlineStr">
        <is>
          <t>Outcome, share of booked dollars</t>
        </is>
      </c>
      <c r="G755" t="n">
        <v>210</v>
      </c>
      <c r="H755" t="n">
        <v>6852251.330000001</v>
      </c>
      <c r="I755" t="b">
        <v>0</v>
      </c>
      <c r="J755" t="b">
        <v>0</v>
      </c>
      <c r="K755" t="n">
        <v>0.524578339067009</v>
      </c>
      <c r="L755" t="n">
        <v>0.2326767323267673</v>
      </c>
      <c r="M755" t="n">
        <v>0.4605392252685241</v>
      </c>
      <c r="N755" t="n">
        <v>0.1679432056794321</v>
      </c>
      <c r="O755" t="n">
        <v>-246887.6725531065</v>
      </c>
      <c r="P755" t="n">
        <v>-319097.9689911994</v>
      </c>
      <c r="Q755">
        <f>'_live'!$C$21</f>
        <v/>
      </c>
      <c r="R755" t="inlineStr">
        <is>
          <t>shuffled: 715 of 10,000</t>
        </is>
      </c>
      <c r="S755" t="inlineStr">
        <is>
          <t>shuffled: 322 of 10,000</t>
        </is>
      </c>
      <c r="T755" t="n">
        <v>0.07578568087243619</v>
      </c>
      <c r="U755" t="n">
        <v>0.08632386649355421</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0.03975552659712497</v>
      </c>
      <c r="AI755">
        <f>IF($Y755="worse","Yes",IF($Y755="worse, not significant","Not sure",IF(OR($Y755="too few losses to test",$Y755="too few loans to test"),"Too few losses",IF($Y755="","","No"))))</f>
        <v/>
      </c>
      <c r="AJ755">
        <f>IF($AA755="yes","Yes",IF($AA755="","","No"))</f>
        <v/>
      </c>
      <c r="AK755" t="n">
        <v>0.008378907555855545</v>
      </c>
      <c r="AL755" t="n">
        <v>0.009192930703530635</v>
      </c>
      <c r="AM755">
        <f>IF(AND(ISNUMBER($AC755),ISNUMBER(IF($V755,IF($AL755="","",$AL755),IF($AK755="","",$AK755)))),IF(AND(ABS($AC755-significance_bar)&lt;=2.0*IF($V755,IF($AL755="","",$AL755),IF($AK755="","",$AK755)),OR($Y755="worse",$Y755="better",$Y755="worse, not significant",$Y755="better, not significant")),IF(ROUND($AC755,3)=ROUND(significance_bar,3),TEXT($AC755,"0.0000"),TEXT($AC755,"0.000")),""),"")</f>
        <v/>
      </c>
      <c r="AN755">
        <f>IF(AND(ISNUMBER($AC755),ISNUMBER(IF($V755,IF($AL755="","",$AL755),IF($AK755="","",$AK755)))),IF(AND(ABS($AC755-significance_bar)&lt;=2.0*IF($V755,IF($AL755="","",$AL755),IF($AK755="","",$AK755)),OR($Y755="worse",$Y755="worse, not significant")),IF(ROUND($AC755,3)=ROUND(significance_bar,3),TEXT($AC755,"0.0000"),TEXT($AC755,"0.000")),""),"")</f>
        <v/>
      </c>
      <c r="AO755">
        <f>IF(OR($AI755="",$AN755=""),$AI755,$AI755&amp;" · borderline (p "&amp;$AN755&amp;")")</f>
        <v/>
      </c>
    </row>
    <row r="756">
      <c r="A756" t="inlineStr">
        <is>
          <t>three-way</t>
        </is>
      </c>
      <c r="B756" t="inlineStr">
        <is>
          <t>FICO x ASSET_CLASS / SYS_FLAG</t>
        </is>
      </c>
      <c r="C756" t="inlineStr">
        <is>
          <t>654 - 685</t>
        </is>
      </c>
      <c r="D756" t="inlineStr">
        <is>
          <t>1 / SYS_FLAG N</t>
        </is>
      </c>
      <c r="E756" t="inlineStr">
        <is>
          <t>gco_rate</t>
        </is>
      </c>
      <c r="F756" t="inlineStr">
        <is>
          <t>GCO per booked dollar</t>
        </is>
      </c>
      <c r="G756" t="n">
        <v>210</v>
      </c>
      <c r="H756" t="n">
        <v>6852251.330000001</v>
      </c>
      <c r="I756" t="b">
        <v>0</v>
      </c>
      <c r="J756" t="b">
        <v>0</v>
      </c>
      <c r="K756" t="n">
        <v>0.4400423109697138</v>
      </c>
      <c r="L756" t="n">
        <v>0.1511563129401346</v>
      </c>
      <c r="M756" t="n">
        <v>0.3753796869342567</v>
      </c>
      <c r="N756" t="n">
        <v>0.08891110888911108</v>
      </c>
      <c r="O756" t="n">
        <v>-162047.8934026513</v>
      </c>
      <c r="P756" t="n">
        <v>-211898.5328887914</v>
      </c>
      <c r="Q756">
        <f>'_live'!$C$22</f>
        <v/>
      </c>
      <c r="R756" t="inlineStr">
        <is>
          <t>shuffled: 406 of 10,000</t>
        </is>
      </c>
      <c r="S756" t="inlineStr">
        <is>
          <t>shuffled: 170 of 10,000</t>
        </is>
      </c>
      <c r="T756" t="n">
        <v>0.04223328793204834</v>
      </c>
      <c r="U756" t="n">
        <v>0.04950836251489207</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0.01858443362146788</v>
      </c>
      <c r="AI756">
        <f>IF($Y756="worse","Yes",IF($Y756="worse, not significant","Not sure",IF(OR($Y756="too few losses to test",$Y756="too few loans to test"),"Too few losses",IF($Y756="","","No"))))</f>
        <v/>
      </c>
      <c r="AJ756">
        <f>IF($AA756="yes","Yes",IF($AA756="","","No"))</f>
        <v/>
      </c>
      <c r="AK756" t="n">
        <v>0.007338865735493372</v>
      </c>
      <c r="AL756" t="n">
        <v>0.006741161479593011</v>
      </c>
      <c r="AM756">
        <f>IF(AND(ISNUMBER($AC756),ISNUMBER(IF($V756,IF($AL756="","",$AL756),IF($AK756="","",$AK756)))),IF(AND(ABS($AC756-significance_bar)&lt;=2.0*IF($V756,IF($AL756="","",$AL756),IF($AK756="","",$AK756)),OR($Y756="worse",$Y756="better",$Y756="worse, not significant",$Y756="better, not significant")),IF(ROUND($AC756,3)=ROUND(significance_bar,3),TEXT($AC756,"0.0000"),TEXT($AC756,"0.000")),""),"")</f>
        <v/>
      </c>
      <c r="AN756">
        <f>IF(AND(ISNUMBER($AC756),ISNUMBER(IF($V756,IF($AL756="","",$AL756),IF($AK756="","",$AK756)))),IF(AND(ABS($AC756-significance_bar)&lt;=2.0*IF($V756,IF($AL756="","",$AL756),IF($AK756="","",$AK756)),OR($Y756="worse",$Y756="worse, not significant")),IF(ROUND($AC756,3)=ROUND(significance_bar,3),TEXT($AC756,"0.0000"),TEXT($AC756,"0.000")),""),"")</f>
        <v/>
      </c>
      <c r="AO756">
        <f>IF(OR($AI756="",$AN756=""),$AI756,$AI756&amp;" · borderline (p "&amp;$AN756&amp;")")</f>
        <v/>
      </c>
    </row>
    <row r="757">
      <c r="A757" t="inlineStr">
        <is>
          <t>three-way</t>
        </is>
      </c>
      <c r="B757" t="inlineStr">
        <is>
          <t>FICO x ASSET_CLASS / SYS_FLAG</t>
        </is>
      </c>
      <c r="C757" t="inlineStr">
        <is>
          <t>654 - 685</t>
        </is>
      </c>
      <c r="D757" t="inlineStr">
        <is>
          <t>1 / SYS_FLAG N</t>
        </is>
      </c>
      <c r="E757" t="inlineStr">
        <is>
          <t>ranr_rate</t>
        </is>
      </c>
      <c r="F757" t="inlineStr">
        <is>
          <t>Profit after losses: RANR per booked dollar</t>
        </is>
      </c>
      <c r="G757" t="n">
        <v>210</v>
      </c>
      <c r="H757" t="n">
        <v>6852251.330000001</v>
      </c>
      <c r="I757" t="b">
        <v>0</v>
      </c>
      <c r="J757" t="b">
        <v>0</v>
      </c>
      <c r="K757" t="n">
        <v>0.05646545349026377</v>
      </c>
      <c r="L757" t="n">
        <v>0.0006999300069993001</v>
      </c>
      <c r="M757" t="n">
        <v>0.02308635629139039</v>
      </c>
      <c r="N757" t="n">
        <v>0.5135486451354865</v>
      </c>
      <c r="O757" t="n">
        <v>-386915.4787777133</v>
      </c>
      <c r="P757" t="n">
        <v>-158193.5156025337</v>
      </c>
      <c r="Q757">
        <f>'_live'!$C$23</f>
        <v/>
      </c>
      <c r="R757" t="inlineStr">
        <is>
          <t>shuffled: 1 of 10,000</t>
        </is>
      </c>
      <c r="S757" t="inlineStr">
        <is>
          <t>shuffled: 1,445 of 10,000</t>
        </is>
      </c>
      <c r="T757" t="n">
        <v>0.1264907749993879</v>
      </c>
      <c r="U757" t="n">
        <v>0.1598698721982613</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0.1829562284896517</v>
      </c>
      <c r="AI757">
        <f>IF($Y757="worse","Yes",IF($Y757="worse, not significant","Not sure",IF(OR($Y757="too few losses to test",$Y757="too few loans to test"),"Too few losses",IF($Y757="","","No"))))</f>
        <v/>
      </c>
      <c r="AJ757">
        <f>IF($AA757="yes","Yes",IF($AA757="","","No"))</f>
        <v/>
      </c>
      <c r="AK757" t="n">
        <v>0.00049490050742375</v>
      </c>
      <c r="AL757" t="n">
        <v>0.01174573732684782</v>
      </c>
      <c r="AM757">
        <f>IF(AND(ISNUMBER($AC757),ISNUMBER(IF($V757,IF($AL757="","",$AL757),IF($AK757="","",$AK757)))),IF(AND(ABS($AC757-significance_bar)&lt;=2.0*IF($V757,IF($AL757="","",$AL757),IF($AK757="","",$AK757)),OR($Y757="worse",$Y757="better",$Y757="worse, not significant",$Y757="better, not significant",AND(profit_kind="test",$Y757="in line",ISNUMBER($AB757),$AB757&lt;&gt;0))),IF(ROUND($AC757,3)=ROUND(significance_bar,3),TEXT($AC757,"0.0000"),TEXT($AC757,"0.000")),""),"")</f>
        <v/>
      </c>
      <c r="AN757">
        <f>IF(AND(ISNUMBER($AC757),ISNUMBER(IF($V757,IF($AL757="","",$AL757),IF($AK757="","",$AK757)))),IF(AND(ABS($AC757-significance_bar)&lt;=2.0*IF($V757,IF($AL757="","",$AL757),IF($AK757="","",$AK757)),OR($Y757="worse",$Y757="worse, not significant",AND(profit_kind="test",$Y757="in line",ISNUMBER($AB757),$AB757&lt;0))),IF(ROUND($AC757,3)=ROUND(significance_bar,3),TEXT($AC757,"0.0000"),TEXT($AC757,"0.000")),""),"")</f>
        <v/>
      </c>
      <c r="AO757">
        <f>IF(OR($AI757="",$AN757=""),$AI757,$AI757&amp;" · borderline (p "&amp;$AN757&amp;")")</f>
        <v/>
      </c>
    </row>
    <row r="758">
      <c r="A758" t="inlineStr">
        <is>
          <t>three-way</t>
        </is>
      </c>
      <c r="B758" t="inlineStr">
        <is>
          <t>FICO x ASSET_CLASS / SYS_FLAG</t>
        </is>
      </c>
      <c r="C758" t="inlineStr">
        <is>
          <t>654 - 685</t>
        </is>
      </c>
      <c r="D758" t="inlineStr">
        <is>
          <t>1 / SYS_FLAG N</t>
        </is>
      </c>
      <c r="E758" t="inlineStr">
        <is>
          <t>contribution_rate</t>
        </is>
      </c>
      <c r="F758" t="inlineStr">
        <is>
          <t>Contribution before losses per booked dollar</t>
        </is>
      </c>
      <c r="G758" t="n">
        <v>210</v>
      </c>
      <c r="H758" t="n">
        <v>6852251.330000001</v>
      </c>
      <c r="I758" t="b">
        <v>0</v>
      </c>
      <c r="J758" t="b">
        <v>0</v>
      </c>
      <c r="K758" t="n">
        <v>0.03281977330489547</v>
      </c>
      <c r="L758" t="n">
        <v>0.00034996500349965</v>
      </c>
      <c r="M758" t="n">
        <v>-0.007837572602033799</v>
      </c>
      <c r="N758" t="n">
        <v>0.937752378608293</v>
      </c>
      <c r="O758" t="n">
        <v>-224889.3352787686</v>
      </c>
      <c r="P758" t="n">
        <v>53705.01728625759</v>
      </c>
      <c r="Q758">
        <f>'_live'!$C$24</f>
        <v/>
      </c>
      <c r="R758" t="inlineStr">
        <is>
          <t>shuffled: 1 of 10,000</t>
        </is>
      </c>
      <c r="S758" t="inlineStr">
        <is>
          <t>shuffled: 3,765 of 10,000</t>
        </is>
      </c>
      <c r="T758" t="n">
        <v>0.1687208888062242</v>
      </c>
      <c r="U758" t="n">
        <v>0.2093782347131534</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0.2015406621111196</v>
      </c>
      <c r="AI758">
        <f>IF($Y758="worse","Yes",IF($Y758="worse, not significant","Not sure",IF(OR($Y758="too few losses to test",$Y758="too few loans to test"),"Too few losses",IF($Y758="","","No"))))</f>
        <v/>
      </c>
      <c r="AJ758">
        <f>IF($AA758="yes","Yes",IF($AA758="","","No"))</f>
        <v/>
      </c>
      <c r="AK758" t="n">
        <v>0.000247450253711875</v>
      </c>
      <c r="AL758" t="n">
        <v>0.009229602574987216</v>
      </c>
      <c r="AM758">
        <f>IF(AND(ISNUMBER($AC758),ISNUMBER(IF($V758,IF($AL758="","",$AL758),IF($AK758="","",$AK758)))),IF(AND(ABS($AC758-significance_bar)&lt;=2.0*IF($V758,IF($AL758="","",$AL758),IF($AK758="","",$AK758)),OR($Y758="worse",$Y758="better",$Y758="worse, not significant",$Y758="better, not significant",AND(profit_kind="test",$Y758="in line",ISNUMBER($AB758),$AB758&lt;&gt;0))),IF(ROUND($AC758,3)=ROUND(significance_bar,3),TEXT($AC758,"0.0000"),TEXT($AC758,"0.000")),""),"")</f>
        <v/>
      </c>
      <c r="AN758">
        <f>IF(AND(ISNUMBER($AC758),ISNUMBER(IF($V758,IF($AL758="","",$AL758),IF($AK758="","",$AK758)))),IF(AND(ABS($AC758-significance_bar)&lt;=2.0*IF($V758,IF($AL758="","",$AL758),IF($AK758="","",$AK758)),OR($Y758="worse",$Y758="worse, not significant",AND(profit_kind="test",$Y758="in line",ISNUMBER($AB758),$AB758&lt;0))),IF(ROUND($AC758,3)=ROUND(significance_bar,3),TEXT($AC758,"0.0000"),TEXT($AC758,"0.000")),""),"")</f>
        <v/>
      </c>
      <c r="AO758">
        <f>IF(OR($AI758="",$AN758=""),$AI758,$AI758&amp;" · borderline (p "&amp;$AN758&amp;")")</f>
        <v/>
      </c>
    </row>
    <row r="759">
      <c r="A759" t="inlineStr">
        <is>
          <t>three-way</t>
        </is>
      </c>
      <c r="B759" t="inlineStr">
        <is>
          <t>FICO x ASSET_CLASS / SYS_FLAG</t>
        </is>
      </c>
      <c r="C759" t="inlineStr">
        <is>
          <t>496 - 653</t>
        </is>
      </c>
      <c r="D759" t="inlineStr">
        <is>
          <t>1 / SYS_FLAG Y</t>
        </is>
      </c>
      <c r="E759" t="inlineStr">
        <is>
          <t>outcome_loans</t>
        </is>
      </c>
      <c r="F759" t="inlineStr">
        <is>
          <t>Outcome, share of loans</t>
        </is>
      </c>
      <c r="G759" t="n">
        <v>186</v>
      </c>
      <c r="H759" t="n">
        <v>186</v>
      </c>
      <c r="I759" t="b">
        <v>0</v>
      </c>
      <c r="J759" t="b">
        <v>0</v>
      </c>
      <c r="K759" t="n">
        <v>2.747339588769826</v>
      </c>
      <c r="L759" t="n">
        <v>7.253475791758204e-10</v>
      </c>
      <c r="M759" t="n">
        <v>1.426980469607198</v>
      </c>
      <c r="N759" t="n">
        <v>0.1242709320909982</v>
      </c>
      <c r="O759" t="n">
        <v>24.16843722001792</v>
      </c>
      <c r="P759" t="n">
        <v>11.37034331628926</v>
      </c>
      <c r="Q759">
        <f>'_live'!$C$20</f>
        <v/>
      </c>
      <c r="R759" t="inlineStr">
        <is>
          <t>z test</t>
        </is>
      </c>
      <c r="S759" t="inlineStr">
        <is>
          <t>z test</t>
        </is>
      </c>
      <c r="T759" t="n">
        <v>0.07436324075259183</v>
      </c>
      <c r="U759" t="n">
        <v>0.1431701972242513</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0.2043010752688172</v>
      </c>
      <c r="AI759">
        <f>IF($Y759="worse","Yes",IF($Y759="worse, not significant","Not sure",IF(OR($Y759="too few losses to test",$Y759="too few loans to test"),"Too few losses",IF($Y759="","","No"))))</f>
        <v/>
      </c>
      <c r="AJ759">
        <f>IF($AA759="yes","Yes",IF($AA759="","","No"))</f>
        <v/>
      </c>
      <c r="AM759">
        <f>IF(AND(ISNUMBER($AC759),ISNUMBER(IF($V759,IF($AL759="","",$AL759),IF($AK759="","",$AK759)))),IF(AND(ABS($AC759-significance_bar)&lt;=2.0*IF($V759,IF($AL759="","",$AL759),IF($AK759="","",$AK759)),OR($Y759="worse",$Y759="better",$Y759="worse, not significant",$Y759="better, not significant")),IF(ROUND($AC759,3)=ROUND(significance_bar,3),TEXT($AC759,"0.0000"),TEXT($AC759,"0.000")),""),"")</f>
        <v/>
      </c>
      <c r="AN759">
        <f>IF(AND(ISNUMBER($AC759),ISNUMBER(IF($V759,IF($AL759="","",$AL759),IF($AK759="","",$AK759)))),IF(AND(ABS($AC759-significance_bar)&lt;=2.0*IF($V759,IF($AL759="","",$AL759),IF($AK759="","",$AK759)),OR($Y759="worse",$Y759="worse, not significant")),IF(ROUND($AC759,3)=ROUND(significance_bar,3),TEXT($AC759,"0.0000"),TEXT($AC759,"0.000")),""),"")</f>
        <v/>
      </c>
      <c r="AO759">
        <f>IF(OR($AI759="",$AN759=""),$AI759,$AI759&amp;" · borderline (p "&amp;$AN759&amp;")")</f>
        <v/>
      </c>
    </row>
    <row r="760">
      <c r="A760" t="inlineStr">
        <is>
          <t>three-way</t>
        </is>
      </c>
      <c r="B760" t="inlineStr">
        <is>
          <t>FICO x ASSET_CLASS / SYS_FLAG</t>
        </is>
      </c>
      <c r="C760" t="inlineStr">
        <is>
          <t>496 - 653</t>
        </is>
      </c>
      <c r="D760" t="inlineStr">
        <is>
          <t>1 / SYS_FLAG Y</t>
        </is>
      </c>
      <c r="E760" t="inlineStr">
        <is>
          <t>outcome_booked</t>
        </is>
      </c>
      <c r="F760" t="inlineStr">
        <is>
          <t>Outcome, share of booked dollars</t>
        </is>
      </c>
      <c r="G760" t="n">
        <v>186</v>
      </c>
      <c r="H760" t="n">
        <v>6238094.25</v>
      </c>
      <c r="I760" t="b">
        <v>0</v>
      </c>
      <c r="J760" t="b">
        <v>0</v>
      </c>
      <c r="K760" t="n">
        <v>2.751978004187269</v>
      </c>
      <c r="L760" t="n">
        <v>0.0012998700129987</v>
      </c>
      <c r="M760" t="n">
        <v>1.38757708065876</v>
      </c>
      <c r="N760" t="n">
        <v>0.2867141857242847</v>
      </c>
      <c r="O760" t="n">
        <v>784574.113122609</v>
      </c>
      <c r="P760" t="n">
        <v>344232.0101918504</v>
      </c>
      <c r="Q760">
        <f>'_live'!$C$21</f>
        <v/>
      </c>
      <c r="R760" t="inlineStr">
        <is>
          <t>shuffled: 0 of 10,000</t>
        </is>
      </c>
      <c r="S760" t="inlineStr">
        <is>
          <t>shuffled: 771 of 10,000</t>
        </is>
      </c>
      <c r="T760" t="n">
        <v>0.07178825438191978</v>
      </c>
      <c r="U760" t="n">
        <v>0.1423774576359037</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0.1975596970180436</v>
      </c>
      <c r="AI760">
        <f>IF($Y760="worse","Yes",IF($Y760="worse, not significant","Not sure",IF(OR($Y760="too few losses to test",$Y760="too few loans to test"),"Too few losses",IF($Y760="","","No"))))</f>
        <v/>
      </c>
      <c r="AJ760">
        <f>IF($AA760="yes","Yes",IF($AA760="","","No"))</f>
        <v/>
      </c>
      <c r="AK760" t="n">
        <v>0.0012998700129987</v>
      </c>
      <c r="AL760" t="n">
        <v>0.009913290976377281</v>
      </c>
      <c r="AM760">
        <f>IF(AND(ISNUMBER($AC760),ISNUMBER(IF($V760,IF($AL760="","",$AL760),IF($AK760="","",$AK760)))),IF(AND(ABS($AC760-significance_bar)&lt;=2.0*IF($V760,IF($AL760="","",$AL760),IF($AK760="","",$AK760)),OR($Y760="worse",$Y760="better",$Y760="worse, not significant",$Y760="better, not significant")),IF(ROUND($AC760,3)=ROUND(significance_bar,3),TEXT($AC760,"0.0000"),TEXT($AC760,"0.000")),""),"")</f>
        <v/>
      </c>
      <c r="AN760">
        <f>IF(AND(ISNUMBER($AC760),ISNUMBER(IF($V760,IF($AL760="","",$AL760),IF($AK760="","",$AK760)))),IF(AND(ABS($AC760-significance_bar)&lt;=2.0*IF($V760,IF($AL760="","",$AL760),IF($AK760="","",$AK760)),OR($Y760="worse",$Y760="worse, not significant")),IF(ROUND($AC760,3)=ROUND(significance_bar,3),TEXT($AC760,"0.0000"),TEXT($AC760,"0.000")),""),"")</f>
        <v/>
      </c>
      <c r="AO760">
        <f>IF(OR($AI760="",$AN760=""),$AI760,$AI760&amp;" · borderline (p "&amp;$AN760&amp;")")</f>
        <v/>
      </c>
    </row>
    <row r="761">
      <c r="A761" t="inlineStr">
        <is>
          <t>three-way</t>
        </is>
      </c>
      <c r="B761" t="inlineStr">
        <is>
          <t>FICO x ASSET_CLASS / SYS_FLAG</t>
        </is>
      </c>
      <c r="C761" t="inlineStr">
        <is>
          <t>496 - 653</t>
        </is>
      </c>
      <c r="D761" t="inlineStr">
        <is>
          <t>1 / SYS_FLAG Y</t>
        </is>
      </c>
      <c r="E761" t="inlineStr">
        <is>
          <t>gco_rate</t>
        </is>
      </c>
      <c r="F761" t="inlineStr">
        <is>
          <t>GCO per booked dollar</t>
        </is>
      </c>
      <c r="G761" t="n">
        <v>186</v>
      </c>
      <c r="H761" t="n">
        <v>6238094.25</v>
      </c>
      <c r="I761" t="b">
        <v>0</v>
      </c>
      <c r="J761" t="b">
        <v>0</v>
      </c>
      <c r="K761" t="n">
        <v>2.768205026641029</v>
      </c>
      <c r="L761" t="n">
        <v>0.0006499350064993501</v>
      </c>
      <c r="M761" t="n">
        <v>1.386369242731153</v>
      </c>
      <c r="N761" t="n">
        <v>0.3219963717913923</v>
      </c>
      <c r="O761" t="n">
        <v>440102.1168258276</v>
      </c>
      <c r="P761" t="n">
        <v>192018.3446797997</v>
      </c>
      <c r="Q761">
        <f>'_live'!$C$22</f>
        <v/>
      </c>
      <c r="R761" t="inlineStr">
        <is>
          <t>shuffled: 0 of 10,000</t>
        </is>
      </c>
      <c r="S761" t="inlineStr">
        <is>
          <t>shuffled: 866 of 10,000</t>
        </is>
      </c>
      <c r="T761" t="n">
        <v>0.0398996333173665</v>
      </c>
      <c r="U761" t="n">
        <v>0.0796687939301655</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0.1104503655102678</v>
      </c>
      <c r="AI761">
        <f>IF($Y761="worse","Yes",IF($Y761="worse, not significant","Not sure",IF(OR($Y761="too few losses to test",$Y761="too few loans to test"),"Too few losses",IF($Y761="","","No"))))</f>
        <v/>
      </c>
      <c r="AJ761">
        <f>IF($AA761="yes","Yes",IF($AA761="","","No"))</f>
        <v/>
      </c>
      <c r="AK761" t="n">
        <v>0.0006499350064993501</v>
      </c>
      <c r="AL761" t="n">
        <v>0.01045133895895535</v>
      </c>
      <c r="AM761">
        <f>IF(AND(ISNUMBER($AC761),ISNUMBER(IF($V761,IF($AL761="","",$AL761),IF($AK761="","",$AK761)))),IF(AND(ABS($AC761-significance_bar)&lt;=2.0*IF($V761,IF($AL761="","",$AL761),IF($AK761="","",$AK761)),OR($Y761="worse",$Y761="better",$Y761="worse, not significant",$Y761="better, not significant")),IF(ROUND($AC761,3)=ROUND(significance_bar,3),TEXT($AC761,"0.0000"),TEXT($AC761,"0.000")),""),"")</f>
        <v/>
      </c>
      <c r="AN761">
        <f>IF(AND(ISNUMBER($AC761),ISNUMBER(IF($V761,IF($AL761="","",$AL761),IF($AK761="","",$AK761)))),IF(AND(ABS($AC761-significance_bar)&lt;=2.0*IF($V761,IF($AL761="","",$AL761),IF($AK761="","",$AK761)),OR($Y761="worse",$Y761="worse, not significant")),IF(ROUND($AC761,3)=ROUND(significance_bar,3),TEXT($AC761,"0.0000"),TEXT($AC761,"0.000")),""),"")</f>
        <v/>
      </c>
      <c r="AO761">
        <f>IF(OR($AI761="",$AN761=""),$AI761,$AI761&amp;" · borderline (p "&amp;$AN761&amp;")")</f>
        <v/>
      </c>
    </row>
    <row r="762">
      <c r="A762" t="inlineStr">
        <is>
          <t>three-way</t>
        </is>
      </c>
      <c r="B762" t="inlineStr">
        <is>
          <t>FICO x ASSET_CLASS / SYS_FLAG</t>
        </is>
      </c>
      <c r="C762" t="inlineStr">
        <is>
          <t>496 - 653</t>
        </is>
      </c>
      <c r="D762" t="inlineStr">
        <is>
          <t>1 / SYS_FLAG Y</t>
        </is>
      </c>
      <c r="E762" t="inlineStr">
        <is>
          <t>ranr_rate</t>
        </is>
      </c>
      <c r="F762" t="inlineStr">
        <is>
          <t>Profit after losses: RANR per booked dollar</t>
        </is>
      </c>
      <c r="G762" t="n">
        <v>186</v>
      </c>
      <c r="H762" t="n">
        <v>6238094.25</v>
      </c>
      <c r="I762" t="b">
        <v>0</v>
      </c>
      <c r="J762" t="b">
        <v>0</v>
      </c>
      <c r="K762" t="n">
        <v>0.04355559245097157</v>
      </c>
      <c r="L762" t="n">
        <v>0.0114321901143219</v>
      </c>
      <c r="M762" t="n">
        <v>-0.0224369571806238</v>
      </c>
      <c r="N762" t="n">
        <v>0.623937606239376</v>
      </c>
      <c r="O762" t="n">
        <v>-271703.8908237492</v>
      </c>
      <c r="P762" t="n">
        <v>139963.8535759454</v>
      </c>
      <c r="Q762">
        <f>'_live'!$C$23</f>
        <v/>
      </c>
      <c r="R762" t="inlineStr">
        <is>
          <t>shuffled: 48 of 10,000</t>
        </is>
      </c>
      <c r="S762" t="inlineStr">
        <is>
          <t>shuffled: 2,989 of 10,000</t>
        </is>
      </c>
      <c r="T762" t="n">
        <v>0.1269372131041865</v>
      </c>
      <c r="U762" t="n">
        <v>0.1929297627357819</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0.1704928055551581</v>
      </c>
      <c r="AI762">
        <f>IF($Y762="worse","Yes",IF($Y762="worse, not significant","Not sure",IF(OR($Y762="too few losses to test",$Y762="too few loans to test"),"Too few losses",IF($Y762="","","No"))))</f>
        <v/>
      </c>
      <c r="AJ762">
        <f>IF($AA762="yes","Yes",IF($AA762="","","No"))</f>
        <v/>
      </c>
      <c r="AK762" t="n">
        <v>0.001629245693440406</v>
      </c>
      <c r="AL762" t="n">
        <v>0.009554226918070582</v>
      </c>
      <c r="AM762">
        <f>IF(AND(ISNUMBER($AC762),ISNUMBER(IF($V762,IF($AL762="","",$AL762),IF($AK762="","",$AK762)))),IF(AND(ABS($AC762-significance_bar)&lt;=2.0*IF($V762,IF($AL762="","",$AL762),IF($AK762="","",$AK762)),OR($Y762="worse",$Y762="better",$Y762="worse, not significant",$Y762="better, not significant",AND(profit_kind="test",$Y762="in line",ISNUMBER($AB762),$AB762&lt;&gt;0))),IF(ROUND($AC762,3)=ROUND(significance_bar,3),TEXT($AC762,"0.0000"),TEXT($AC762,"0.000")),""),"")</f>
        <v/>
      </c>
      <c r="AN762">
        <f>IF(AND(ISNUMBER($AC762),ISNUMBER(IF($V762,IF($AL762="","",$AL762),IF($AK762="","",$AK762)))),IF(AND(ABS($AC762-significance_bar)&lt;=2.0*IF($V762,IF($AL762="","",$AL762),IF($AK762="","",$AK762)),OR($Y762="worse",$Y762="worse, not significant",AND(profit_kind="test",$Y762="in line",ISNUMBER($AB762),$AB762&lt;0))),IF(ROUND($AC762,3)=ROUND(significance_bar,3),TEXT($AC762,"0.0000"),TEXT($AC762,"0.000")),""),"")</f>
        <v/>
      </c>
      <c r="AO762">
        <f>IF(OR($AI762="",$AN762=""),$AI762,$AI762&amp;" · borderline (p "&amp;$AN762&amp;")")</f>
        <v/>
      </c>
    </row>
    <row r="763">
      <c r="A763" t="inlineStr">
        <is>
          <t>three-way</t>
        </is>
      </c>
      <c r="B763" t="inlineStr">
        <is>
          <t>FICO x ASSET_CLASS / SYS_FLAG</t>
        </is>
      </c>
      <c r="C763" t="inlineStr">
        <is>
          <t>496 - 653</t>
        </is>
      </c>
      <c r="D763" t="inlineStr">
        <is>
          <t>1 / SYS_FLAG Y</t>
        </is>
      </c>
      <c r="E763" t="inlineStr">
        <is>
          <t>contribution_rate</t>
        </is>
      </c>
      <c r="F763" t="inlineStr">
        <is>
          <t>Contribution before losses per booked dollar</t>
        </is>
      </c>
      <c r="G763" t="n">
        <v>186</v>
      </c>
      <c r="H763" t="n">
        <v>6238094.25</v>
      </c>
      <c r="I763" t="b">
        <v>0</v>
      </c>
      <c r="J763" t="b">
        <v>0</v>
      </c>
      <c r="K763" t="n">
        <v>0.1141094206643109</v>
      </c>
      <c r="L763" t="n">
        <v>0.0001814633351479667</v>
      </c>
      <c r="M763" t="n">
        <v>0.008344614399478534</v>
      </c>
      <c r="N763" t="n">
        <v>0.937752378608293</v>
      </c>
      <c r="O763" t="n">
        <v>-711825.3209168692</v>
      </c>
      <c r="P763" t="n">
        <v>-52054.49110385426</v>
      </c>
      <c r="Q763">
        <f>'_live'!$C$24</f>
        <v/>
      </c>
      <c r="R763" t="inlineStr">
        <is>
          <t>shuffled: 0 of 10,000</t>
        </is>
      </c>
      <c r="S763" t="inlineStr">
        <is>
          <t>shuffled: 5,079 of 10,000</t>
        </is>
      </c>
      <c r="T763" t="n">
        <v>0.1668337504011151</v>
      </c>
      <c r="U763" t="n">
        <v>0.2725985566659475</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0.280943171065426</v>
      </c>
      <c r="AI763">
        <f>IF($Y763="worse","Yes",IF($Y763="worse, not significant","Not sure",IF(OR($Y763="too few losses to test",$Y763="too few loans to test"),"Too few losses",IF($Y763="","","No"))))</f>
        <v/>
      </c>
      <c r="AJ763">
        <f>IF($AA763="yes","Yes",IF($AA763="","","No"))</f>
        <v/>
      </c>
      <c r="AK763" t="n">
        <v>0.0001814633351479667</v>
      </c>
      <c r="AL763" t="n">
        <v>0.009229602574987216</v>
      </c>
      <c r="AM763">
        <f>IF(AND(ISNUMBER($AC763),ISNUMBER(IF($V763,IF($AL763="","",$AL763),IF($AK763="","",$AK763)))),IF(AND(ABS($AC763-significance_bar)&lt;=2.0*IF($V763,IF($AL763="","",$AL763),IF($AK763="","",$AK763)),OR($Y763="worse",$Y763="better",$Y763="worse, not significant",$Y763="better, not significant",AND(profit_kind="test",$Y763="in line",ISNUMBER($AB763),$AB763&lt;&gt;0))),IF(ROUND($AC763,3)=ROUND(significance_bar,3),TEXT($AC763,"0.0000"),TEXT($AC763,"0.000")),""),"")</f>
        <v/>
      </c>
      <c r="AN763">
        <f>IF(AND(ISNUMBER($AC763),ISNUMBER(IF($V763,IF($AL763="","",$AL763),IF($AK763="","",$AK763)))),IF(AND(ABS($AC763-significance_bar)&lt;=2.0*IF($V763,IF($AL763="","",$AL763),IF($AK763="","",$AK763)),OR($Y763="worse",$Y763="worse, not significant",AND(profit_kind="test",$Y763="in line",ISNUMBER($AB763),$AB763&lt;0))),IF(ROUND($AC763,3)=ROUND(significance_bar,3),TEXT($AC763,"0.0000"),TEXT($AC763,"0.000")),""),"")</f>
        <v/>
      </c>
      <c r="AO763">
        <f>IF(OR($AI763="",$AN763=""),$AI763,$AI763&amp;" · borderline (p "&amp;$AN763&amp;")")</f>
        <v/>
      </c>
    </row>
    <row r="764">
      <c r="A764" t="inlineStr">
        <is>
          <t>three-way</t>
        </is>
      </c>
      <c r="B764" t="inlineStr">
        <is>
          <t>FICO x ASSET_CLASS / SYS_FLAG</t>
        </is>
      </c>
      <c r="C764" t="inlineStr">
        <is>
          <t>746 - 921</t>
        </is>
      </c>
      <c r="D764" t="inlineStr">
        <is>
          <t>3 / SYS_FLAG Y</t>
        </is>
      </c>
      <c r="E764" t="inlineStr">
        <is>
          <t>outcome_loans</t>
        </is>
      </c>
      <c r="F764" t="inlineStr">
        <is>
          <t>Outcome, share of loans</t>
        </is>
      </c>
      <c r="G764" t="n">
        <v>174</v>
      </c>
      <c r="H764" t="n">
        <v>174</v>
      </c>
      <c r="I764" t="b">
        <v>1</v>
      </c>
      <c r="J764" t="b">
        <v>0</v>
      </c>
      <c r="K764" t="n">
        <v>0.6635104578858111</v>
      </c>
      <c r="M764" t="n">
        <v>1.363370201691607</v>
      </c>
      <c r="O764" t="n">
        <v>-4.564217252396167</v>
      </c>
      <c r="P764" t="n">
        <v>2.398711524695777</v>
      </c>
      <c r="Q764">
        <f>'_live'!$C$20</f>
        <v/>
      </c>
      <c r="T764" t="n">
        <v>0.07795527156549521</v>
      </c>
      <c r="U764" t="n">
        <v>0.03793843951324266</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0.05172413793103448</v>
      </c>
      <c r="AI764">
        <f>IF($Y764="worse","Yes",IF($Y764="worse, not significant","Not sure",IF(OR($Y764="too few losses to test",$Y764="too few loans to test"),"Too few losses",IF($Y764="","","No"))))</f>
        <v/>
      </c>
      <c r="AJ764">
        <f>IF($AA764="yes","Yes",IF($AA764="","","No"))</f>
        <v/>
      </c>
      <c r="AM764">
        <f>IF(AND(ISNUMBER($AC764),ISNUMBER(IF($V764,IF($AL764="","",$AL764),IF($AK764="","",$AK764)))),IF(AND(ABS($AC764-significance_bar)&lt;=2.0*IF($V764,IF($AL764="","",$AL764),IF($AK764="","",$AK764)),OR($Y764="worse",$Y764="better",$Y764="worse, not significant",$Y764="better, not significant")),IF(ROUND($AC764,3)=ROUND(significance_bar,3),TEXT($AC764,"0.0000"),TEXT($AC764,"0.000")),""),"")</f>
        <v/>
      </c>
      <c r="AN764">
        <f>IF(AND(ISNUMBER($AC764),ISNUMBER(IF($V764,IF($AL764="","",$AL764),IF($AK764="","",$AK764)))),IF(AND(ABS($AC764-significance_bar)&lt;=2.0*IF($V764,IF($AL764="","",$AL764),IF($AK764="","",$AK764)),OR($Y764="worse",$Y764="worse, not significant")),IF(ROUND($AC764,3)=ROUND(significance_bar,3),TEXT($AC764,"0.0000"),TEXT($AC764,"0.000")),""),"")</f>
        <v/>
      </c>
      <c r="AO764">
        <f>IF(OR($AI764="",$AN764=""),$AI764,$AI764&amp;" · borderline (p "&amp;$AN764&amp;")")</f>
        <v/>
      </c>
    </row>
    <row r="765">
      <c r="A765" t="inlineStr">
        <is>
          <t>three-way</t>
        </is>
      </c>
      <c r="B765" t="inlineStr">
        <is>
          <t>FICO x ASSET_CLASS / SYS_FLAG</t>
        </is>
      </c>
      <c r="C765" t="inlineStr">
        <is>
          <t>746 - 921</t>
        </is>
      </c>
      <c r="D765" t="inlineStr">
        <is>
          <t>3 / SYS_FLAG Y</t>
        </is>
      </c>
      <c r="E765" t="inlineStr">
        <is>
          <t>outcome_booked</t>
        </is>
      </c>
      <c r="F765" t="inlineStr">
        <is>
          <t>Outcome, share of booked dollars</t>
        </is>
      </c>
      <c r="G765" t="n">
        <v>174</v>
      </c>
      <c r="H765" t="n">
        <v>5546204.250000002</v>
      </c>
      <c r="I765" t="b">
        <v>1</v>
      </c>
      <c r="J765" t="b">
        <v>0</v>
      </c>
      <c r="K765" t="n">
        <v>0.5793243499743836</v>
      </c>
      <c r="M765" t="n">
        <v>1.215931212209672</v>
      </c>
      <c r="O765" t="n">
        <v>-176180.2491338483</v>
      </c>
      <c r="P765" t="n">
        <v>43086.18526027515</v>
      </c>
      <c r="Q765">
        <f>'_live'!$C$21</f>
        <v/>
      </c>
      <c r="T765" t="n">
        <v>0.07551165450386148</v>
      </c>
      <c r="U765" t="n">
        <v>0.03597715045199152</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0.04374574016093979</v>
      </c>
      <c r="AI765">
        <f>IF($Y765="worse","Yes",IF($Y765="worse, not significant","Not sure",IF(OR($Y765="too few losses to test",$Y765="too few loans to test"),"Too few losses",IF($Y765="","","No"))))</f>
        <v/>
      </c>
      <c r="AJ765">
        <f>IF($AA765="yes","Yes",IF($AA765="","","No"))</f>
        <v/>
      </c>
      <c r="AM765">
        <f>IF(AND(ISNUMBER($AC765),ISNUMBER(IF($V765,IF($AL765="","",$AL765),IF($AK765="","",$AK765)))),IF(AND(ABS($AC765-significance_bar)&lt;=2.0*IF($V765,IF($AL765="","",$AL765),IF($AK765="","",$AK765)),OR($Y765="worse",$Y765="better",$Y765="worse, not significant",$Y765="better, not significant")),IF(ROUND($AC765,3)=ROUND(significance_bar,3),TEXT($AC765,"0.0000"),TEXT($AC765,"0.000")),""),"")</f>
        <v/>
      </c>
      <c r="AN765">
        <f>IF(AND(ISNUMBER($AC765),ISNUMBER(IF($V765,IF($AL765="","",$AL765),IF($AK765="","",$AK765)))),IF(AND(ABS($AC765-significance_bar)&lt;=2.0*IF($V765,IF($AL765="","",$AL765),IF($AK765="","",$AK765)),OR($Y765="worse",$Y765="worse, not significant")),IF(ROUND($AC765,3)=ROUND(significance_bar,3),TEXT($AC765,"0.0000"),TEXT($AC765,"0.000")),""),"")</f>
        <v/>
      </c>
      <c r="AO765">
        <f>IF(OR($AI765="",$AN765=""),$AI765,$AI765&amp;" · borderline (p "&amp;$AN765&amp;")")</f>
        <v/>
      </c>
    </row>
    <row r="766">
      <c r="A766" t="inlineStr">
        <is>
          <t>three-way</t>
        </is>
      </c>
      <c r="B766" t="inlineStr">
        <is>
          <t>FICO x ASSET_CLASS / SYS_FLAG</t>
        </is>
      </c>
      <c r="C766" t="inlineStr">
        <is>
          <t>746 - 921</t>
        </is>
      </c>
      <c r="D766" t="inlineStr">
        <is>
          <t>3 / SYS_FLAG Y</t>
        </is>
      </c>
      <c r="E766" t="inlineStr">
        <is>
          <t>gco_rate</t>
        </is>
      </c>
      <c r="F766" t="inlineStr">
        <is>
          <t>GCO per booked dollar</t>
        </is>
      </c>
      <c r="G766" t="n">
        <v>174</v>
      </c>
      <c r="H766" t="n">
        <v>5546204.250000002</v>
      </c>
      <c r="I766" t="b">
        <v>1</v>
      </c>
      <c r="J766" t="b">
        <v>0</v>
      </c>
      <c r="K766" t="n">
        <v>0.5801271756396373</v>
      </c>
      <c r="M766" t="n">
        <v>1.295660477866712</v>
      </c>
      <c r="O766" t="n">
        <v>-97768.55758241011</v>
      </c>
      <c r="P766" t="n">
        <v>30825.25760129382</v>
      </c>
      <c r="Q766">
        <f>'_live'!$C$22</f>
        <v/>
      </c>
      <c r="T766" t="n">
        <v>0.04198417099089165</v>
      </c>
      <c r="U766" t="n">
        <v>0.01879825691574668</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0.02435615853851757</v>
      </c>
      <c r="AI766">
        <f>IF($Y766="worse","Yes",IF($Y766="worse, not significant","Not sure",IF(OR($Y766="too few losses to test",$Y766="too few loans to test"),"Too few losses",IF($Y766="","","No"))))</f>
        <v/>
      </c>
      <c r="AJ766">
        <f>IF($AA766="yes","Yes",IF($AA766="","","No"))</f>
        <v/>
      </c>
      <c r="AM766">
        <f>IF(AND(ISNUMBER($AC766),ISNUMBER(IF($V766,IF($AL766="","",$AL766),IF($AK766="","",$AK766)))),IF(AND(ABS($AC766-significance_bar)&lt;=2.0*IF($V766,IF($AL766="","",$AL766),IF($AK766="","",$AK766)),OR($Y766="worse",$Y766="better",$Y766="worse, not significant",$Y766="better, not significant")),IF(ROUND($AC766,3)=ROUND(significance_bar,3),TEXT($AC766,"0.0000"),TEXT($AC766,"0.000")),""),"")</f>
        <v/>
      </c>
      <c r="AN766">
        <f>IF(AND(ISNUMBER($AC766),ISNUMBER(IF($V766,IF($AL766="","",$AL766),IF($AK766="","",$AK766)))),IF(AND(ABS($AC766-significance_bar)&lt;=2.0*IF($V766,IF($AL766="","",$AL766),IF($AK766="","",$AK766)),OR($Y766="worse",$Y766="worse, not significant")),IF(ROUND($AC766,3)=ROUND(significance_bar,3),TEXT($AC766,"0.0000"),TEXT($AC766,"0.000")),""),"")</f>
        <v/>
      </c>
      <c r="AO766">
        <f>IF(OR($AI766="",$AN766=""),$AI766,$AI766&amp;" · borderline (p "&amp;$AN766&amp;")")</f>
        <v/>
      </c>
    </row>
    <row r="767">
      <c r="A767" t="inlineStr">
        <is>
          <t>three-way</t>
        </is>
      </c>
      <c r="B767" t="inlineStr">
        <is>
          <t>FICO x ASSET_CLASS / SYS_FLAG</t>
        </is>
      </c>
      <c r="C767" t="inlineStr">
        <is>
          <t>746 - 921</t>
        </is>
      </c>
      <c r="D767" t="inlineStr">
        <is>
          <t>3 / SYS_FLAG Y</t>
        </is>
      </c>
      <c r="E767" t="inlineStr">
        <is>
          <t>ranr_rate</t>
        </is>
      </c>
      <c r="F767" t="inlineStr">
        <is>
          <t>Profit after losses: RANR per booked dollar</t>
        </is>
      </c>
      <c r="G767" t="n">
        <v>174</v>
      </c>
      <c r="H767" t="n">
        <v>5546204.250000002</v>
      </c>
      <c r="I767" t="b">
        <v>0</v>
      </c>
      <c r="J767" t="b">
        <v>0</v>
      </c>
      <c r="K767" t="n">
        <v>-0.08594906824487364</v>
      </c>
      <c r="L767" t="n">
        <v>0.0003768853883842385</v>
      </c>
      <c r="M767" t="n">
        <v>-0.003207357447476578</v>
      </c>
      <c r="N767" t="n">
        <v>0.8858714128587142</v>
      </c>
      <c r="O767" t="n">
        <v>476691.0875832584</v>
      </c>
      <c r="P767" t="n">
        <v>17788.65950646374</v>
      </c>
      <c r="Q767">
        <f>'_live'!$C$23</f>
        <v/>
      </c>
      <c r="R767" t="inlineStr">
        <is>
          <t>shuffled: 0 of 10,000</t>
        </is>
      </c>
      <c r="S767" t="inlineStr">
        <is>
          <t>shuffled: 7,360 of 10,000</t>
        </is>
      </c>
      <c r="T767" t="n">
        <v>0.129837199483459</v>
      </c>
      <c r="U767" t="n">
        <v>0.04709548868606194</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0.04388813123858536</v>
      </c>
      <c r="AI767">
        <f>IF($Y767="worse","Yes",IF($Y767="worse, not significant","Not sure",IF(OR($Y767="too few losses to test",$Y767="too few loans to test"),"Too few losses",IF($Y767="","","No"))))</f>
        <v/>
      </c>
      <c r="AJ767">
        <f>IF($AA767="yes","Yes",IF($AA767="","","No"))</f>
        <v/>
      </c>
      <c r="AK767" t="n">
        <v>0.0003768853883842385</v>
      </c>
      <c r="AL767" t="n">
        <v>0.005275201752636222</v>
      </c>
      <c r="AM767">
        <f>IF(AND(ISNUMBER($AC767),ISNUMBER(IF($V767,IF($AL767="","",$AL767),IF($AK767="","",$AK767)))),IF(AND(ABS($AC767-significance_bar)&lt;=2.0*IF($V767,IF($AL767="","",$AL767),IF($AK767="","",$AK767)),OR($Y767="worse",$Y767="better",$Y767="worse, not significant",$Y767="better, not significant",AND(profit_kind="test",$Y767="in line",ISNUMBER($AB767),$AB767&lt;&gt;0))),IF(ROUND($AC767,3)=ROUND(significance_bar,3),TEXT($AC767,"0.0000"),TEXT($AC767,"0.000")),""),"")</f>
        <v/>
      </c>
      <c r="AN767">
        <f>IF(AND(ISNUMBER($AC767),ISNUMBER(IF($V767,IF($AL767="","",$AL767),IF($AK767="","",$AK767)))),IF(AND(ABS($AC767-significance_bar)&lt;=2.0*IF($V767,IF($AL767="","",$AL767),IF($AK767="","",$AK767)),OR($Y767="worse",$Y767="worse, not significant",AND(profit_kind="test",$Y767="in line",ISNUMBER($AB767),$AB767&lt;0))),IF(ROUND($AC767,3)=ROUND(significance_bar,3),TEXT($AC767,"0.0000"),TEXT($AC767,"0.000")),""),"")</f>
        <v/>
      </c>
      <c r="AO767">
        <f>IF(OR($AI767="",$AN767=""),$AI767,$AI767&amp;" · borderline (p "&amp;$AN767&amp;")")</f>
        <v/>
      </c>
    </row>
    <row r="768">
      <c r="A768" t="inlineStr">
        <is>
          <t>three-way</t>
        </is>
      </c>
      <c r="B768" t="inlineStr">
        <is>
          <t>FICO x ASSET_CLASS / SYS_FLAG</t>
        </is>
      </c>
      <c r="C768" t="inlineStr">
        <is>
          <t>746 - 921</t>
        </is>
      </c>
      <c r="D768" t="inlineStr">
        <is>
          <t>3 / SYS_FLAG Y</t>
        </is>
      </c>
      <c r="E768" t="inlineStr">
        <is>
          <t>contribution_rate</t>
        </is>
      </c>
      <c r="F768" t="inlineStr">
        <is>
          <t>Contribution before losses per booked dollar</t>
        </is>
      </c>
      <c r="G768" t="n">
        <v>174</v>
      </c>
      <c r="H768" t="n">
        <v>5546204.250000002</v>
      </c>
      <c r="I768" t="b">
        <v>0</v>
      </c>
      <c r="J768" t="b">
        <v>0</v>
      </c>
      <c r="K768" t="n">
        <v>-0.1035744489719011</v>
      </c>
      <c r="L768" t="n">
        <v>0.0001814633351479667</v>
      </c>
      <c r="M768" t="n">
        <v>0.002350544175294317</v>
      </c>
      <c r="N768" t="n">
        <v>0.937752378608293</v>
      </c>
      <c r="O768" t="n">
        <v>574445.0490793664</v>
      </c>
      <c r="P768" t="n">
        <v>-13036.59809483011</v>
      </c>
      <c r="Q768">
        <f>'_live'!$C$24</f>
        <v/>
      </c>
      <c r="R768" t="inlineStr">
        <is>
          <t>shuffled: 0 of 10,000</t>
        </is>
      </c>
      <c r="S768" t="inlineStr">
        <is>
          <t>shuffled: 3,906 of 10,000</t>
        </is>
      </c>
      <c r="T768" t="n">
        <v>0.1718187387490041</v>
      </c>
      <c r="U768" t="n">
        <v>0.06589374560180862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0.06824428977710294</v>
      </c>
      <c r="AI768">
        <f>IF($Y768="worse","Yes",IF($Y768="worse, not significant","Not sure",IF(OR($Y768="too few losses to test",$Y768="too few loans to test"),"Too few losses",IF($Y768="","","No"))))</f>
        <v/>
      </c>
      <c r="AJ768">
        <f>IF($AA768="yes","Yes",IF($AA768="","","No"))</f>
        <v/>
      </c>
      <c r="AK768" t="n">
        <v>0.0001814633351479667</v>
      </c>
      <c r="AL768" t="n">
        <v>0.009229602574987216</v>
      </c>
      <c r="AM768">
        <f>IF(AND(ISNUMBER($AC768),ISNUMBER(IF($V768,IF($AL768="","",$AL768),IF($AK768="","",$AK768)))),IF(AND(ABS($AC768-significance_bar)&lt;=2.0*IF($V768,IF($AL768="","",$AL768),IF($AK768="","",$AK768)),OR($Y768="worse",$Y768="better",$Y768="worse, not significant",$Y768="better, not significant",AND(profit_kind="test",$Y768="in line",ISNUMBER($AB768),$AB768&lt;&gt;0))),IF(ROUND($AC768,3)=ROUND(significance_bar,3),TEXT($AC768,"0.0000"),TEXT($AC768,"0.000")),""),"")</f>
        <v/>
      </c>
      <c r="AN768">
        <f>IF(AND(ISNUMBER($AC768),ISNUMBER(IF($V768,IF($AL768="","",$AL768),IF($AK768="","",$AK768)))),IF(AND(ABS($AC768-significance_bar)&lt;=2.0*IF($V768,IF($AL768="","",$AL768),IF($AK768="","",$AK768)),OR($Y768="worse",$Y768="worse, not significant",AND(profit_kind="test",$Y768="in line",ISNUMBER($AB768),$AB768&lt;0))),IF(ROUND($AC768,3)=ROUND(significance_bar,3),TEXT($AC768,"0.0000"),TEXT($AC768,"0.000")),""),"")</f>
        <v/>
      </c>
      <c r="AO768">
        <f>IF(OR($AI768="",$AN768=""),$AI768,$AI768&amp;" · borderline (p "&amp;$AN768&amp;")")</f>
        <v/>
      </c>
    </row>
    <row r="769">
      <c r="A769" t="inlineStr">
        <is>
          <t>three-way</t>
        </is>
      </c>
      <c r="B769" t="inlineStr">
        <is>
          <t>FICO x ASSET_CLASS / SYS_FLAG</t>
        </is>
      </c>
      <c r="C769" t="inlineStr">
        <is>
          <t>686 - 711</t>
        </is>
      </c>
      <c r="D769" t="inlineStr">
        <is>
          <t>2 / SYS_FLAG Y</t>
        </is>
      </c>
      <c r="E769" t="inlineStr">
        <is>
          <t>outcome_loans</t>
        </is>
      </c>
      <c r="F769" t="inlineStr">
        <is>
          <t>Outcome, share of loans</t>
        </is>
      </c>
      <c r="G769" t="n">
        <v>179</v>
      </c>
      <c r="H769" t="n">
        <v>179</v>
      </c>
      <c r="I769" t="b">
        <v>0</v>
      </c>
      <c r="J769" t="b">
        <v>0</v>
      </c>
      <c r="K769" t="n">
        <v>0.7903925316083504</v>
      </c>
      <c r="L769" t="n">
        <v>0.563854801876237</v>
      </c>
      <c r="M769" t="n">
        <v>0.9998685507722642</v>
      </c>
      <c r="N769" t="n">
        <v>0.999662113880052</v>
      </c>
      <c r="O769" t="n">
        <v>-2.917135549872123</v>
      </c>
      <c r="P769" t="n">
        <v>-0.001446131597974798</v>
      </c>
      <c r="Q769">
        <f>'_live'!$C$20</f>
        <v/>
      </c>
      <c r="R769" t="inlineStr">
        <is>
          <t>z test</t>
        </is>
      </c>
      <c r="S769" t="inlineStr">
        <is>
          <t>z test</t>
        </is>
      </c>
      <c r="T769" t="n">
        <v>0.07774936061381074</v>
      </c>
      <c r="U769" t="n">
        <v>0.06146059291395517</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0.06145251396648044</v>
      </c>
      <c r="AI769">
        <f>IF($Y769="worse","Yes",IF($Y769="worse, not significant","Not sure",IF(OR($Y769="too few losses to test",$Y769="too few loans to test"),"Too few losses",IF($Y769="","","No"))))</f>
        <v/>
      </c>
      <c r="AJ769">
        <f>IF($AA769="yes","Yes",IF($AA769="","","No"))</f>
        <v/>
      </c>
      <c r="AM769">
        <f>IF(AND(ISNUMBER($AC769),ISNUMBER(IF($V769,IF($AL769="","",$AL769),IF($AK769="","",$AK769)))),IF(AND(ABS($AC769-significance_bar)&lt;=2.0*IF($V769,IF($AL769="","",$AL769),IF($AK769="","",$AK769)),OR($Y769="worse",$Y769="better",$Y769="worse, not significant",$Y769="better, not significant")),IF(ROUND($AC769,3)=ROUND(significance_bar,3),TEXT($AC769,"0.0000"),TEXT($AC769,"0.000")),""),"")</f>
        <v/>
      </c>
      <c r="AN769">
        <f>IF(AND(ISNUMBER($AC769),ISNUMBER(IF($V769,IF($AL769="","",$AL769),IF($AK769="","",$AK769)))),IF(AND(ABS($AC769-significance_bar)&lt;=2.0*IF($V769,IF($AL769="","",$AL769),IF($AK769="","",$AK769)),OR($Y769="worse",$Y769="worse, not significant")),IF(ROUND($AC769,3)=ROUND(significance_bar,3),TEXT($AC769,"0.0000"),TEXT($AC769,"0.000")),""),"")</f>
        <v/>
      </c>
      <c r="AO769">
        <f>IF(OR($AI769="",$AN769=""),$AI769,$AI769&amp;" · borderline (p "&amp;$AN769&amp;")")</f>
        <v/>
      </c>
    </row>
    <row r="770">
      <c r="A770" t="inlineStr">
        <is>
          <t>three-way</t>
        </is>
      </c>
      <c r="B770" t="inlineStr">
        <is>
          <t>FICO x ASSET_CLASS / SYS_FLAG</t>
        </is>
      </c>
      <c r="C770" t="inlineStr">
        <is>
          <t>686 - 711</t>
        </is>
      </c>
      <c r="D770" t="inlineStr">
        <is>
          <t>2 / SYS_FLAG Y</t>
        </is>
      </c>
      <c r="E770" t="inlineStr">
        <is>
          <t>outcome_booked</t>
        </is>
      </c>
      <c r="F770" t="inlineStr">
        <is>
          <t>Outcome, share of booked dollars</t>
        </is>
      </c>
      <c r="G770" t="n">
        <v>179</v>
      </c>
      <c r="H770" t="n">
        <v>5904363.450000001</v>
      </c>
      <c r="I770" t="b">
        <v>0</v>
      </c>
      <c r="J770" t="b">
        <v>0</v>
      </c>
      <c r="K770" t="n">
        <v>0.8483773933230204</v>
      </c>
      <c r="L770" t="n">
        <v>0.6905135573399181</v>
      </c>
      <c r="M770" t="n">
        <v>1.13824972568137</v>
      </c>
      <c r="N770" t="n">
        <v>0.9193980601939806</v>
      </c>
      <c r="O770" t="n">
        <v>-67222.6480720875</v>
      </c>
      <c r="P770" t="n">
        <v>45684.35198940849</v>
      </c>
      <c r="Q770">
        <f>'_live'!$C$21</f>
        <v/>
      </c>
      <c r="R770" t="inlineStr">
        <is>
          <t>shuffled: 6,023 of 10,000</t>
        </is>
      </c>
      <c r="S770" t="inlineStr">
        <is>
          <t>shuffled: 7,072 of 10,000</t>
        </is>
      </c>
      <c r="T770" t="n">
        <v>0.0750893897075539</v>
      </c>
      <c r="U770" t="n">
        <v>0.05596675252276204</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0.06370414070631102</v>
      </c>
      <c r="AI770">
        <f>IF($Y770="worse","Yes",IF($Y770="worse, not significant","Not sure",IF(OR($Y770="too few losses to test",$Y770="too few loans to test"),"Too few losses",IF($Y770="","","No"))))</f>
        <v/>
      </c>
      <c r="AJ770">
        <f>IF($AA770="yes","Yes",IF($AA770="","","No"))</f>
        <v/>
      </c>
      <c r="AK770" t="n">
        <v>0.005511547606704301</v>
      </c>
      <c r="AL770" t="n">
        <v>0.005915443222309892</v>
      </c>
      <c r="AM770">
        <f>IF(AND(ISNUMBER($AC770),ISNUMBER(IF($V770,IF($AL770="","",$AL770),IF($AK770="","",$AK770)))),IF(AND(ABS($AC770-significance_bar)&lt;=2.0*IF($V770,IF($AL770="","",$AL770),IF($AK770="","",$AK770)),OR($Y770="worse",$Y770="better",$Y770="worse, not significant",$Y770="better, not significant")),IF(ROUND($AC770,3)=ROUND(significance_bar,3),TEXT($AC770,"0.0000"),TEXT($AC770,"0.000")),""),"")</f>
        <v/>
      </c>
      <c r="AN770">
        <f>IF(AND(ISNUMBER($AC770),ISNUMBER(IF($V770,IF($AL770="","",$AL770),IF($AK770="","",$AK770)))),IF(AND(ABS($AC770-significance_bar)&lt;=2.0*IF($V770,IF($AL770="","",$AL770),IF($AK770="","",$AK770)),OR($Y770="worse",$Y770="worse, not significant")),IF(ROUND($AC770,3)=ROUND(significance_bar,3),TEXT($AC770,"0.0000"),TEXT($AC770,"0.000")),""),"")</f>
        <v/>
      </c>
      <c r="AO770">
        <f>IF(OR($AI770="",$AN770=""),$AI770,$AI770&amp;" · borderline (p "&amp;$AN770&amp;")")</f>
        <v/>
      </c>
    </row>
    <row r="771">
      <c r="A771" t="inlineStr">
        <is>
          <t>three-way</t>
        </is>
      </c>
      <c r="B771" t="inlineStr">
        <is>
          <t>FICO x ASSET_CLASS / SYS_FLAG</t>
        </is>
      </c>
      <c r="C771" t="inlineStr">
        <is>
          <t>686 - 711</t>
        </is>
      </c>
      <c r="D771" t="inlineStr">
        <is>
          <t>2 / SYS_FLAG Y</t>
        </is>
      </c>
      <c r="E771" t="inlineStr">
        <is>
          <t>gco_rate</t>
        </is>
      </c>
      <c r="F771" t="inlineStr">
        <is>
          <t>GCO per booked dollar</t>
        </is>
      </c>
      <c r="G771" t="n">
        <v>179</v>
      </c>
      <c r="H771" t="n">
        <v>5904363.450000001</v>
      </c>
      <c r="I771" t="b">
        <v>0</v>
      </c>
      <c r="J771" t="b">
        <v>0</v>
      </c>
      <c r="K771" t="n">
        <v>0.7340595763407219</v>
      </c>
      <c r="L771" t="n">
        <v>0.5079071040264393</v>
      </c>
      <c r="M771" t="n">
        <v>0.9718416893173684</v>
      </c>
      <c r="N771" t="n">
        <v>0.9754024597540246</v>
      </c>
      <c r="O771" t="n">
        <v>-65728.94573687483</v>
      </c>
      <c r="P771" t="n">
        <v>-5256.718126803957</v>
      </c>
      <c r="Q771">
        <f>'_live'!$C$22</f>
        <v/>
      </c>
      <c r="R771" t="inlineStr">
        <is>
          <t>shuffled: 3,711 of 10,000</t>
        </is>
      </c>
      <c r="S771" t="inlineStr">
        <is>
          <t>shuffled: 9,375 of 10,000</t>
        </is>
      </c>
      <c r="T771" t="n">
        <v>0.04186000029128877</v>
      </c>
      <c r="U771" t="n">
        <v>0.03161804480833644</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0.03072773407944593</v>
      </c>
      <c r="AI771">
        <f>IF($Y771="worse","Yes",IF($Y771="worse, not significant","Not sure",IF(OR($Y771="too few losses to test",$Y771="too few loans to test"),"Too few losses",IF($Y771="","","No"))))</f>
        <v/>
      </c>
      <c r="AJ771">
        <f>IF($AA771="yes","Yes",IF($AA771="","","No"))</f>
        <v/>
      </c>
      <c r="AK771" t="n">
        <v>0.006611060033083899</v>
      </c>
      <c r="AL771" t="n">
        <v>0.001548951298776788</v>
      </c>
      <c r="AM771">
        <f>IF(AND(ISNUMBER($AC771),ISNUMBER(IF($V771,IF($AL771="","",$AL771),IF($AK771="","",$AK771)))),IF(AND(ABS($AC771-significance_bar)&lt;=2.0*IF($V771,IF($AL771="","",$AL771),IF($AK771="","",$AK771)),OR($Y771="worse",$Y771="better",$Y771="worse, not significant",$Y771="better, not significant")),IF(ROUND($AC771,3)=ROUND(significance_bar,3),TEXT($AC771,"0.0000"),TEXT($AC771,"0.000")),""),"")</f>
        <v/>
      </c>
      <c r="AN771">
        <f>IF(AND(ISNUMBER($AC771),ISNUMBER(IF($V771,IF($AL771="","",$AL771),IF($AK771="","",$AK771)))),IF(AND(ABS($AC771-significance_bar)&lt;=2.0*IF($V771,IF($AL771="","",$AL771),IF($AK771="","",$AK771)),OR($Y771="worse",$Y771="worse, not significant")),IF(ROUND($AC771,3)=ROUND(significance_bar,3),TEXT($AC771,"0.0000"),TEXT($AC771,"0.000")),""),"")</f>
        <v/>
      </c>
      <c r="AO771">
        <f>IF(OR($AI771="",$AN771=""),$AI771,$AI771&amp;" · borderline (p "&amp;$AN771&amp;")")</f>
        <v/>
      </c>
    </row>
    <row r="772">
      <c r="A772" t="inlineStr">
        <is>
          <t>three-way</t>
        </is>
      </c>
      <c r="B772" t="inlineStr">
        <is>
          <t>FICO x ASSET_CLASS / SYS_FLAG</t>
        </is>
      </c>
      <c r="C772" t="inlineStr">
        <is>
          <t>686 - 711</t>
        </is>
      </c>
      <c r="D772" t="inlineStr">
        <is>
          <t>2 / SYS_FLAG Y</t>
        </is>
      </c>
      <c r="E772" t="inlineStr">
        <is>
          <t>ranr_rate</t>
        </is>
      </c>
      <c r="F772" t="inlineStr">
        <is>
          <t>Profit after losses: RANR per booked dollar</t>
        </is>
      </c>
      <c r="G772" t="n">
        <v>179</v>
      </c>
      <c r="H772" t="n">
        <v>5904363.450000001</v>
      </c>
      <c r="I772" t="b">
        <v>0</v>
      </c>
      <c r="J772" t="b">
        <v>0</v>
      </c>
      <c r="K772" t="n">
        <v>0.0001027163155592203</v>
      </c>
      <c r="L772" t="n">
        <v>0.9959004099590041</v>
      </c>
      <c r="M772" t="n">
        <v>-0.01563772395671753</v>
      </c>
      <c r="N772" t="n">
        <v>0.5953586459535866</v>
      </c>
      <c r="O772" t="n">
        <v>-606.4744593065698</v>
      </c>
      <c r="P772" t="n">
        <v>92330.80577123235</v>
      </c>
      <c r="Q772">
        <f>'_live'!$C$23</f>
        <v/>
      </c>
      <c r="R772" t="inlineStr">
        <is>
          <t>shuffled: 9,959 of 10,000</t>
        </is>
      </c>
      <c r="S772" t="inlineStr">
        <is>
          <t>shuffled: 2,728 of 10,000</t>
        </is>
      </c>
      <c r="T772" t="n">
        <v>0.1279876995954057</v>
      </c>
      <c r="U772" t="n">
        <v>0.1437281398676825</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0.128090415910965</v>
      </c>
      <c r="AI772">
        <f>IF($Y772="worse","Yes",IF($Y772="worse, not significant","Not sure",IF(OR($Y772="too few losses to test",$Y772="too few loans to test"),"Too few losses",IF($Y772="","","No"))))</f>
        <v/>
      </c>
      <c r="AJ772">
        <f>IF($AA772="yes","Yes",IF($AA772="","","No"))</f>
        <v/>
      </c>
      <c r="AK772" t="n">
        <v>0.000638966619041377</v>
      </c>
      <c r="AL772" t="n">
        <v>0.009718602786061898</v>
      </c>
      <c r="AM772">
        <f>IF(AND(ISNUMBER($AC772),ISNUMBER(IF($V772,IF($AL772="","",$AL772),IF($AK772="","",$AK772)))),IF(AND(ABS($AC772-significance_bar)&lt;=2.0*IF($V772,IF($AL772="","",$AL772),IF($AK772="","",$AK772)),OR($Y772="worse",$Y772="better",$Y772="worse, not significant",$Y772="better, not significant",AND(profit_kind="test",$Y772="in line",ISNUMBER($AB772),$AB772&lt;&gt;0))),IF(ROUND($AC772,3)=ROUND(significance_bar,3),TEXT($AC772,"0.0000"),TEXT($AC772,"0.000")),""),"")</f>
        <v/>
      </c>
      <c r="AN772">
        <f>IF(AND(ISNUMBER($AC772),ISNUMBER(IF($V772,IF($AL772="","",$AL772),IF($AK772="","",$AK772)))),IF(AND(ABS($AC772-significance_bar)&lt;=2.0*IF($V772,IF($AL772="","",$AL772),IF($AK772="","",$AK772)),OR($Y772="worse",$Y772="worse, not significant",AND(profit_kind="test",$Y772="in line",ISNUMBER($AB772),$AB772&lt;0))),IF(ROUND($AC772,3)=ROUND(significance_bar,3),TEXT($AC772,"0.0000"),TEXT($AC772,"0.000")),""),"")</f>
        <v/>
      </c>
      <c r="AO772">
        <f>IF(OR($AI772="",$AN772=""),$AI772,$AI772&amp;" · borderline (p "&amp;$AN772&amp;")")</f>
        <v/>
      </c>
    </row>
    <row r="773">
      <c r="A773" t="inlineStr">
        <is>
          <t>three-way</t>
        </is>
      </c>
      <c r="B773" t="inlineStr">
        <is>
          <t>FICO x ASSET_CLASS / SYS_FLAG</t>
        </is>
      </c>
      <c r="C773" t="inlineStr">
        <is>
          <t>686 - 711</t>
        </is>
      </c>
      <c r="D773" t="inlineStr">
        <is>
          <t>2 / SYS_FLAG Y</t>
        </is>
      </c>
      <c r="E773" t="inlineStr">
        <is>
          <t>contribution_rate</t>
        </is>
      </c>
      <c r="F773" t="inlineStr">
        <is>
          <t>Contribution before losses per booked dollar</t>
        </is>
      </c>
      <c r="G773" t="n">
        <v>179</v>
      </c>
      <c r="H773" t="n">
        <v>5904363.450000001</v>
      </c>
      <c r="I773" t="b">
        <v>0</v>
      </c>
      <c r="J773" t="b">
        <v>0</v>
      </c>
      <c r="K773" t="n">
        <v>-0.01102662332075188</v>
      </c>
      <c r="L773" t="n">
        <v>0.3579290719576691</v>
      </c>
      <c r="M773" t="n">
        <v>-0.01652803468560807</v>
      </c>
      <c r="N773" t="n">
        <v>0.3858814118588141</v>
      </c>
      <c r="O773" t="n">
        <v>65105.19171196502</v>
      </c>
      <c r="P773" t="n">
        <v>97587.52389803645</v>
      </c>
      <c r="Q773">
        <f>'_live'!$C$24</f>
        <v/>
      </c>
      <c r="R773" t="inlineStr">
        <is>
          <t>shuffled: 2,702 of 10,000</t>
        </is>
      </c>
      <c r="S773" t="inlineStr">
        <is>
          <t>shuffled: 401 of 10,000</t>
        </is>
      </c>
      <c r="T773" t="n">
        <v>0.1698447733111627</v>
      </c>
      <c r="U773" t="n">
        <v>0.1753461846760189</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0.1588181499904109</v>
      </c>
      <c r="AI773">
        <f>IF($Y773="worse","Yes",IF($Y773="worse, not significant","Not sure",IF(OR($Y773="too few losses to test",$Y773="too few loans to test"),"Too few losses",IF($Y773="","","No"))))</f>
        <v/>
      </c>
      <c r="AJ773">
        <f>IF($AA773="yes","Yes",IF($AA773="","","No"))</f>
        <v/>
      </c>
      <c r="AK773" t="n">
        <v>0.005881334506928629</v>
      </c>
      <c r="AL773" t="n">
        <v>0.01885618489999094</v>
      </c>
      <c r="AM773">
        <f>IF(AND(ISNUMBER($AC773),ISNUMBER(IF($V773,IF($AL773="","",$AL773),IF($AK773="","",$AK773)))),IF(AND(ABS($AC773-significance_bar)&lt;=2.0*IF($V773,IF($AL773="","",$AL773),IF($AK773="","",$AK773)),OR($Y773="worse",$Y773="better",$Y773="worse, not significant",$Y773="better, not significant",AND(profit_kind="test",$Y773="in line",ISNUMBER($AB773),$AB773&lt;&gt;0))),IF(ROUND($AC773,3)=ROUND(significance_bar,3),TEXT($AC773,"0.0000"),TEXT($AC773,"0.000")),""),"")</f>
        <v/>
      </c>
      <c r="AN773">
        <f>IF(AND(ISNUMBER($AC773),ISNUMBER(IF($V773,IF($AL773="","",$AL773),IF($AK773="","",$AK773)))),IF(AND(ABS($AC773-significance_bar)&lt;=2.0*IF($V773,IF($AL773="","",$AL773),IF($AK773="","",$AK773)),OR($Y773="worse",$Y773="worse, not significant",AND(profit_kind="test",$Y773="in line",ISNUMBER($AB773),$AB773&lt;0))),IF(ROUND($AC773,3)=ROUND(significance_bar,3),TEXT($AC773,"0.0000"),TEXT($AC773,"0.000")),""),"")</f>
        <v/>
      </c>
      <c r="AO773">
        <f>IF(OR($AI773="",$AN773=""),$AI773,$AI773&amp;" · borderline (p "&amp;$AN773&amp;")")</f>
        <v/>
      </c>
    </row>
    <row r="774">
      <c r="A774" t="inlineStr">
        <is>
          <t>three-way</t>
        </is>
      </c>
      <c r="B774" t="inlineStr">
        <is>
          <t>FICO x ASSET_CLASS / SYS_FLAG</t>
        </is>
      </c>
      <c r="C774" t="inlineStr">
        <is>
          <t>712 - 745</t>
        </is>
      </c>
      <c r="D774" t="inlineStr">
        <is>
          <t>3 / SYS_FLAG N</t>
        </is>
      </c>
      <c r="E774" t="inlineStr">
        <is>
          <t>outcome_loans</t>
        </is>
      </c>
      <c r="F774" t="inlineStr">
        <is>
          <t>Outcome, share of loans</t>
        </is>
      </c>
      <c r="G774" t="n">
        <v>223</v>
      </c>
      <c r="H774" t="n">
        <v>223</v>
      </c>
      <c r="I774" t="b">
        <v>1</v>
      </c>
      <c r="J774" t="b">
        <v>0</v>
      </c>
      <c r="K774" t="n">
        <v>0.4565624243135931</v>
      </c>
      <c r="M774" t="n">
        <v>0.6303002781404325</v>
      </c>
      <c r="O774" t="n">
        <v>-9.522247942386834</v>
      </c>
      <c r="P774" t="n">
        <v>-4.692363112391931</v>
      </c>
      <c r="Q774">
        <f>'_live'!$C$20</f>
        <v/>
      </c>
      <c r="T774" t="n">
        <v>0.07857510288065844</v>
      </c>
      <c r="U774" t="n">
        <v>0.0569164265129683</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0.03587443946188341</v>
      </c>
      <c r="AI774">
        <f>IF($Y774="worse","Yes",IF($Y774="worse, not significant","Not sure",IF(OR($Y774="too few losses to test",$Y774="too few loans to test"),"Too few losses",IF($Y774="","","No"))))</f>
        <v/>
      </c>
      <c r="AJ774">
        <f>IF($AA774="yes","Yes",IF($AA774="","","No"))</f>
        <v/>
      </c>
      <c r="AM774">
        <f>IF(AND(ISNUMBER($AC774),ISNUMBER(IF($V774,IF($AL774="","",$AL774),IF($AK774="","",$AK774)))),IF(AND(ABS($AC774-significance_bar)&lt;=2.0*IF($V774,IF($AL774="","",$AL774),IF($AK774="","",$AK774)),OR($Y774="worse",$Y774="better",$Y774="worse, not significant",$Y774="better, not significant")),IF(ROUND($AC774,3)=ROUND(significance_bar,3),TEXT($AC774,"0.0000"),TEXT($AC774,"0.000")),""),"")</f>
        <v/>
      </c>
      <c r="AN774">
        <f>IF(AND(ISNUMBER($AC774),ISNUMBER(IF($V774,IF($AL774="","",$AL774),IF($AK774="","",$AK774)))),IF(AND(ABS($AC774-significance_bar)&lt;=2.0*IF($V774,IF($AL774="","",$AL774),IF($AK774="","",$AK774)),OR($Y774="worse",$Y774="worse, not significant")),IF(ROUND($AC774,3)=ROUND(significance_bar,3),TEXT($AC774,"0.0000"),TEXT($AC774,"0.000")),""),"")</f>
        <v/>
      </c>
      <c r="AO774">
        <f>IF(OR($AI774="",$AN774=""),$AI774,$AI774&amp;" · borderline (p "&amp;$AN774&amp;")")</f>
        <v/>
      </c>
    </row>
    <row r="775">
      <c r="A775" t="inlineStr">
        <is>
          <t>three-way</t>
        </is>
      </c>
      <c r="B775" t="inlineStr">
        <is>
          <t>FICO x ASSET_CLASS / SYS_FLAG</t>
        </is>
      </c>
      <c r="C775" t="inlineStr">
        <is>
          <t>712 - 745</t>
        </is>
      </c>
      <c r="D775" t="inlineStr">
        <is>
          <t>3 / SYS_FLAG N</t>
        </is>
      </c>
      <c r="E775" t="inlineStr">
        <is>
          <t>outcome_booked</t>
        </is>
      </c>
      <c r="F775" t="inlineStr">
        <is>
          <t>Outcome, share of booked dollars</t>
        </is>
      </c>
      <c r="G775" t="n">
        <v>223</v>
      </c>
      <c r="H775" t="n">
        <v>7126313.329999999</v>
      </c>
      <c r="I775" t="b">
        <v>1</v>
      </c>
      <c r="J775" t="b">
        <v>0</v>
      </c>
      <c r="K775" t="n">
        <v>0.4724527132022914</v>
      </c>
      <c r="M775" t="n">
        <v>0.6235184574081195</v>
      </c>
      <c r="O775" t="n">
        <v>-285476.0106233158</v>
      </c>
      <c r="P775" t="n">
        <v>-154369.3046922571</v>
      </c>
      <c r="Q775">
        <f>'_live'!$C$21</f>
        <v/>
      </c>
      <c r="T775" t="n">
        <v>0.07593522983970674</v>
      </c>
      <c r="U775" t="n">
        <v>0.05753767982192514</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0.03587580536540905</v>
      </c>
      <c r="AI775">
        <f>IF($Y775="worse","Yes",IF($Y775="worse, not significant","Not sure",IF(OR($Y775="too few losses to test",$Y775="too few loans to test"),"Too few losses",IF($Y775="","","No"))))</f>
        <v/>
      </c>
      <c r="AJ775">
        <f>IF($AA775="yes","Yes",IF($AA775="","","No"))</f>
        <v/>
      </c>
      <c r="AM775">
        <f>IF(AND(ISNUMBER($AC775),ISNUMBER(IF($V775,IF($AL775="","",$AL775),IF($AK775="","",$AK775)))),IF(AND(ABS($AC775-significance_bar)&lt;=2.0*IF($V775,IF($AL775="","",$AL775),IF($AK775="","",$AK775)),OR($Y775="worse",$Y775="better",$Y775="worse, not significant",$Y775="better, not significant")),IF(ROUND($AC775,3)=ROUND(significance_bar,3),TEXT($AC775,"0.0000"),TEXT($AC775,"0.000")),""),"")</f>
        <v/>
      </c>
      <c r="AN775">
        <f>IF(AND(ISNUMBER($AC775),ISNUMBER(IF($V775,IF($AL775="","",$AL775),IF($AK775="","",$AK775)))),IF(AND(ABS($AC775-significance_bar)&lt;=2.0*IF($V775,IF($AL775="","",$AL775),IF($AK775="","",$AK775)),OR($Y775="worse",$Y775="worse, not significant")),IF(ROUND($AC775,3)=ROUND(significance_bar,3),TEXT($AC775,"0.0000"),TEXT($AC775,"0.000")),""),"")</f>
        <v/>
      </c>
      <c r="AO775">
        <f>IF(OR($AI775="",$AN775=""),$AI775,$AI775&amp;" · borderline (p "&amp;$AN775&amp;")")</f>
        <v/>
      </c>
    </row>
    <row r="776">
      <c r="A776" t="inlineStr">
        <is>
          <t>three-way</t>
        </is>
      </c>
      <c r="B776" t="inlineStr">
        <is>
          <t>FICO x ASSET_CLASS / SYS_FLAG</t>
        </is>
      </c>
      <c r="C776" t="inlineStr">
        <is>
          <t>712 - 745</t>
        </is>
      </c>
      <c r="D776" t="inlineStr">
        <is>
          <t>3 / SYS_FLAG N</t>
        </is>
      </c>
      <c r="E776" t="inlineStr">
        <is>
          <t>gco_rate</t>
        </is>
      </c>
      <c r="F776" t="inlineStr">
        <is>
          <t>GCO per booked dollar</t>
        </is>
      </c>
      <c r="G776" t="n">
        <v>223</v>
      </c>
      <c r="H776" t="n">
        <v>7126313.329999999</v>
      </c>
      <c r="I776" t="b">
        <v>1</v>
      </c>
      <c r="J776" t="b">
        <v>0</v>
      </c>
      <c r="K776" t="n">
        <v>0.4343746149555488</v>
      </c>
      <c r="M776" t="n">
        <v>0.5702555874162759</v>
      </c>
      <c r="O776" t="n">
        <v>-170364.8632503384</v>
      </c>
      <c r="P776" t="n">
        <v>-98595.31147991888</v>
      </c>
      <c r="Q776">
        <f>'_live'!$C$22</f>
        <v/>
      </c>
      <c r="T776" t="n">
        <v>0.04226552065601336</v>
      </c>
      <c r="U776" t="n">
        <v>0.03219445747832686</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0.0183590692608516</v>
      </c>
      <c r="AI776">
        <f>IF($Y776="worse","Yes",IF($Y776="worse, not significant","Not sure",IF(OR($Y776="too few losses to test",$Y776="too few loans to test"),"Too few losses",IF($Y776="","","No"))))</f>
        <v/>
      </c>
      <c r="AJ776">
        <f>IF($AA776="yes","Yes",IF($AA776="","","No"))</f>
        <v/>
      </c>
      <c r="AM776">
        <f>IF(AND(ISNUMBER($AC776),ISNUMBER(IF($V776,IF($AL776="","",$AL776),IF($AK776="","",$AK776)))),IF(AND(ABS($AC776-significance_bar)&lt;=2.0*IF($V776,IF($AL776="","",$AL776),IF($AK776="","",$AK776)),OR($Y776="worse",$Y776="better",$Y776="worse, not significant",$Y776="better, not significant")),IF(ROUND($AC776,3)=ROUND(significance_bar,3),TEXT($AC776,"0.0000"),TEXT($AC776,"0.000")),""),"")</f>
        <v/>
      </c>
      <c r="AN776">
        <f>IF(AND(ISNUMBER($AC776),ISNUMBER(IF($V776,IF($AL776="","",$AL776),IF($AK776="","",$AK776)))),IF(AND(ABS($AC776-significance_bar)&lt;=2.0*IF($V776,IF($AL776="","",$AL776),IF($AK776="","",$AK776)),OR($Y776="worse",$Y776="worse, not significant")),IF(ROUND($AC776,3)=ROUND(significance_bar,3),TEXT($AC776,"0.0000"),TEXT($AC776,"0.000")),""),"")</f>
        <v/>
      </c>
      <c r="AO776">
        <f>IF(OR($AI776="",$AN776=""),$AI776,$AI776&amp;" · borderline (p "&amp;$AN776&amp;")")</f>
        <v/>
      </c>
    </row>
    <row r="777">
      <c r="A777" t="inlineStr">
        <is>
          <t>three-way</t>
        </is>
      </c>
      <c r="B777" t="inlineStr">
        <is>
          <t>FICO x ASSET_CLASS / SYS_FLAG</t>
        </is>
      </c>
      <c r="C777" t="inlineStr">
        <is>
          <t>712 - 745</t>
        </is>
      </c>
      <c r="D777" t="inlineStr">
        <is>
          <t>3 / SYS_FLAG N</t>
        </is>
      </c>
      <c r="E777" t="inlineStr">
        <is>
          <t>ranr_rate</t>
        </is>
      </c>
      <c r="F777" t="inlineStr">
        <is>
          <t>Profit after losses: RANR per booked dollar</t>
        </is>
      </c>
      <c r="G777" t="n">
        <v>223</v>
      </c>
      <c r="H777" t="n">
        <v>7126313.329999999</v>
      </c>
      <c r="I777" t="b">
        <v>0</v>
      </c>
      <c r="J777" t="b">
        <v>0</v>
      </c>
      <c r="K777" t="n">
        <v>-0.01971839158156656</v>
      </c>
      <c r="L777" t="n">
        <v>0.2440272101822076</v>
      </c>
      <c r="M777" t="n">
        <v>0.01492828159215731</v>
      </c>
      <c r="N777" t="n">
        <v>0.5190338109046239</v>
      </c>
      <c r="O777" t="n">
        <v>140519.4367738775</v>
      </c>
      <c r="P777" t="n">
        <v>-106383.6121041843</v>
      </c>
      <c r="Q777">
        <f>'_live'!$C$23</f>
        <v/>
      </c>
      <c r="R777" t="inlineStr">
        <is>
          <t>shuffled: 1,543 of 10,000</t>
        </is>
      </c>
      <c r="S777" t="inlineStr">
        <is>
          <t>shuffled: 2,067 of 10,000</t>
        </is>
      </c>
      <c r="T777" t="n">
        <v>0.1285345541737325</v>
      </c>
      <c r="U777" t="n">
        <v>0.09388788100000865</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0.108816162592166</v>
      </c>
      <c r="AI777">
        <f>IF($Y777="worse","Yes",IF($Y777="worse, not significant","Not sure",IF(OR($Y777="too few losses to test",$Y777="too few loans to test"),"Too few losses",IF($Y777="","","No"))))</f>
        <v/>
      </c>
      <c r="AJ777">
        <f>IF($AA777="yes","Yes",IF($AA777="","","No"))</f>
        <v/>
      </c>
      <c r="AK777" t="n">
        <v>0.005711139550810955</v>
      </c>
      <c r="AL777" t="n">
        <v>0.009575838863991234</v>
      </c>
      <c r="AM777">
        <f>IF(AND(ISNUMBER($AC777),ISNUMBER(IF($V777,IF($AL777="","",$AL777),IF($AK777="","",$AK777)))),IF(AND(ABS($AC777-significance_bar)&lt;=2.0*IF($V777,IF($AL777="","",$AL777),IF($AK777="","",$AK777)),OR($Y777="worse",$Y777="better",$Y777="worse, not significant",$Y777="better, not significant",AND(profit_kind="test",$Y777="in line",ISNUMBER($AB777),$AB777&lt;&gt;0))),IF(ROUND($AC777,3)=ROUND(significance_bar,3),TEXT($AC777,"0.0000"),TEXT($AC777,"0.000")),""),"")</f>
        <v/>
      </c>
      <c r="AN777">
        <f>IF(AND(ISNUMBER($AC777),ISNUMBER(IF($V777,IF($AL777="","",$AL777),IF($AK777="","",$AK777)))),IF(AND(ABS($AC777-significance_bar)&lt;=2.0*IF($V777,IF($AL777="","",$AL777),IF($AK777="","",$AK777)),OR($Y777="worse",$Y777="worse, not significant",AND(profit_kind="test",$Y777="in line",ISNUMBER($AB777),$AB777&lt;0))),IF(ROUND($AC777,3)=ROUND(significance_bar,3),TEXT($AC777,"0.0000"),TEXT($AC777,"0.000")),""),"")</f>
        <v/>
      </c>
      <c r="AO777">
        <f>IF(OR($AI777="",$AN777=""),$AI777,$AI777&amp;" · borderline (p "&amp;$AN777&amp;")")</f>
        <v/>
      </c>
    </row>
    <row r="778">
      <c r="A778" t="inlineStr">
        <is>
          <t>three-way</t>
        </is>
      </c>
      <c r="B778" t="inlineStr">
        <is>
          <t>FICO x ASSET_CLASS / SYS_FLAG</t>
        </is>
      </c>
      <c r="C778" t="inlineStr">
        <is>
          <t>712 - 745</t>
        </is>
      </c>
      <c r="D778" t="inlineStr">
        <is>
          <t>3 / SYS_FLAG N</t>
        </is>
      </c>
      <c r="E778" t="inlineStr">
        <is>
          <t>contribution_rate</t>
        </is>
      </c>
      <c r="F778" t="inlineStr">
        <is>
          <t>Contribution before losses per booked dollar</t>
        </is>
      </c>
      <c r="G778" t="n">
        <v>223</v>
      </c>
      <c r="H778" t="n">
        <v>7126313.329999999</v>
      </c>
      <c r="I778" t="b">
        <v>0</v>
      </c>
      <c r="J778" t="b">
        <v>0</v>
      </c>
      <c r="K778" t="n">
        <v>-0.04362198864235536</v>
      </c>
      <c r="L778" t="n">
        <v>0.0001814633351479667</v>
      </c>
      <c r="M778" t="n">
        <v>0.001140476085868453</v>
      </c>
      <c r="N778" t="n">
        <v>0.9799190293736585</v>
      </c>
      <c r="O778" t="n">
        <v>310863.9591431257</v>
      </c>
      <c r="P778" t="n">
        <v>-8127.389933270519</v>
      </c>
      <c r="Q778">
        <f>'_live'!$C$24</f>
        <v/>
      </c>
      <c r="R778" t="inlineStr">
        <is>
          <t>shuffled: 0 of 10,000</t>
        </is>
      </c>
      <c r="S778" t="inlineStr">
        <is>
          <t>shuffled: 8,346 of 10,000</t>
        </is>
      </c>
      <c r="T778" t="n">
        <v>0.170797220495373</v>
      </c>
      <c r="U778" t="n">
        <v>0.1260347557671491</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0.1271752318530176</v>
      </c>
      <c r="AI778">
        <f>IF($Y778="worse","Yes",IF($Y778="worse, not significant","Not sure",IF(OR($Y778="too few losses to test",$Y778="too few loans to test"),"Too few losses",IF($Y778="","","No"))))</f>
        <v/>
      </c>
      <c r="AJ778">
        <f>IF($AA778="yes","Yes",IF($AA778="","","No"))</f>
        <v/>
      </c>
      <c r="AK778" t="n">
        <v>0.0001814633351479667</v>
      </c>
      <c r="AL778" t="n">
        <v>0.002013133534953629</v>
      </c>
      <c r="AM778">
        <f>IF(AND(ISNUMBER($AC778),ISNUMBER(IF($V778,IF($AL778="","",$AL778),IF($AK778="","",$AK778)))),IF(AND(ABS($AC778-significance_bar)&lt;=2.0*IF($V778,IF($AL778="","",$AL778),IF($AK778="","",$AK778)),OR($Y778="worse",$Y778="better",$Y778="worse, not significant",$Y778="better, not significant",AND(profit_kind="test",$Y778="in line",ISNUMBER($AB778),$AB778&lt;&gt;0))),IF(ROUND($AC778,3)=ROUND(significance_bar,3),TEXT($AC778,"0.0000"),TEXT($AC778,"0.000")),""),"")</f>
        <v/>
      </c>
      <c r="AN778">
        <f>IF(AND(ISNUMBER($AC778),ISNUMBER(IF($V778,IF($AL778="","",$AL778),IF($AK778="","",$AK778)))),IF(AND(ABS($AC778-significance_bar)&lt;=2.0*IF($V778,IF($AL778="","",$AL778),IF($AK778="","",$AK778)),OR($Y778="worse",$Y778="worse, not significant",AND(profit_kind="test",$Y778="in line",ISNUMBER($AB778),$AB778&lt;0))),IF(ROUND($AC778,3)=ROUND(significance_bar,3),TEXT($AC778,"0.0000"),TEXT($AC778,"0.000")),""),"")</f>
        <v/>
      </c>
      <c r="AO778">
        <f>IF(OR($AI778="",$AN778=""),$AI778,$AI778&amp;" · borderline (p "&amp;$AN778&amp;")")</f>
        <v/>
      </c>
    </row>
    <row r="779">
      <c r="A779" t="inlineStr">
        <is>
          <t>three-way</t>
        </is>
      </c>
      <c r="B779" t="inlineStr">
        <is>
          <t>FICO x ASSET_CLASS / SYS_FLAG</t>
        </is>
      </c>
      <c r="C779" t="inlineStr">
        <is>
          <t>654 - 685</t>
        </is>
      </c>
      <c r="D779" t="inlineStr">
        <is>
          <t>3 / SYS_FLAG Y</t>
        </is>
      </c>
      <c r="E779" t="inlineStr">
        <is>
          <t>outcome_loans</t>
        </is>
      </c>
      <c r="F779" t="inlineStr">
        <is>
          <t>Outcome, share of loans</t>
        </is>
      </c>
      <c r="G779" t="n">
        <v>193</v>
      </c>
      <c r="H779" t="n">
        <v>193</v>
      </c>
      <c r="I779" t="b">
        <v>0</v>
      </c>
      <c r="J779" t="b">
        <v>0</v>
      </c>
      <c r="K779" t="n">
        <v>1.211348960713146</v>
      </c>
      <c r="L779" t="n">
        <v>0.563854801876237</v>
      </c>
      <c r="M779" t="n">
        <v>1.120836417468542</v>
      </c>
      <c r="N779" t="n">
        <v>0.7481717174350578</v>
      </c>
      <c r="O779" t="n">
        <v>3.140532923392261</v>
      </c>
      <c r="P779" t="n">
        <v>1.940564635958395</v>
      </c>
      <c r="Q779">
        <f>'_live'!$C$20</f>
        <v/>
      </c>
      <c r="R779" t="inlineStr">
        <is>
          <t>z test</t>
        </is>
      </c>
      <c r="S779" t="inlineStr">
        <is>
          <t>z test</t>
        </is>
      </c>
      <c r="T779" t="n">
        <v>0.07699205739174994</v>
      </c>
      <c r="U779" t="n">
        <v>0.08320950965824665</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0.09326424870466321</v>
      </c>
      <c r="AI779">
        <f>IF($Y779="worse","Yes",IF($Y779="worse, not significant","Not sure",IF(OR($Y779="too few losses to test",$Y779="too few loans to test"),"Too few losses",IF($Y779="","","No"))))</f>
        <v/>
      </c>
      <c r="AJ779">
        <f>IF($AA779="yes","Yes",IF($AA779="","","No"))</f>
        <v/>
      </c>
      <c r="AM779">
        <f>IF(AND(ISNUMBER($AC779),ISNUMBER(IF($V779,IF($AL779="","",$AL779),IF($AK779="","",$AK779)))),IF(AND(ABS($AC779-significance_bar)&lt;=2.0*IF($V779,IF($AL779="","",$AL779),IF($AK779="","",$AK779)),OR($Y779="worse",$Y779="better",$Y779="worse, not significant",$Y779="better, not significant")),IF(ROUND($AC779,3)=ROUND(significance_bar,3),TEXT($AC779,"0.0000"),TEXT($AC779,"0.000")),""),"")</f>
        <v/>
      </c>
      <c r="AN779">
        <f>IF(AND(ISNUMBER($AC779),ISNUMBER(IF($V779,IF($AL779="","",$AL779),IF($AK779="","",$AK779)))),IF(AND(ABS($AC779-significance_bar)&lt;=2.0*IF($V779,IF($AL779="","",$AL779),IF($AK779="","",$AK779)),OR($Y779="worse",$Y779="worse, not significant")),IF(ROUND($AC779,3)=ROUND(significance_bar,3),TEXT($AC779,"0.0000"),TEXT($AC779,"0.000")),""),"")</f>
        <v/>
      </c>
      <c r="AO779">
        <f>IF(OR($AI779="",$AN779=""),$AI779,$AI779&amp;" · borderline (p "&amp;$AN779&amp;")")</f>
        <v/>
      </c>
    </row>
    <row r="780">
      <c r="A780" t="inlineStr">
        <is>
          <t>three-way</t>
        </is>
      </c>
      <c r="B780" t="inlineStr">
        <is>
          <t>FICO x ASSET_CLASS / SYS_FLAG</t>
        </is>
      </c>
      <c r="C780" t="inlineStr">
        <is>
          <t>654 - 685</t>
        </is>
      </c>
      <c r="D780" t="inlineStr">
        <is>
          <t>3 / SYS_FLAG Y</t>
        </is>
      </c>
      <c r="E780" t="inlineStr">
        <is>
          <t>outcome_booked</t>
        </is>
      </c>
      <c r="F780" t="inlineStr">
        <is>
          <t>Outcome, share of booked dollars</t>
        </is>
      </c>
      <c r="G780" t="n">
        <v>193</v>
      </c>
      <c r="H780" t="n">
        <v>6009933.279999998</v>
      </c>
      <c r="I780" t="b">
        <v>0</v>
      </c>
      <c r="J780" t="b">
        <v>0</v>
      </c>
      <c r="K780" t="n">
        <v>1.393627052271366</v>
      </c>
      <c r="L780" t="n">
        <v>0.38996100389961</v>
      </c>
      <c r="M780" t="n">
        <v>1.348999716263114</v>
      </c>
      <c r="N780" t="n">
        <v>0.5657034296570344</v>
      </c>
      <c r="O780" t="n">
        <v>175412.37543046</v>
      </c>
      <c r="P780" t="n">
        <v>160670.1042291708</v>
      </c>
      <c r="Q780">
        <f>'_live'!$C$21</f>
        <v/>
      </c>
      <c r="R780" t="inlineStr">
        <is>
          <t>shuffled: 1,649 of 10,000</t>
        </is>
      </c>
      <c r="S780" t="inlineStr">
        <is>
          <t>shuffled: 2,501 of 10,000</t>
        </is>
      </c>
      <c r="T780" t="n">
        <v>0.0741490585348961</v>
      </c>
      <c r="U780" t="n">
        <v>0.07660204270534421</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0.1033361338746842</v>
      </c>
      <c r="AI780">
        <f>IF($Y780="worse","Yes",IF($Y780="worse, not significant","Not sure",IF(OR($Y780="too few losses to test",$Y780="too few loans to test"),"Too few losses",IF($Y780="","","No"))))</f>
        <v/>
      </c>
      <c r="AJ780">
        <f>IF($AA780="yes","Yes",IF($AA780="","","No"))</f>
        <v/>
      </c>
      <c r="AK780" t="n">
        <v>0.008773006466741423</v>
      </c>
      <c r="AL780" t="n">
        <v>0.00812731346189991</v>
      </c>
      <c r="AM780">
        <f>IF(AND(ISNUMBER($AC780),ISNUMBER(IF($V780,IF($AL780="","",$AL780),IF($AK780="","",$AK780)))),IF(AND(ABS($AC780-significance_bar)&lt;=2.0*IF($V780,IF($AL780="","",$AL780),IF($AK780="","",$AK780)),OR($Y780="worse",$Y780="better",$Y780="worse, not significant",$Y780="better, not significant")),IF(ROUND($AC780,3)=ROUND(significance_bar,3),TEXT($AC780,"0.0000"),TEXT($AC780,"0.000")),""),"")</f>
        <v/>
      </c>
      <c r="AN780">
        <f>IF(AND(ISNUMBER($AC780),ISNUMBER(IF($V780,IF($AL780="","",$AL780),IF($AK780="","",$AK780)))),IF(AND(ABS($AC780-significance_bar)&lt;=2.0*IF($V780,IF($AL780="","",$AL780),IF($AK780="","",$AK780)),OR($Y780="worse",$Y780="worse, not significant")),IF(ROUND($AC780,3)=ROUND(significance_bar,3),TEXT($AC780,"0.0000"),TEXT($AC780,"0.000")),""),"")</f>
        <v/>
      </c>
      <c r="AO780">
        <f>IF(OR($AI780="",$AN780=""),$AI780,$AI780&amp;" · borderline (p "&amp;$AN780&amp;")")</f>
        <v/>
      </c>
    </row>
    <row r="781">
      <c r="A781" t="inlineStr">
        <is>
          <t>three-way</t>
        </is>
      </c>
      <c r="B781" t="inlineStr">
        <is>
          <t>FICO x ASSET_CLASS / SYS_FLAG</t>
        </is>
      </c>
      <c r="C781" t="inlineStr">
        <is>
          <t>654 - 685</t>
        </is>
      </c>
      <c r="D781" t="inlineStr">
        <is>
          <t>3 / SYS_FLAG Y</t>
        </is>
      </c>
      <c r="E781" t="inlineStr">
        <is>
          <t>gco_rate</t>
        </is>
      </c>
      <c r="F781" t="inlineStr">
        <is>
          <t>GCO per booked dollar</t>
        </is>
      </c>
      <c r="G781" t="n">
        <v>193</v>
      </c>
      <c r="H781" t="n">
        <v>6009933.279999998</v>
      </c>
      <c r="I781" t="b">
        <v>0</v>
      </c>
      <c r="J781" t="b">
        <v>0</v>
      </c>
      <c r="K781" t="n">
        <v>1.39356660826046</v>
      </c>
      <c r="L781" t="n">
        <v>0.3444655534446555</v>
      </c>
      <c r="M781" t="n">
        <v>1.320231051482872</v>
      </c>
      <c r="N781" t="n">
        <v>0.6096390360963904</v>
      </c>
      <c r="O781" t="n">
        <v>97515.40255566227</v>
      </c>
      <c r="P781" t="n">
        <v>83752.19610563168</v>
      </c>
      <c r="Q781">
        <f>'_live'!$C$22</f>
        <v/>
      </c>
      <c r="R781" t="inlineStr">
        <is>
          <t>shuffled: 1,815 of 10,000</t>
        </is>
      </c>
      <c r="S781" t="inlineStr">
        <is>
          <t>shuffled: 3,083 of 10,000</t>
        </is>
      </c>
      <c r="T781" t="n">
        <v>0.04122734078744013</v>
      </c>
      <c r="U781" t="n">
        <v>0.04351741720073944</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0.05745304546875105</v>
      </c>
      <c r="AI781">
        <f>IF($Y781="worse","Yes",IF($Y781="worse, not significant","Not sure",IF(OR($Y781="too few losses to test",$Y781="too few loans to test"),"Too few losses",IF($Y781="","","No"))))</f>
        <v/>
      </c>
      <c r="AJ781">
        <f>IF($AA781="yes","Yes",IF($AA781="","","No"))</f>
        <v/>
      </c>
      <c r="AK781" t="n">
        <v>0.007218484775917799</v>
      </c>
      <c r="AL781" t="n">
        <v>0.008720820070322124</v>
      </c>
      <c r="AM781">
        <f>IF(AND(ISNUMBER($AC781),ISNUMBER(IF($V781,IF($AL781="","",$AL781),IF($AK781="","",$AK781)))),IF(AND(ABS($AC781-significance_bar)&lt;=2.0*IF($V781,IF($AL781="","",$AL781),IF($AK781="","",$AK781)),OR($Y781="worse",$Y781="better",$Y781="worse, not significant",$Y781="better, not significant")),IF(ROUND($AC781,3)=ROUND(significance_bar,3),TEXT($AC781,"0.0000"),TEXT($AC781,"0.000")),""),"")</f>
        <v/>
      </c>
      <c r="AN781">
        <f>IF(AND(ISNUMBER($AC781),ISNUMBER(IF($V781,IF($AL781="","",$AL781),IF($AK781="","",$AK781)))),IF(AND(ABS($AC781-significance_bar)&lt;=2.0*IF($V781,IF($AL781="","",$AL781),IF($AK781="","",$AK781)),OR($Y781="worse",$Y781="worse, not significant")),IF(ROUND($AC781,3)=ROUND(significance_bar,3),TEXT($AC781,"0.0000"),TEXT($AC781,"0.000")),""),"")</f>
        <v/>
      </c>
      <c r="AO781">
        <f>IF(OR($AI781="",$AN781=""),$AI781,$AI781&amp;" · borderline (p "&amp;$AN781&amp;")")</f>
        <v/>
      </c>
    </row>
    <row r="782">
      <c r="A782" t="inlineStr">
        <is>
          <t>three-way</t>
        </is>
      </c>
      <c r="B782" t="inlineStr">
        <is>
          <t>FICO x ASSET_CLASS / SYS_FLAG</t>
        </is>
      </c>
      <c r="C782" t="inlineStr">
        <is>
          <t>654 - 685</t>
        </is>
      </c>
      <c r="D782" t="inlineStr">
        <is>
          <t>3 / SYS_FLAG Y</t>
        </is>
      </c>
      <c r="E782" t="inlineStr">
        <is>
          <t>ranr_rate</t>
        </is>
      </c>
      <c r="F782" t="inlineStr">
        <is>
          <t>Profit after losses: RANR per booked dollar</t>
        </is>
      </c>
      <c r="G782" t="n">
        <v>193</v>
      </c>
      <c r="H782" t="n">
        <v>6009933.279999998</v>
      </c>
      <c r="I782" t="b">
        <v>0</v>
      </c>
      <c r="J782" t="b">
        <v>0</v>
      </c>
      <c r="K782" t="n">
        <v>0.01049598860685427</v>
      </c>
      <c r="L782" t="n">
        <v>0.5667896624971649</v>
      </c>
      <c r="M782" t="n">
        <v>-0.02827755520510067</v>
      </c>
      <c r="N782" t="n">
        <v>0.3207679232076792</v>
      </c>
      <c r="O782" t="n">
        <v>-63080.19123483438</v>
      </c>
      <c r="P782" t="n">
        <v>169946.2201041717</v>
      </c>
      <c r="Q782">
        <f>'_live'!$C$23</f>
        <v/>
      </c>
      <c r="R782" t="inlineStr">
        <is>
          <t>shuffled: 4,742 of 10,000</t>
        </is>
      </c>
      <c r="S782" t="inlineStr">
        <is>
          <t>shuffled: 789 of 10,000</t>
        </is>
      </c>
      <c r="T782" t="n">
        <v>0.1277456176294134</v>
      </c>
      <c r="U782" t="n">
        <v>0.1665191614413684</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0.1382416062362677</v>
      </c>
      <c r="AI782">
        <f>IF($Y782="worse","Yes",IF($Y782="worse, not significant","Not sure",IF(OR($Y782="too few losses to test",$Y782="too few loans to test"),"Too few losses",IF($Y782="","","No"))))</f>
        <v/>
      </c>
      <c r="AJ782">
        <f>IF($AA782="yes","Yes",IF($AA782="","","No"))</f>
        <v/>
      </c>
      <c r="AK782" t="n">
        <v>0.005967681676002921</v>
      </c>
      <c r="AL782" t="n">
        <v>0.01086360728428522</v>
      </c>
      <c r="AM782">
        <f>IF(AND(ISNUMBER($AC782),ISNUMBER(IF($V782,IF($AL782="","",$AL782),IF($AK782="","",$AK782)))),IF(AND(ABS($AC782-significance_bar)&lt;=2.0*IF($V782,IF($AL782="","",$AL782),IF($AK782="","",$AK782)),OR($Y782="worse",$Y782="better",$Y782="worse, not significant",$Y782="better, not significant",AND(profit_kind="test",$Y782="in line",ISNUMBER($AB782),$AB782&lt;&gt;0))),IF(ROUND($AC782,3)=ROUND(significance_bar,3),TEXT($AC782,"0.0000"),TEXT($AC782,"0.000")),""),"")</f>
        <v/>
      </c>
      <c r="AN782">
        <f>IF(AND(ISNUMBER($AC782),ISNUMBER(IF($V782,IF($AL782="","",$AL782),IF($AK782="","",$AK782)))),IF(AND(ABS($AC782-significance_bar)&lt;=2.0*IF($V782,IF($AL782="","",$AL782),IF($AK782="","",$AK782)),OR($Y782="worse",$Y782="worse, not significant",AND(profit_kind="test",$Y782="in line",ISNUMBER($AB782),$AB782&lt;0))),IF(ROUND($AC782,3)=ROUND(significance_bar,3),TEXT($AC782,"0.0000"),TEXT($AC782,"0.000")),""),"")</f>
        <v/>
      </c>
      <c r="AO782">
        <f>IF(OR($AI782="",$AN782=""),$AI782,$AI782&amp;" · borderline (p "&amp;$AN782&amp;")")</f>
        <v/>
      </c>
    </row>
    <row r="783">
      <c r="A783" t="inlineStr">
        <is>
          <t>three-way</t>
        </is>
      </c>
      <c r="B783" t="inlineStr">
        <is>
          <t>FICO x ASSET_CLASS / SYS_FLAG</t>
        </is>
      </c>
      <c r="C783" t="inlineStr">
        <is>
          <t>654 - 685</t>
        </is>
      </c>
      <c r="D783" t="inlineStr">
        <is>
          <t>3 / SYS_FLAG Y</t>
        </is>
      </c>
      <c r="E783" t="inlineStr">
        <is>
          <t>contribution_rate</t>
        </is>
      </c>
      <c r="F783" t="inlineStr">
        <is>
          <t>Contribution before losses per booked dollar</t>
        </is>
      </c>
      <c r="G783" t="n">
        <v>193</v>
      </c>
      <c r="H783" t="n">
        <v>6009933.279999998</v>
      </c>
      <c r="I783" t="b">
        <v>0</v>
      </c>
      <c r="J783" t="b">
        <v>0</v>
      </c>
      <c r="K783" t="n">
        <v>0.02672465920934033</v>
      </c>
      <c r="L783" t="n">
        <v>0.01071767823217678</v>
      </c>
      <c r="M783" t="n">
        <v>-0.01434192693708902</v>
      </c>
      <c r="N783" t="n">
        <v>0.5536900855369009</v>
      </c>
      <c r="O783" t="n">
        <v>-160613.4187788728</v>
      </c>
      <c r="P783" t="n">
        <v>86194.02399853989</v>
      </c>
      <c r="Q783">
        <f>'_live'!$C$24</f>
        <v/>
      </c>
      <c r="R783" t="inlineStr">
        <is>
          <t>shuffled: 69 of 10,000</t>
        </is>
      </c>
      <c r="S783" t="inlineStr">
        <is>
          <t>shuffled: 1,173 of 10,000</t>
        </is>
      </c>
      <c r="T783" t="n">
        <v>0.1689699924956785</v>
      </c>
      <c r="U783" t="n">
        <v>0.2100365786421078</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0.1956946517050188</v>
      </c>
      <c r="AI783">
        <f>IF($Y783="worse","Yes",IF($Y783="worse, not significant","Not sure",IF(OR($Y783="too few losses to test",$Y783="too few loans to test"),"Too few losses",IF($Y783="","","No"))))</f>
        <v/>
      </c>
      <c r="AJ783">
        <f>IF($AA783="yes","Yes",IF($AA783="","","No"))</f>
        <v/>
      </c>
      <c r="AK783" t="n">
        <v>0.001276580438763348</v>
      </c>
      <c r="AL783" t="n">
        <v>0.01452421936150749</v>
      </c>
      <c r="AM783">
        <f>IF(AND(ISNUMBER($AC783),ISNUMBER(IF($V783,IF($AL783="","",$AL783),IF($AK783="","",$AK783)))),IF(AND(ABS($AC783-significance_bar)&lt;=2.0*IF($V783,IF($AL783="","",$AL783),IF($AK783="","",$AK783)),OR($Y783="worse",$Y783="better",$Y783="worse, not significant",$Y783="better, not significant",AND(profit_kind="test",$Y783="in line",ISNUMBER($AB783),$AB783&lt;&gt;0))),IF(ROUND($AC783,3)=ROUND(significance_bar,3),TEXT($AC783,"0.0000"),TEXT($AC783,"0.000")),""),"")</f>
        <v/>
      </c>
      <c r="AN783">
        <f>IF(AND(ISNUMBER($AC783),ISNUMBER(IF($V783,IF($AL783="","",$AL783),IF($AK783="","",$AK783)))),IF(AND(ABS($AC783-significance_bar)&lt;=2.0*IF($V783,IF($AL783="","",$AL783),IF($AK783="","",$AK783)),OR($Y783="worse",$Y783="worse, not significant",AND(profit_kind="test",$Y783="in line",ISNUMBER($AB783),$AB783&lt;0))),IF(ROUND($AC783,3)=ROUND(significance_bar,3),TEXT($AC783,"0.0000"),TEXT($AC783,"0.000")),""),"")</f>
        <v/>
      </c>
      <c r="AO783">
        <f>IF(OR($AI783="",$AN783=""),$AI783,$AI783&amp;" · borderline (p "&amp;$AN783&amp;")")</f>
        <v/>
      </c>
    </row>
    <row r="784">
      <c r="A784" t="inlineStr">
        <is>
          <t>three-way</t>
        </is>
      </c>
      <c r="B784" t="inlineStr">
        <is>
          <t>FICO x ASSET_CLASS / SYS_FLAG</t>
        </is>
      </c>
      <c r="C784" t="inlineStr">
        <is>
          <t>496 - 653</t>
        </is>
      </c>
      <c r="D784" t="inlineStr">
        <is>
          <t>4 / SYS_FLAG Y</t>
        </is>
      </c>
      <c r="E784" t="inlineStr">
        <is>
          <t>outcome_loans</t>
        </is>
      </c>
      <c r="F784" t="inlineStr">
        <is>
          <t>Outcome, share of loans</t>
        </is>
      </c>
      <c r="G784" t="n">
        <v>189</v>
      </c>
      <c r="H784" t="n">
        <v>189</v>
      </c>
      <c r="I784" t="b">
        <v>0</v>
      </c>
      <c r="J784" t="b">
        <v>0</v>
      </c>
      <c r="K784" t="n">
        <v>3.317358744932916</v>
      </c>
      <c r="L784" t="n">
        <v>1.415463694111075e-16</v>
      </c>
      <c r="M784" t="n">
        <v>1.768434087583024</v>
      </c>
      <c r="N784" t="n">
        <v>0.003593834123270396</v>
      </c>
      <c r="O784" t="n">
        <v>32.13354673495519</v>
      </c>
      <c r="P784" t="n">
        <v>19.98828696925329</v>
      </c>
      <c r="Q784">
        <f>'_live'!$C$20</f>
        <v/>
      </c>
      <c r="R784" t="inlineStr">
        <is>
          <t>z test</t>
        </is>
      </c>
      <c r="S784" t="inlineStr">
        <is>
          <t>z test</t>
        </is>
      </c>
      <c r="T784" t="n">
        <v>0.0733674775928297</v>
      </c>
      <c r="U784" t="n">
        <v>0.1376281112737921</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0.2433862433862434</v>
      </c>
      <c r="AI784">
        <f>IF($Y784="worse","Yes",IF($Y784="worse, not significant","Not sure",IF(OR($Y784="too few losses to test",$Y784="too few loans to test"),"Too few losses",IF($Y784="","","No"))))</f>
        <v/>
      </c>
      <c r="AJ784">
        <f>IF($AA784="yes","Yes",IF($AA784="","","No"))</f>
        <v/>
      </c>
      <c r="AM784">
        <f>IF(AND(ISNUMBER($AC784),ISNUMBER(IF($V784,IF($AL784="","",$AL784),IF($AK784="","",$AK784)))),IF(AND(ABS($AC784-significance_bar)&lt;=2.0*IF($V784,IF($AL784="","",$AL784),IF($AK784="","",$AK784)),OR($Y784="worse",$Y784="better",$Y784="worse, not significant",$Y784="better, not significant")),IF(ROUND($AC784,3)=ROUND(significance_bar,3),TEXT($AC784,"0.0000"),TEXT($AC784,"0.000")),""),"")</f>
        <v/>
      </c>
      <c r="AN784">
        <f>IF(AND(ISNUMBER($AC784),ISNUMBER(IF($V784,IF($AL784="","",$AL784),IF($AK784="","",$AK784)))),IF(AND(ABS($AC784-significance_bar)&lt;=2.0*IF($V784,IF($AL784="","",$AL784),IF($AK784="","",$AK784)),OR($Y784="worse",$Y784="worse, not significant")),IF(ROUND($AC784,3)=ROUND(significance_bar,3),TEXT($AC784,"0.0000"),TEXT($AC784,"0.000")),""),"")</f>
        <v/>
      </c>
      <c r="AO784">
        <f>IF(OR($AI784="",$AN784=""),$AI784,$AI784&amp;" · borderline (p "&amp;$AN784&amp;")")</f>
        <v/>
      </c>
    </row>
    <row r="785">
      <c r="A785" t="inlineStr">
        <is>
          <t>three-way</t>
        </is>
      </c>
      <c r="B785" t="inlineStr">
        <is>
          <t>FICO x ASSET_CLASS / SYS_FLAG</t>
        </is>
      </c>
      <c r="C785" t="inlineStr">
        <is>
          <t>496 - 653</t>
        </is>
      </c>
      <c r="D785" t="inlineStr">
        <is>
          <t>4 / SYS_FLAG Y</t>
        </is>
      </c>
      <c r="E785" t="inlineStr">
        <is>
          <t>outcome_booked</t>
        </is>
      </c>
      <c r="F785" t="inlineStr">
        <is>
          <t>Outcome, share of booked dollars</t>
        </is>
      </c>
      <c r="G785" t="n">
        <v>189</v>
      </c>
      <c r="H785" t="n">
        <v>5755233.75</v>
      </c>
      <c r="I785" t="b">
        <v>0</v>
      </c>
      <c r="J785" t="b">
        <v>0</v>
      </c>
      <c r="K785" t="n">
        <v>4.248427364120097</v>
      </c>
      <c r="L785" t="n">
        <v>0.0012998700129987</v>
      </c>
      <c r="M785" t="n">
        <v>2.274733849473625</v>
      </c>
      <c r="N785" t="n">
        <v>0.002599740025997401</v>
      </c>
      <c r="O785" t="n">
        <v>1304447.360127758</v>
      </c>
      <c r="P785" t="n">
        <v>956027.8050857573</v>
      </c>
      <c r="Q785">
        <f>'_live'!$C$21</f>
        <v/>
      </c>
      <c r="R785" t="inlineStr">
        <is>
          <t>shuffled: 0 of 10,000</t>
        </is>
      </c>
      <c r="S785" t="inlineStr">
        <is>
          <t>shuffled: 0 of 10,000</t>
        </is>
      </c>
      <c r="T785" t="n">
        <v>0.06977348745778431</v>
      </c>
      <c r="U785" t="n">
        <v>0.1303130884847626</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0.2964275934057412</v>
      </c>
      <c r="AI785">
        <f>IF($Y785="worse","Yes",IF($Y785="worse, not significant","Not sure",IF(OR($Y785="too few losses to test",$Y785="too few loans to test"),"Too few losses",IF($Y785="","","No"))))</f>
        <v/>
      </c>
      <c r="AJ785">
        <f>IF($AA785="yes","Yes",IF($AA785="","","No"))</f>
        <v/>
      </c>
      <c r="AK785" t="n">
        <v>0.0012998700129987</v>
      </c>
      <c r="AL785" t="n">
        <v>0.002599740025997401</v>
      </c>
      <c r="AM785">
        <f>IF(AND(ISNUMBER($AC785),ISNUMBER(IF($V785,IF($AL785="","",$AL785),IF($AK785="","",$AK785)))),IF(AND(ABS($AC785-significance_bar)&lt;=2.0*IF($V785,IF($AL785="","",$AL785),IF($AK785="","",$AK785)),OR($Y785="worse",$Y785="better",$Y785="worse, not significant",$Y785="better, not significant")),IF(ROUND($AC785,3)=ROUND(significance_bar,3),TEXT($AC785,"0.0000"),TEXT($AC785,"0.000")),""),"")</f>
        <v/>
      </c>
      <c r="AN785">
        <f>IF(AND(ISNUMBER($AC785),ISNUMBER(IF($V785,IF($AL785="","",$AL785),IF($AK785="","",$AK785)))),IF(AND(ABS($AC785-significance_bar)&lt;=2.0*IF($V785,IF($AL785="","",$AL785),IF($AK785="","",$AK785)),OR($Y785="worse",$Y785="worse, not significant")),IF(ROUND($AC785,3)=ROUND(significance_bar,3),TEXT($AC785,"0.0000"),TEXT($AC785,"0.000")),""),"")</f>
        <v/>
      </c>
      <c r="AO785">
        <f>IF(OR($AI785="",$AN785=""),$AI785,$AI785&amp;" · borderline (p "&amp;$AN785&amp;")")</f>
        <v/>
      </c>
    </row>
    <row r="786">
      <c r="A786" t="inlineStr">
        <is>
          <t>three-way</t>
        </is>
      </c>
      <c r="B786" t="inlineStr">
        <is>
          <t>FICO x ASSET_CLASS / SYS_FLAG</t>
        </is>
      </c>
      <c r="C786" t="inlineStr">
        <is>
          <t>496 - 653</t>
        </is>
      </c>
      <c r="D786" t="inlineStr">
        <is>
          <t>4 / SYS_FLAG Y</t>
        </is>
      </c>
      <c r="E786" t="inlineStr">
        <is>
          <t>gco_rate</t>
        </is>
      </c>
      <c r="F786" t="inlineStr">
        <is>
          <t>GCO per booked dollar</t>
        </is>
      </c>
      <c r="G786" t="n">
        <v>189</v>
      </c>
      <c r="H786" t="n">
        <v>5755233.75</v>
      </c>
      <c r="I786" t="b">
        <v>0</v>
      </c>
      <c r="J786" t="b">
        <v>0</v>
      </c>
      <c r="K786" t="n">
        <v>3.878325437378352</v>
      </c>
      <c r="L786" t="n">
        <v>0.0006499350064993501</v>
      </c>
      <c r="M786" t="n">
        <v>2.028899747601855</v>
      </c>
      <c r="N786" t="n">
        <v>0.005199480051994801</v>
      </c>
      <c r="O786" t="n">
        <v>647631.4365546019</v>
      </c>
      <c r="P786" t="n">
        <v>442532.0678318283</v>
      </c>
      <c r="Q786">
        <f>'_live'!$C$22</f>
        <v/>
      </c>
      <c r="R786" t="inlineStr">
        <is>
          <t>shuffled: 0 of 10,000</t>
        </is>
      </c>
      <c r="S786" t="inlineStr">
        <is>
          <t>shuffled: 1 of 10,000</t>
        </is>
      </c>
      <c r="T786" t="n">
        <v>0.03909534577034302</v>
      </c>
      <c r="U786" t="n">
        <v>0.07473236376683597</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0.1516244739842235</v>
      </c>
      <c r="AI786">
        <f>IF($Y786="worse","Yes",IF($Y786="worse, not significant","Not sure",IF(OR($Y786="too few losses to test",$Y786="too few loans to test"),"Too few losses",IF($Y786="","","No"))))</f>
        <v/>
      </c>
      <c r="AJ786">
        <f>IF($AA786="yes","Yes",IF($AA786="","","No"))</f>
        <v/>
      </c>
      <c r="AK786" t="n">
        <v>0.0006499350064993501</v>
      </c>
      <c r="AL786" t="n">
        <v>0.002599350035742038</v>
      </c>
      <c r="AM786">
        <f>IF(AND(ISNUMBER($AC786),ISNUMBER(IF($V786,IF($AL786="","",$AL786),IF($AK786="","",$AK786)))),IF(AND(ABS($AC786-significance_bar)&lt;=2.0*IF($V786,IF($AL786="","",$AL786),IF($AK786="","",$AK786)),OR($Y786="worse",$Y786="better",$Y786="worse, not significant",$Y786="better, not significant")),IF(ROUND($AC786,3)=ROUND(significance_bar,3),TEXT($AC786,"0.0000"),TEXT($AC786,"0.000")),""),"")</f>
        <v/>
      </c>
      <c r="AN786">
        <f>IF(AND(ISNUMBER($AC786),ISNUMBER(IF($V786,IF($AL786="","",$AL786),IF($AK786="","",$AK786)))),IF(AND(ABS($AC786-significance_bar)&lt;=2.0*IF($V786,IF($AL786="","",$AL786),IF($AK786="","",$AK786)),OR($Y786="worse",$Y786="worse, not significant")),IF(ROUND($AC786,3)=ROUND(significance_bar,3),TEXT($AC786,"0.0000"),TEXT($AC786,"0.000")),""),"")</f>
        <v/>
      </c>
      <c r="AO786">
        <f>IF(OR($AI786="",$AN786=""),$AI786,$AI786&amp;" · borderline (p "&amp;$AN786&amp;")")</f>
        <v/>
      </c>
    </row>
    <row r="787">
      <c r="A787" t="inlineStr">
        <is>
          <t>three-way</t>
        </is>
      </c>
      <c r="B787" t="inlineStr">
        <is>
          <t>FICO x ASSET_CLASS / SYS_FLAG</t>
        </is>
      </c>
      <c r="C787" t="inlineStr">
        <is>
          <t>496 - 653</t>
        </is>
      </c>
      <c r="D787" t="inlineStr">
        <is>
          <t>4 / SYS_FLAG Y</t>
        </is>
      </c>
      <c r="E787" t="inlineStr">
        <is>
          <t>ranr_rate</t>
        </is>
      </c>
      <c r="F787" t="inlineStr">
        <is>
          <t>Profit after losses: RANR per booked dollar</t>
        </is>
      </c>
      <c r="G787" t="n">
        <v>189</v>
      </c>
      <c r="H787" t="n">
        <v>5755233.75</v>
      </c>
      <c r="I787" t="b">
        <v>0</v>
      </c>
      <c r="J787" t="b">
        <v>0</v>
      </c>
      <c r="K787" t="n">
        <v>-0.006303639092055696</v>
      </c>
      <c r="L787" t="n">
        <v>0.7254541212545411</v>
      </c>
      <c r="M787" t="n">
        <v>-0.07708705800213783</v>
      </c>
      <c r="N787" t="n">
        <v>0.007199280071992801</v>
      </c>
      <c r="O787" t="n">
        <v>36278.9164504183</v>
      </c>
      <c r="P787" t="n">
        <v>443654.0379021113</v>
      </c>
      <c r="Q787">
        <f>'_live'!$C$23</f>
        <v/>
      </c>
      <c r="R787" t="inlineStr">
        <is>
          <t>shuffled: 6,662 of 10,000</t>
        </is>
      </c>
      <c r="S787" t="inlineStr">
        <is>
          <t>shuffled: 2 of 10,000</t>
        </is>
      </c>
      <c r="T787" t="n">
        <v>0.1281306283086101</v>
      </c>
      <c r="U787" t="n">
        <v>0.1989140472186923</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0.1218269892165544</v>
      </c>
      <c r="AI787">
        <f>IF($Y787="worse","Yes",IF($Y787="worse, not significant","Not sure",IF(OR($Y787="too few losses to test",$Y787="too few loans to test"),"Too few losses",IF($Y787="","","No"))))</f>
        <v/>
      </c>
      <c r="AJ787">
        <f>IF($AA787="yes","Yes",IF($AA787="","","No"))</f>
        <v/>
      </c>
      <c r="AK787" t="n">
        <v>0.005134737091492845</v>
      </c>
      <c r="AL787" t="n">
        <v>0.004156090616123188</v>
      </c>
      <c r="AM787">
        <f>IF(AND(ISNUMBER($AC787),ISNUMBER(IF($V787,IF($AL787="","",$AL787),IF($AK787="","",$AK787)))),IF(AND(ABS($AC787-significance_bar)&lt;=2.0*IF($V787,IF($AL787="","",$AL787),IF($AK787="","",$AK787)),OR($Y787="worse",$Y787="better",$Y787="worse, not significant",$Y787="better, not significant",AND(profit_kind="test",$Y787="in line",ISNUMBER($AB787),$AB787&lt;&gt;0))),IF(ROUND($AC787,3)=ROUND(significance_bar,3),TEXT($AC787,"0.0000"),TEXT($AC787,"0.000")),""),"")</f>
        <v/>
      </c>
      <c r="AN787">
        <f>IF(AND(ISNUMBER($AC787),ISNUMBER(IF($V787,IF($AL787="","",$AL787),IF($AK787="","",$AK787)))),IF(AND(ABS($AC787-significance_bar)&lt;=2.0*IF($V787,IF($AL787="","",$AL787),IF($AK787="","",$AK787)),OR($Y787="worse",$Y787="worse, not significant",AND(profit_kind="test",$Y787="in line",ISNUMBER($AB787),$AB787&lt;0))),IF(ROUND($AC787,3)=ROUND(significance_bar,3),TEXT($AC787,"0.0000"),TEXT($AC787,"0.000")),""),"")</f>
        <v/>
      </c>
      <c r="AO787">
        <f>IF(OR($AI787="",$AN787=""),$AI787,$AI787&amp;" · borderline (p "&amp;$AN787&amp;")")</f>
        <v/>
      </c>
    </row>
    <row r="788">
      <c r="A788" t="inlineStr">
        <is>
          <t>three-way</t>
        </is>
      </c>
      <c r="B788" t="inlineStr">
        <is>
          <t>FICO x ASSET_CLASS / SYS_FLAG</t>
        </is>
      </c>
      <c r="C788" t="inlineStr">
        <is>
          <t>496 - 653</t>
        </is>
      </c>
      <c r="D788" t="inlineStr">
        <is>
          <t>4 / SYS_FLAG Y</t>
        </is>
      </c>
      <c r="E788" t="inlineStr">
        <is>
          <t>contribution_rate</t>
        </is>
      </c>
      <c r="F788" t="inlineStr">
        <is>
          <t>Contribution before losses per booked dollar</t>
        </is>
      </c>
      <c r="G788" t="n">
        <v>189</v>
      </c>
      <c r="H788" t="n">
        <v>5755233.75</v>
      </c>
      <c r="I788" t="b">
        <v>0</v>
      </c>
      <c r="J788" t="b">
        <v>0</v>
      </c>
      <c r="K788" t="n">
        <v>0.1062283914836235</v>
      </c>
      <c r="L788" t="n">
        <v>0.0001814633351479667</v>
      </c>
      <c r="M788" t="n">
        <v>-0.0001949477847504322</v>
      </c>
      <c r="N788" t="n">
        <v>0.9857014298570143</v>
      </c>
      <c r="O788" t="n">
        <v>-611369.2238747624</v>
      </c>
      <c r="P788" t="n">
        <v>1121.970070283627</v>
      </c>
      <c r="Q788">
        <f>'_live'!$C$24</f>
        <v/>
      </c>
      <c r="R788" t="inlineStr">
        <is>
          <t>shuffled: 0 of 10,000</t>
        </is>
      </c>
      <c r="S788" t="inlineStr">
        <is>
          <t>shuffled: 9,857 of 10,000</t>
        </is>
      </c>
      <c r="T788" t="n">
        <v>0.1672230717171544</v>
      </c>
      <c r="U788" t="n">
        <v>0.2736464109855283</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0.2734514632007779</v>
      </c>
      <c r="AI788">
        <f>IF($Y788="worse","Yes",IF($Y788="worse, not significant","Not sure",IF(OR($Y788="too few losses to test",$Y788="too few loans to test"),"Too few losses",IF($Y788="","","No"))))</f>
        <v/>
      </c>
      <c r="AJ788">
        <f>IF($AA788="yes","Yes",IF($AA788="","","No"))</f>
        <v/>
      </c>
      <c r="AK788" t="n">
        <v>0.0001814633351479667</v>
      </c>
      <c r="AL788" t="n">
        <v>0.001187186633804974</v>
      </c>
      <c r="AM788">
        <f>IF(AND(ISNUMBER($AC788),ISNUMBER(IF($V788,IF($AL788="","",$AL788),IF($AK788="","",$AK788)))),IF(AND(ABS($AC788-significance_bar)&lt;=2.0*IF($V788,IF($AL788="","",$AL788),IF($AK788="","",$AK788)),OR($Y788="worse",$Y788="better",$Y788="worse, not significant",$Y788="better, not significant",AND(profit_kind="test",$Y788="in line",ISNUMBER($AB788),$AB788&lt;&gt;0))),IF(ROUND($AC788,3)=ROUND(significance_bar,3),TEXT($AC788,"0.0000"),TEXT($AC788,"0.000")),""),"")</f>
        <v/>
      </c>
      <c r="AN788">
        <f>IF(AND(ISNUMBER($AC788),ISNUMBER(IF($V788,IF($AL788="","",$AL788),IF($AK788="","",$AK788)))),IF(AND(ABS($AC788-significance_bar)&lt;=2.0*IF($V788,IF($AL788="","",$AL788),IF($AK788="","",$AK788)),OR($Y788="worse",$Y788="worse, not significant",AND(profit_kind="test",$Y788="in line",ISNUMBER($AB788),$AB788&lt;0))),IF(ROUND($AC788,3)=ROUND(significance_bar,3),TEXT($AC788,"0.0000"),TEXT($AC788,"0.000")),""),"")</f>
        <v/>
      </c>
      <c r="AO788">
        <f>IF(OR($AI788="",$AN788=""),$AI788,$AI788&amp;" · borderline (p "&amp;$AN788&amp;")")</f>
        <v/>
      </c>
    </row>
    <row r="789">
      <c r="A789" t="inlineStr">
        <is>
          <t>three-way</t>
        </is>
      </c>
      <c r="B789" t="inlineStr">
        <is>
          <t>FICO x ASSET_CLASS / SYS_FLAG</t>
        </is>
      </c>
      <c r="C789" t="inlineStr">
        <is>
          <t>686 - 711</t>
        </is>
      </c>
      <c r="D789" t="inlineStr">
        <is>
          <t>3 / SYS_FLAG N</t>
        </is>
      </c>
      <c r="E789" t="inlineStr">
        <is>
          <t>outcome_loans</t>
        </is>
      </c>
      <c r="F789" t="inlineStr">
        <is>
          <t>Outcome, share of loans</t>
        </is>
      </c>
      <c r="G789" t="n">
        <v>192</v>
      </c>
      <c r="H789" t="n">
        <v>192</v>
      </c>
      <c r="I789" t="b">
        <v>0</v>
      </c>
      <c r="J789" t="b">
        <v>0</v>
      </c>
      <c r="K789" t="n">
        <v>0.6676758347016968</v>
      </c>
      <c r="L789" t="n">
        <v>0.3955168456979902</v>
      </c>
      <c r="M789" t="n">
        <v>0.8296996124031008</v>
      </c>
      <c r="N789" t="n">
        <v>0.7325767837628765</v>
      </c>
      <c r="O789" t="n">
        <v>-4.977328038939413</v>
      </c>
      <c r="P789" t="n">
        <v>-2.052554744525548</v>
      </c>
      <c r="Q789">
        <f>'_live'!$C$20</f>
        <v/>
      </c>
      <c r="R789" t="inlineStr">
        <is>
          <t>z test</t>
        </is>
      </c>
      <c r="S789" t="inlineStr">
        <is>
          <t>z test</t>
        </is>
      </c>
      <c r="T789" t="n">
        <v>0.07800691686947611</v>
      </c>
      <c r="U789" t="n">
        <v>0.06277372262773723</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0.05208333333333334</v>
      </c>
      <c r="AI789">
        <f>IF($Y789="worse","Yes",IF($Y789="worse, not significant","Not sure",IF(OR($Y789="too few losses to test",$Y789="too few loans to test"),"Too few losses",IF($Y789="","","No"))))</f>
        <v/>
      </c>
      <c r="AJ789">
        <f>IF($AA789="yes","Yes",IF($AA789="","","No"))</f>
        <v/>
      </c>
      <c r="AM789">
        <f>IF(AND(ISNUMBER($AC789),ISNUMBER(IF($V789,IF($AL789="","",$AL789),IF($AK789="","",$AK789)))),IF(AND(ABS($AC789-significance_bar)&lt;=2.0*IF($V789,IF($AL789="","",$AL789),IF($AK789="","",$AK789)),OR($Y789="worse",$Y789="better",$Y789="worse, not significant",$Y789="better, not significant")),IF(ROUND($AC789,3)=ROUND(significance_bar,3),TEXT($AC789,"0.0000"),TEXT($AC789,"0.000")),""),"")</f>
        <v/>
      </c>
      <c r="AN789">
        <f>IF(AND(ISNUMBER($AC789),ISNUMBER(IF($V789,IF($AL789="","",$AL789),IF($AK789="","",$AK789)))),IF(AND(ABS($AC789-significance_bar)&lt;=2.0*IF($V789,IF($AL789="","",$AL789),IF($AK789="","",$AK789)),OR($Y789="worse",$Y789="worse, not significant")),IF(ROUND($AC789,3)=ROUND(significance_bar,3),TEXT($AC789,"0.0000"),TEXT($AC789,"0.000")),""),"")</f>
        <v/>
      </c>
      <c r="AO789">
        <f>IF(OR($AI789="",$AN789=""),$AI789,$AI789&amp;" · borderline (p "&amp;$AN789&amp;")")</f>
        <v/>
      </c>
    </row>
    <row r="790">
      <c r="A790" t="inlineStr">
        <is>
          <t>three-way</t>
        </is>
      </c>
      <c r="B790" t="inlineStr">
        <is>
          <t>FICO x ASSET_CLASS / SYS_FLAG</t>
        </is>
      </c>
      <c r="C790" t="inlineStr">
        <is>
          <t>686 - 711</t>
        </is>
      </c>
      <c r="D790" t="inlineStr">
        <is>
          <t>3 / SYS_FLAG N</t>
        </is>
      </c>
      <c r="E790" t="inlineStr">
        <is>
          <t>outcome_booked</t>
        </is>
      </c>
      <c r="F790" t="inlineStr">
        <is>
          <t>Outcome, share of booked dollars</t>
        </is>
      </c>
      <c r="G790" t="n">
        <v>192</v>
      </c>
      <c r="H790" t="n">
        <v>6314930.580000002</v>
      </c>
      <c r="I790" t="b">
        <v>0</v>
      </c>
      <c r="J790" t="b">
        <v>0</v>
      </c>
      <c r="K790" t="n">
        <v>0.5836763747125797</v>
      </c>
      <c r="L790" t="n">
        <v>0.3392660733926607</v>
      </c>
      <c r="M790" t="n">
        <v>0.7522036532990173</v>
      </c>
      <c r="N790" t="n">
        <v>0.7066705094196463</v>
      </c>
      <c r="O790" t="n">
        <v>-198754.2815533444</v>
      </c>
      <c r="P790" t="n">
        <v>-91794.57427639992</v>
      </c>
      <c r="Q790">
        <f>'_live'!$C$21</f>
        <v/>
      </c>
      <c r="R790" t="inlineStr">
        <is>
          <t>shuffled: 1,304 of 10,000</t>
        </is>
      </c>
      <c r="S790" t="inlineStr">
        <is>
          <t>shuffled: 4,620 of 10,000</t>
        </is>
      </c>
      <c r="T790" t="n">
        <v>0.07559914008640524</v>
      </c>
      <c r="U790" t="n">
        <v>0.05866154973257043</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0.04412543201702147</v>
      </c>
      <c r="AI790">
        <f>IF($Y790="worse","Yes",IF($Y790="worse, not significant","Not sure",IF(OR($Y790="too few losses to test",$Y790="too few loans to test"),"Too few losses",IF($Y790="","","No"))))</f>
        <v/>
      </c>
      <c r="AJ790">
        <f>IF($AA790="yes","Yes",IF($AA790="","","No"))</f>
        <v/>
      </c>
      <c r="AK790" t="n">
        <v>0.008757798366402617</v>
      </c>
      <c r="AL790" t="n">
        <v>0.007625004799957071</v>
      </c>
      <c r="AM790">
        <f>IF(AND(ISNUMBER($AC790),ISNUMBER(IF($V790,IF($AL790="","",$AL790),IF($AK790="","",$AK790)))),IF(AND(ABS($AC790-significance_bar)&lt;=2.0*IF($V790,IF($AL790="","",$AL790),IF($AK790="","",$AK790)),OR($Y790="worse",$Y790="better",$Y790="worse, not significant",$Y790="better, not significant")),IF(ROUND($AC790,3)=ROUND(significance_bar,3),TEXT($AC790,"0.0000"),TEXT($AC790,"0.000")),""),"")</f>
        <v/>
      </c>
      <c r="AN790">
        <f>IF(AND(ISNUMBER($AC790),ISNUMBER(IF($V790,IF($AL790="","",$AL790),IF($AK790="","",$AK790)))),IF(AND(ABS($AC790-significance_bar)&lt;=2.0*IF($V790,IF($AL790="","",$AL790),IF($AK790="","",$AK790)),OR($Y790="worse",$Y790="worse, not significant")),IF(ROUND($AC790,3)=ROUND(significance_bar,3),TEXT($AC790,"0.0000"),TEXT($AC790,"0.000")),""),"")</f>
        <v/>
      </c>
      <c r="AO790">
        <f>IF(OR($AI790="",$AN790=""),$AI790,$AI790&amp;" · borderline (p "&amp;$AN790&amp;")")</f>
        <v/>
      </c>
    </row>
    <row r="791">
      <c r="A791" t="inlineStr">
        <is>
          <t>three-way</t>
        </is>
      </c>
      <c r="B791" t="inlineStr">
        <is>
          <t>FICO x ASSET_CLASS / SYS_FLAG</t>
        </is>
      </c>
      <c r="C791" t="inlineStr">
        <is>
          <t>686 - 711</t>
        </is>
      </c>
      <c r="D791" t="inlineStr">
        <is>
          <t>3 / SYS_FLAG N</t>
        </is>
      </c>
      <c r="E791" t="inlineStr">
        <is>
          <t>gco_rate</t>
        </is>
      </c>
      <c r="F791" t="inlineStr">
        <is>
          <t>GCO per booked dollar</t>
        </is>
      </c>
      <c r="G791" t="n">
        <v>192</v>
      </c>
      <c r="H791" t="n">
        <v>6314930.580000002</v>
      </c>
      <c r="I791" t="b">
        <v>0</v>
      </c>
      <c r="J791" t="b">
        <v>0</v>
      </c>
      <c r="K791" t="n">
        <v>0.5886399173778718</v>
      </c>
      <c r="L791" t="n">
        <v>0.3444655534446555</v>
      </c>
      <c r="M791" t="n">
        <v>0.7618706475931187</v>
      </c>
      <c r="N791" t="n">
        <v>0.7543833851908927</v>
      </c>
      <c r="O791" t="n">
        <v>-109177.5767118055</v>
      </c>
      <c r="P791" t="n">
        <v>-48830.67216850162</v>
      </c>
      <c r="Q791">
        <f>'_live'!$C$22</f>
        <v/>
      </c>
      <c r="R791" t="inlineStr">
        <is>
          <t>shuffled: 1,483 of 10,000</t>
        </is>
      </c>
      <c r="S791" t="inlineStr">
        <is>
          <t>shuffled: 4,932 of 10,000</t>
        </is>
      </c>
      <c r="T791" t="n">
        <v>0.04202838706610223</v>
      </c>
      <c r="U791" t="n">
        <v>0.03247216094788829</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0.02473958629011563</v>
      </c>
      <c r="AI791">
        <f>IF($Y791="worse","Yes",IF($Y791="worse, not significant","Not sure",IF(OR($Y791="too few losses to test",$Y791="too few loans to test"),"Too few losses",IF($Y791="","","No"))))</f>
        <v/>
      </c>
      <c r="AJ791">
        <f>IF($AA791="yes","Yes",IF($AA791="","","No"))</f>
        <v/>
      </c>
      <c r="AK791" t="n">
        <v>0.007218484775917799</v>
      </c>
      <c r="AL791" t="n">
        <v>0.007646362092900975</v>
      </c>
      <c r="AM791">
        <f>IF(AND(ISNUMBER($AC791),ISNUMBER(IF($V791,IF($AL791="","",$AL791),IF($AK791="","",$AK791)))),IF(AND(ABS($AC791-significance_bar)&lt;=2.0*IF($V791,IF($AL791="","",$AL791),IF($AK791="","",$AK791)),OR($Y791="worse",$Y791="better",$Y791="worse, not significant",$Y791="better, not significant")),IF(ROUND($AC791,3)=ROUND(significance_bar,3),TEXT($AC791,"0.0000"),TEXT($AC791,"0.000")),""),"")</f>
        <v/>
      </c>
      <c r="AN791">
        <f>IF(AND(ISNUMBER($AC791),ISNUMBER(IF($V791,IF($AL791="","",$AL791),IF($AK791="","",$AK791)))),IF(AND(ABS($AC791-significance_bar)&lt;=2.0*IF($V791,IF($AL791="","",$AL791),IF($AK791="","",$AK791)),OR($Y791="worse",$Y791="worse, not significant")),IF(ROUND($AC791,3)=ROUND(significance_bar,3),TEXT($AC791,"0.0000"),TEXT($AC791,"0.000")),""),"")</f>
        <v/>
      </c>
      <c r="AO791">
        <f>IF(OR($AI791="",$AN791=""),$AI791,$AI791&amp;" · borderline (p "&amp;$AN791&amp;")")</f>
        <v/>
      </c>
    </row>
    <row r="792">
      <c r="A792" t="inlineStr">
        <is>
          <t>three-way</t>
        </is>
      </c>
      <c r="B792" t="inlineStr">
        <is>
          <t>FICO x ASSET_CLASS / SYS_FLAG</t>
        </is>
      </c>
      <c r="C792" t="inlineStr">
        <is>
          <t>686 - 711</t>
        </is>
      </c>
      <c r="D792" t="inlineStr">
        <is>
          <t>3 / SYS_FLAG N</t>
        </is>
      </c>
      <c r="E792" t="inlineStr">
        <is>
          <t>ranr_rate</t>
        </is>
      </c>
      <c r="F792" t="inlineStr">
        <is>
          <t>Profit after losses: RANR per booked dollar</t>
        </is>
      </c>
      <c r="G792" t="n">
        <v>192</v>
      </c>
      <c r="H792" t="n">
        <v>6314930.580000002</v>
      </c>
      <c r="I792" t="b">
        <v>0</v>
      </c>
      <c r="J792" t="b">
        <v>0</v>
      </c>
      <c r="K792" t="n">
        <v>0.01637058155225721</v>
      </c>
      <c r="L792" t="n">
        <v>0.3892228424216402</v>
      </c>
      <c r="M792" t="n">
        <v>0.002330161178315027</v>
      </c>
      <c r="N792" t="n">
        <v>0.9703029697030296</v>
      </c>
      <c r="O792" t="n">
        <v>-103379.0860567329</v>
      </c>
      <c r="P792" t="n">
        <v>-14714.80608127045</v>
      </c>
      <c r="Q792">
        <f>'_live'!$C$23</f>
        <v/>
      </c>
      <c r="R792" t="inlineStr">
        <is>
          <t>shuffled: 2,700 of 10,000</t>
        </is>
      </c>
      <c r="S792" t="inlineStr">
        <is>
          <t>shuffled: 8,681 of 10,000</t>
        </is>
      </c>
      <c r="T792" t="n">
        <v>0.1275894617899769</v>
      </c>
      <c r="U792" t="n">
        <v>0.1416298821639191</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0.1439600433422341</v>
      </c>
      <c r="AI792">
        <f>IF($Y792="worse","Yes",IF($Y792="worse, not significant","Not sure",IF(OR($Y792="too few losses to test",$Y792="too few loans to test"),"Too few losses",IF($Y792="","","No"))))</f>
        <v/>
      </c>
      <c r="AJ792">
        <f>IF($AA792="yes","Yes",IF($AA792="","","No"))</f>
        <v/>
      </c>
      <c r="AK792" t="n">
        <v>0.00639878411302303</v>
      </c>
      <c r="AL792" t="n">
        <v>0.001697501596126236</v>
      </c>
      <c r="AM792">
        <f>IF(AND(ISNUMBER($AC792),ISNUMBER(IF($V792,IF($AL792="","",$AL792),IF($AK792="","",$AK792)))),IF(AND(ABS($AC792-significance_bar)&lt;=2.0*IF($V792,IF($AL792="","",$AL792),IF($AK792="","",$AK792)),OR($Y792="worse",$Y792="better",$Y792="worse, not significant",$Y792="better, not significant",AND(profit_kind="test",$Y792="in line",ISNUMBER($AB792),$AB792&lt;&gt;0))),IF(ROUND($AC792,3)=ROUND(significance_bar,3),TEXT($AC792,"0.0000"),TEXT($AC792,"0.000")),""),"")</f>
        <v/>
      </c>
      <c r="AN792">
        <f>IF(AND(ISNUMBER($AC792),ISNUMBER(IF($V792,IF($AL792="","",$AL792),IF($AK792="","",$AK792)))),IF(AND(ABS($AC792-significance_bar)&lt;=2.0*IF($V792,IF($AL792="","",$AL792),IF($AK792="","",$AK792)),OR($Y792="worse",$Y792="worse, not significant",AND(profit_kind="test",$Y792="in line",ISNUMBER($AB792),$AB792&lt;0))),IF(ROUND($AC792,3)=ROUND(significance_bar,3),TEXT($AC792,"0.0000"),TEXT($AC792,"0.000")),""),"")</f>
        <v/>
      </c>
      <c r="AO792">
        <f>IF(OR($AI792="",$AN792=""),$AI792,$AI792&amp;" · borderline (p "&amp;$AN792&amp;")")</f>
        <v/>
      </c>
    </row>
    <row r="793">
      <c r="A793" t="inlineStr">
        <is>
          <t>three-way</t>
        </is>
      </c>
      <c r="B793" t="inlineStr">
        <is>
          <t>FICO x ASSET_CLASS / SYS_FLAG</t>
        </is>
      </c>
      <c r="C793" t="inlineStr">
        <is>
          <t>686 - 711</t>
        </is>
      </c>
      <c r="D793" t="inlineStr">
        <is>
          <t>3 / SYS_FLAG N</t>
        </is>
      </c>
      <c r="E793" t="inlineStr">
        <is>
          <t>contribution_rate</t>
        </is>
      </c>
      <c r="F793" t="inlineStr">
        <is>
          <t>Contribution before losses per booked dollar</t>
        </is>
      </c>
      <c r="G793" t="n">
        <v>192</v>
      </c>
      <c r="H793" t="n">
        <v>6314930.580000002</v>
      </c>
      <c r="I793" t="b">
        <v>0</v>
      </c>
      <c r="J793" t="b">
        <v>0</v>
      </c>
      <c r="K793" t="n">
        <v>-0.0009152250897485059</v>
      </c>
      <c r="L793" t="n">
        <v>0.9452992200779922</v>
      </c>
      <c r="M793" t="n">
        <v>-0.005402413479457607</v>
      </c>
      <c r="N793" t="n">
        <v>0.937752378608293</v>
      </c>
      <c r="O793" t="n">
        <v>5779.582906835945</v>
      </c>
      <c r="P793" t="n">
        <v>34115.86608723109</v>
      </c>
      <c r="Q793">
        <f>'_live'!$C$24</f>
        <v/>
      </c>
      <c r="R793" t="inlineStr">
        <is>
          <t>shuffled: 9,260 of 10,000</t>
        </is>
      </c>
      <c r="S793" t="inlineStr">
        <is>
          <t>shuffled: 4,801 of 10,000</t>
        </is>
      </c>
      <c r="T793" t="n">
        <v>0.1696148547220983</v>
      </c>
      <c r="U793" t="n">
        <v>0.1741020431118074</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0.1686996296323497</v>
      </c>
      <c r="AI793">
        <f>IF($Y793="worse","Yes",IF($Y793="worse, not significant","Not sure",IF(OR($Y793="too few losses to test",$Y793="too few loans to test"),"Too few losses",IF($Y793="","","No"))))</f>
        <v/>
      </c>
      <c r="AJ793">
        <f>IF($AA793="yes","Yes",IF($AA793="","","No"))</f>
        <v/>
      </c>
      <c r="AK793" t="n">
        <v>0.002672121598085624</v>
      </c>
      <c r="AL793" t="n">
        <v>0.009229602574987216</v>
      </c>
      <c r="AM793">
        <f>IF(AND(ISNUMBER($AC793),ISNUMBER(IF($V793,IF($AL793="","",$AL793),IF($AK793="","",$AK793)))),IF(AND(ABS($AC793-significance_bar)&lt;=2.0*IF($V793,IF($AL793="","",$AL793),IF($AK793="","",$AK793)),OR($Y793="worse",$Y793="better",$Y793="worse, not significant",$Y793="better, not significant",AND(profit_kind="test",$Y793="in line",ISNUMBER($AB793),$AB793&lt;&gt;0))),IF(ROUND($AC793,3)=ROUND(significance_bar,3),TEXT($AC793,"0.0000"),TEXT($AC793,"0.000")),""),"")</f>
        <v/>
      </c>
      <c r="AN793">
        <f>IF(AND(ISNUMBER($AC793),ISNUMBER(IF($V793,IF($AL793="","",$AL793),IF($AK793="","",$AK793)))),IF(AND(ABS($AC793-significance_bar)&lt;=2.0*IF($V793,IF($AL793="","",$AL793),IF($AK793="","",$AK793)),OR($Y793="worse",$Y793="worse, not significant",AND(profit_kind="test",$Y793="in line",ISNUMBER($AB793),$AB793&lt;0))),IF(ROUND($AC793,3)=ROUND(significance_bar,3),TEXT($AC793,"0.0000"),TEXT($AC793,"0.000")),""),"")</f>
        <v/>
      </c>
      <c r="AO793">
        <f>IF(OR($AI793="",$AN793=""),$AI793,$AI793&amp;" · borderline (p "&amp;$AN793&amp;")")</f>
        <v/>
      </c>
    </row>
    <row r="794">
      <c r="A794" t="inlineStr">
        <is>
          <t>three-way</t>
        </is>
      </c>
      <c r="B794" t="inlineStr">
        <is>
          <t>FICO x ASSET_CLASS / SYS_FLAG</t>
        </is>
      </c>
      <c r="C794" t="inlineStr">
        <is>
          <t>496 - 653</t>
        </is>
      </c>
      <c r="D794" t="inlineStr">
        <is>
          <t>2 / SYS_FLAG Y</t>
        </is>
      </c>
      <c r="E794" t="inlineStr">
        <is>
          <t>outcome_loans</t>
        </is>
      </c>
      <c r="F794" t="inlineStr">
        <is>
          <t>Outcome, share of loans</t>
        </is>
      </c>
      <c r="G794" t="n">
        <v>181</v>
      </c>
      <c r="H794" t="n">
        <v>181</v>
      </c>
      <c r="I794" t="b">
        <v>0</v>
      </c>
      <c r="J794" t="b">
        <v>0</v>
      </c>
      <c r="K794" t="n">
        <v>1.666858244651266</v>
      </c>
      <c r="L794" t="n">
        <v>0.04934912884530373</v>
      </c>
      <c r="M794" t="n">
        <v>0.8274724411510567</v>
      </c>
      <c r="N794" t="n">
        <v>0.5666368538444249</v>
      </c>
      <c r="O794" t="n">
        <v>9.201586083397288</v>
      </c>
      <c r="P794" t="n">
        <v>-4.795487627365354</v>
      </c>
      <c r="Q794">
        <f>'_live'!$C$20</f>
        <v/>
      </c>
      <c r="R794" t="inlineStr">
        <is>
          <t>z test</t>
        </is>
      </c>
      <c r="S794" t="inlineStr">
        <is>
          <t>z test</t>
        </is>
      </c>
      <c r="T794" t="n">
        <v>0.07623433103095421</v>
      </c>
      <c r="U794" t="n">
        <v>0.1535662299854439</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0.1270718232044199</v>
      </c>
      <c r="AI794">
        <f>IF($Y794="worse","Yes",IF($Y794="worse, not significant","Not sure",IF(OR($Y794="too few losses to test",$Y794="too few loans to test"),"Too few losses",IF($Y794="","","No"))))</f>
        <v/>
      </c>
      <c r="AJ794">
        <f>IF($AA794="yes","Yes",IF($AA794="","","No"))</f>
        <v/>
      </c>
      <c r="AM794">
        <f>IF(AND(ISNUMBER($AC794),ISNUMBER(IF($V794,IF($AL794="","",$AL794),IF($AK794="","",$AK794)))),IF(AND(ABS($AC794-significance_bar)&lt;=2.0*IF($V794,IF($AL794="","",$AL794),IF($AK794="","",$AK794)),OR($Y794="worse",$Y794="better",$Y794="worse, not significant",$Y794="better, not significant")),IF(ROUND($AC794,3)=ROUND(significance_bar,3),TEXT($AC794,"0.0000"),TEXT($AC794,"0.000")),""),"")</f>
        <v/>
      </c>
      <c r="AN794">
        <f>IF(AND(ISNUMBER($AC794),ISNUMBER(IF($V794,IF($AL794="","",$AL794),IF($AK794="","",$AK794)))),IF(AND(ABS($AC794-significance_bar)&lt;=2.0*IF($V794,IF($AL794="","",$AL794),IF($AK794="","",$AK794)),OR($Y794="worse",$Y794="worse, not significant")),IF(ROUND($AC794,3)=ROUND(significance_bar,3),TEXT($AC794,"0.0000"),TEXT($AC794,"0.000")),""),"")</f>
        <v/>
      </c>
      <c r="AO794">
        <f>IF(OR($AI794="",$AN794=""),$AI794,$AI794&amp;" · borderline (p "&amp;$AN794&amp;")")</f>
        <v/>
      </c>
    </row>
    <row r="795">
      <c r="A795" t="inlineStr">
        <is>
          <t>three-way</t>
        </is>
      </c>
      <c r="B795" t="inlineStr">
        <is>
          <t>FICO x ASSET_CLASS / SYS_FLAG</t>
        </is>
      </c>
      <c r="C795" t="inlineStr">
        <is>
          <t>496 - 653</t>
        </is>
      </c>
      <c r="D795" t="inlineStr">
        <is>
          <t>2 / SYS_FLAG Y</t>
        </is>
      </c>
      <c r="E795" t="inlineStr">
        <is>
          <t>outcome_booked</t>
        </is>
      </c>
      <c r="F795" t="inlineStr">
        <is>
          <t>Outcome, share of booked dollars</t>
        </is>
      </c>
      <c r="G795" t="n">
        <v>181</v>
      </c>
      <c r="H795" t="n">
        <v>6306217.74</v>
      </c>
      <c r="I795" t="b">
        <v>0</v>
      </c>
      <c r="J795" t="b">
        <v>0</v>
      </c>
      <c r="K795" t="n">
        <v>1.608998492284683</v>
      </c>
      <c r="L795" t="n">
        <v>0.1381576128101476</v>
      </c>
      <c r="M795" t="n">
        <v>0.7728507248388223</v>
      </c>
      <c r="N795" t="n">
        <v>0.5657034296570344</v>
      </c>
      <c r="O795" t="n">
        <v>283164.0119717853</v>
      </c>
      <c r="P795" t="n">
        <v>-219883.7896752504</v>
      </c>
      <c r="Q795">
        <f>'_live'!$C$21</f>
        <v/>
      </c>
      <c r="R795" t="inlineStr">
        <is>
          <t>shuffled: 371 of 10,000</t>
        </is>
      </c>
      <c r="S795" t="inlineStr">
        <is>
          <t>shuffled: 2,670 of 10,000</t>
        </is>
      </c>
      <c r="T795" t="n">
        <v>0.07373146744980844</v>
      </c>
      <c r="U795" t="n">
        <v>0.1535015962952225</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0.118633819960679</v>
      </c>
      <c r="AI795">
        <f>IF($Y795="worse","Yes",IF($Y795="worse, not significant","Not sure",IF(OR($Y795="too few losses to test",$Y795="too few loans to test"),"Too few losses",IF($Y795="","","No"))))</f>
        <v/>
      </c>
      <c r="AJ795">
        <f>IF($AA795="yes","Yes",IF($AA795="","","No"))</f>
        <v/>
      </c>
      <c r="AK795" t="n">
        <v>0.007029006484583362</v>
      </c>
      <c r="AL795" t="n">
        <v>0.00812731346189991</v>
      </c>
      <c r="AM795">
        <f>IF(AND(ISNUMBER($AC795),ISNUMBER(IF($V795,IF($AL795="","",$AL795),IF($AK795="","",$AK795)))),IF(AND(ABS($AC795-significance_bar)&lt;=2.0*IF($V795,IF($AL795="","",$AL795),IF($AK795="","",$AK795)),OR($Y795="worse",$Y795="better",$Y795="worse, not significant",$Y795="better, not significant")),IF(ROUND($AC795,3)=ROUND(significance_bar,3),TEXT($AC795,"0.0000"),TEXT($AC795,"0.000")),""),"")</f>
        <v/>
      </c>
      <c r="AN795">
        <f>IF(AND(ISNUMBER($AC795),ISNUMBER(IF($V795,IF($AL795="","",$AL795),IF($AK795="","",$AK795)))),IF(AND(ABS($AC795-significance_bar)&lt;=2.0*IF($V795,IF($AL795="","",$AL795),IF($AK795="","",$AK795)),OR($Y795="worse",$Y795="worse, not significant")),IF(ROUND($AC795,3)=ROUND(significance_bar,3),TEXT($AC795,"0.0000"),TEXT($AC795,"0.000")),""),"")</f>
        <v/>
      </c>
      <c r="AO795">
        <f>IF(OR($AI795="",$AN795=""),$AI795,$AI795&amp;" · borderline (p "&amp;$AN795&amp;")")</f>
        <v/>
      </c>
    </row>
    <row r="796">
      <c r="A796" t="inlineStr">
        <is>
          <t>three-way</t>
        </is>
      </c>
      <c r="B796" t="inlineStr">
        <is>
          <t>FICO x ASSET_CLASS / SYS_FLAG</t>
        </is>
      </c>
      <c r="C796" t="inlineStr">
        <is>
          <t>496 - 653</t>
        </is>
      </c>
      <c r="D796" t="inlineStr">
        <is>
          <t>2 / SYS_FLAG Y</t>
        </is>
      </c>
      <c r="E796" t="inlineStr">
        <is>
          <t>gco_rate</t>
        </is>
      </c>
      <c r="F796" t="inlineStr">
        <is>
          <t>GCO per booked dollar</t>
        </is>
      </c>
      <c r="G796" t="n">
        <v>181</v>
      </c>
      <c r="H796" t="n">
        <v>6306217.74</v>
      </c>
      <c r="I796" t="b">
        <v>0</v>
      </c>
      <c r="J796" t="b">
        <v>0</v>
      </c>
      <c r="K796" t="n">
        <v>1.488032517090986</v>
      </c>
      <c r="L796" t="n">
        <v>0.2995478229954782</v>
      </c>
      <c r="M796" t="n">
        <v>0.7063637520003889</v>
      </c>
      <c r="N796" t="n">
        <v>0.4351964803519648</v>
      </c>
      <c r="O796" t="n">
        <v>126536.7328822717</v>
      </c>
      <c r="P796" t="n">
        <v>-160384.1846114515</v>
      </c>
      <c r="Q796">
        <f>'_live'!$C$22</f>
        <v/>
      </c>
      <c r="R796" t="inlineStr">
        <is>
          <t>shuffled: 1,036 of 10,000</t>
        </is>
      </c>
      <c r="S796" t="inlineStr">
        <is>
          <t>shuffled: 1,594 of 10,000</t>
        </is>
      </c>
      <c r="T796" t="n">
        <v>0.04111486754939235</v>
      </c>
      <c r="U796" t="n">
        <v>0.08661296630259574</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0.06118025984938478</v>
      </c>
      <c r="AI796">
        <f>IF($Y796="worse","Yes",IF($Y796="worse, not significant","Not sure",IF(OR($Y796="too few losses to test",$Y796="too few loans to test"),"Too few losses",IF($Y796="","","No"))))</f>
        <v/>
      </c>
      <c r="AJ796">
        <f>IF($AA796="yes","Yes",IF($AA796="","","No"))</f>
        <v/>
      </c>
      <c r="AK796" t="n">
        <v>0.008806994261841904</v>
      </c>
      <c r="AL796" t="n">
        <v>0.009706260208774388</v>
      </c>
      <c r="AM796">
        <f>IF(AND(ISNUMBER($AC796),ISNUMBER(IF($V796,IF($AL796="","",$AL796),IF($AK796="","",$AK796)))),IF(AND(ABS($AC796-significance_bar)&lt;=2.0*IF($V796,IF($AL796="","",$AL796),IF($AK796="","",$AK796)),OR($Y796="worse",$Y796="better",$Y796="worse, not significant",$Y796="better, not significant")),IF(ROUND($AC796,3)=ROUND(significance_bar,3),TEXT($AC796,"0.0000"),TEXT($AC796,"0.000")),""),"")</f>
        <v/>
      </c>
      <c r="AN796">
        <f>IF(AND(ISNUMBER($AC796),ISNUMBER(IF($V796,IF($AL796="","",$AL796),IF($AK796="","",$AK796)))),IF(AND(ABS($AC796-significance_bar)&lt;=2.0*IF($V796,IF($AL796="","",$AL796),IF($AK796="","",$AK796)),OR($Y796="worse",$Y796="worse, not significant")),IF(ROUND($AC796,3)=ROUND(significance_bar,3),TEXT($AC796,"0.0000"),TEXT($AC796,"0.000")),""),"")</f>
        <v/>
      </c>
      <c r="AO796">
        <f>IF(OR($AI796="",$AN796=""),$AI796,$AI796&amp;" · borderline (p "&amp;$AN796&amp;")")</f>
        <v/>
      </c>
    </row>
    <row r="797">
      <c r="A797" t="inlineStr">
        <is>
          <t>three-way</t>
        </is>
      </c>
      <c r="B797" t="inlineStr">
        <is>
          <t>FICO x ASSET_CLASS / SYS_FLAG</t>
        </is>
      </c>
      <c r="C797" t="inlineStr">
        <is>
          <t>496 - 653</t>
        </is>
      </c>
      <c r="D797" t="inlineStr">
        <is>
          <t>2 / SYS_FLAG Y</t>
        </is>
      </c>
      <c r="E797" t="inlineStr">
        <is>
          <t>ranr_rate</t>
        </is>
      </c>
      <c r="F797" t="inlineStr">
        <is>
          <t>Profit after losses: RANR per booked dollar</t>
        </is>
      </c>
      <c r="G797" t="n">
        <v>181</v>
      </c>
      <c r="H797" t="n">
        <v>6306217.74</v>
      </c>
      <c r="I797" t="b">
        <v>0</v>
      </c>
      <c r="J797" t="b">
        <v>0</v>
      </c>
      <c r="K797" t="n">
        <v>0.06907402224717418</v>
      </c>
      <c r="L797" t="n">
        <v>0.0003768853883842385</v>
      </c>
      <c r="M797" t="n">
        <v>0.005942920526824491</v>
      </c>
      <c r="N797" t="n">
        <v>0.9201031116400554</v>
      </c>
      <c r="O797" t="n">
        <v>-435595.8244682845</v>
      </c>
      <c r="P797" t="n">
        <v>-37477.35085367085</v>
      </c>
      <c r="Q797">
        <f>'_live'!$C$23</f>
        <v/>
      </c>
      <c r="R797" t="inlineStr">
        <is>
          <t>shuffled: 0 of 10,000</t>
        </is>
      </c>
      <c r="S797" t="inlineStr">
        <is>
          <t>shuffled: 7,859 of 10,000</t>
        </is>
      </c>
      <c r="T797" t="n">
        <v>0.1263021415324165</v>
      </c>
      <c r="U797" t="n">
        <v>0.1894332432527662</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0.1953761637795907</v>
      </c>
      <c r="AI797">
        <f>IF($Y797="worse","Yes",IF($Y797="worse, not significant","Not sure",IF(OR($Y797="too few losses to test",$Y797="too few loans to test"),"Too few losses",IF($Y797="","","No"))))</f>
        <v/>
      </c>
      <c r="AJ797">
        <f>IF($AA797="yes","Yes",IF($AA797="","","No"))</f>
        <v/>
      </c>
      <c r="AK797" t="n">
        <v>0.0003768853883842385</v>
      </c>
      <c r="AL797" t="n">
        <v>0.00480212609943139</v>
      </c>
      <c r="AM797">
        <f>IF(AND(ISNUMBER($AC797),ISNUMBER(IF($V797,IF($AL797="","",$AL797),IF($AK797="","",$AK797)))),IF(AND(ABS($AC797-significance_bar)&lt;=2.0*IF($V797,IF($AL797="","",$AL797),IF($AK797="","",$AK797)),OR($Y797="worse",$Y797="better",$Y797="worse, not significant",$Y797="better, not significant",AND(profit_kind="test",$Y797="in line",ISNUMBER($AB797),$AB797&lt;&gt;0))),IF(ROUND($AC797,3)=ROUND(significance_bar,3),TEXT($AC797,"0.0000"),TEXT($AC797,"0.000")),""),"")</f>
        <v/>
      </c>
      <c r="AN797">
        <f>IF(AND(ISNUMBER($AC797),ISNUMBER(IF($V797,IF($AL797="","",$AL797),IF($AK797="","",$AK797)))),IF(AND(ABS($AC797-significance_bar)&lt;=2.0*IF($V797,IF($AL797="","",$AL797),IF($AK797="","",$AK797)),OR($Y797="worse",$Y797="worse, not significant",AND(profit_kind="test",$Y797="in line",ISNUMBER($AB797),$AB797&lt;0))),IF(ROUND($AC797,3)=ROUND(significance_bar,3),TEXT($AC797,"0.0000"),TEXT($AC797,"0.000")),""),"")</f>
        <v/>
      </c>
      <c r="AO797">
        <f>IF(OR($AI797="",$AN797=""),$AI797,$AI797&amp;" · borderline (p "&amp;$AN797&amp;")")</f>
        <v/>
      </c>
    </row>
    <row r="798">
      <c r="A798" t="inlineStr">
        <is>
          <t>three-way</t>
        </is>
      </c>
      <c r="B798" t="inlineStr">
        <is>
          <t>FICO x ASSET_CLASS / SYS_FLAG</t>
        </is>
      </c>
      <c r="C798" t="inlineStr">
        <is>
          <t>496 - 653</t>
        </is>
      </c>
      <c r="D798" t="inlineStr">
        <is>
          <t>2 / SYS_FLAG Y</t>
        </is>
      </c>
      <c r="E798" t="inlineStr">
        <is>
          <t>contribution_rate</t>
        </is>
      </c>
      <c r="F798" t="inlineStr">
        <is>
          <t>Contribution before losses per booked dollar</t>
        </is>
      </c>
      <c r="G798" t="n">
        <v>181</v>
      </c>
      <c r="H798" t="n">
        <v>6306217.74</v>
      </c>
      <c r="I798" t="b">
        <v>0</v>
      </c>
      <c r="J798" t="b">
        <v>0</v>
      </c>
      <c r="K798" t="n">
        <v>0.08914261152544761</v>
      </c>
      <c r="L798" t="n">
        <v>0.0001814633351479667</v>
      </c>
      <c r="M798" t="n">
        <v>-0.0194897859263865</v>
      </c>
      <c r="N798" t="n">
        <v>0.5536900855369009</v>
      </c>
      <c r="O798" t="n">
        <v>-562152.7181917061</v>
      </c>
      <c r="P798" t="n">
        <v>122906.833757781</v>
      </c>
      <c r="Q798">
        <f>'_live'!$C$24</f>
        <v/>
      </c>
      <c r="R798" t="inlineStr">
        <is>
          <t>shuffled: 0 of 10,000</t>
        </is>
      </c>
      <c r="S798" t="inlineStr">
        <is>
          <t>shuffled: 1,268 of 10,000</t>
        </is>
      </c>
      <c r="T798" t="n">
        <v>0.1674138121035278</v>
      </c>
      <c r="U798" t="n">
        <v>0.276046209555362</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0.2565564236289755</v>
      </c>
      <c r="AI798">
        <f>IF($Y798="worse","Yes",IF($Y798="worse, not significant","Not sure",IF(OR($Y798="too few losses to test",$Y798="too few loans to test"),"Too few losses",IF($Y798="","","No"))))</f>
        <v/>
      </c>
      <c r="AJ798">
        <f>IF($AA798="yes","Yes",IF($AA798="","","No"))</f>
        <v/>
      </c>
      <c r="AK798" t="n">
        <v>0.0001814633351479667</v>
      </c>
      <c r="AL798" t="n">
        <v>0.01452421936150749</v>
      </c>
      <c r="AM798">
        <f>IF(AND(ISNUMBER($AC798),ISNUMBER(IF($V798,IF($AL798="","",$AL798),IF($AK798="","",$AK798)))),IF(AND(ABS($AC798-significance_bar)&lt;=2.0*IF($V798,IF($AL798="","",$AL798),IF($AK798="","",$AK798)),OR($Y798="worse",$Y798="better",$Y798="worse, not significant",$Y798="better, not significant",AND(profit_kind="test",$Y798="in line",ISNUMBER($AB798),$AB798&lt;&gt;0))),IF(ROUND($AC798,3)=ROUND(significance_bar,3),TEXT($AC798,"0.0000"),TEXT($AC798,"0.000")),""),"")</f>
        <v/>
      </c>
      <c r="AN798">
        <f>IF(AND(ISNUMBER($AC798),ISNUMBER(IF($V798,IF($AL798="","",$AL798),IF($AK798="","",$AK798)))),IF(AND(ABS($AC798-significance_bar)&lt;=2.0*IF($V798,IF($AL798="","",$AL798),IF($AK798="","",$AK798)),OR($Y798="worse",$Y798="worse, not significant",AND(profit_kind="test",$Y798="in line",ISNUMBER($AB798),$AB798&lt;0))),IF(ROUND($AC798,3)=ROUND(significance_bar,3),TEXT($AC798,"0.0000"),TEXT($AC798,"0.000")),""),"")</f>
        <v/>
      </c>
      <c r="AO798">
        <f>IF(OR($AI798="",$AN798=""),$AI798,$AI798&amp;" · borderline (p "&amp;$AN798&amp;")")</f>
        <v/>
      </c>
    </row>
    <row r="799">
      <c r="A799" t="inlineStr">
        <is>
          <t>three-way</t>
        </is>
      </c>
      <c r="B799" t="inlineStr">
        <is>
          <t>FICO x ASSET_CLASS / SYS_FLAG</t>
        </is>
      </c>
      <c r="C799" t="inlineStr">
        <is>
          <t>(marked missing)</t>
        </is>
      </c>
      <c r="D799" t="inlineStr">
        <is>
          <t>3 / SYS_FLAG N</t>
        </is>
      </c>
      <c r="E799" t="inlineStr">
        <is>
          <t>outcome_loans</t>
        </is>
      </c>
      <c r="F799" t="inlineStr">
        <is>
          <t>Outcome, share of loans</t>
        </is>
      </c>
      <c r="G799" t="n">
        <v>21</v>
      </c>
      <c r="H799" t="n">
        <v>21</v>
      </c>
      <c r="I799" t="b">
        <v>1</v>
      </c>
      <c r="J799" t="b">
        <v>0</v>
      </c>
      <c r="K799" t="n">
        <v>0</v>
      </c>
      <c r="M799" t="n">
        <v>0</v>
      </c>
      <c r="O799" t="n">
        <v>-1.629355728252695</v>
      </c>
      <c r="P799" t="n">
        <v>-1.510791366906475</v>
      </c>
      <c r="Q799">
        <f>'_live'!$C$20</f>
        <v/>
      </c>
      <c r="T799" t="n">
        <v>0.07758836801203309</v>
      </c>
      <c r="U799" t="n">
        <v>0.07194244604316546</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v>
      </c>
      <c r="AI799">
        <f>IF($Y799="worse","Yes",IF($Y799="worse, not significant","Not sure",IF(OR($Y799="too few losses to test",$Y799="too few loans to test"),"Too few losses",IF($Y799="","","No"))))</f>
        <v/>
      </c>
      <c r="AJ799">
        <f>IF($AA799="yes","Yes",IF($AA799="","","No"))</f>
        <v/>
      </c>
      <c r="AM799">
        <f>IF(AND(ISNUMBER($AC799),ISNUMBER(IF($V799,IF($AL799="","",$AL799),IF($AK799="","",$AK799)))),IF(AND(ABS($AC799-significance_bar)&lt;=2.0*IF($V799,IF($AL799="","",$AL799),IF($AK799="","",$AK799)),OR($Y799="worse",$Y799="better",$Y799="worse, not significant",$Y799="better, not significant")),IF(ROUND($AC799,3)=ROUND(significance_bar,3),TEXT($AC799,"0.0000"),TEXT($AC799,"0.000")),""),"")</f>
        <v/>
      </c>
      <c r="AN799">
        <f>IF(AND(ISNUMBER($AC799),ISNUMBER(IF($V799,IF($AL799="","",$AL799),IF($AK799="","",$AK799)))),IF(AND(ABS($AC799-significance_bar)&lt;=2.0*IF($V799,IF($AL799="","",$AL799),IF($AK799="","",$AK799)),OR($Y799="worse",$Y799="worse, not significant")),IF(ROUND($AC799,3)=ROUND(significance_bar,3),TEXT($AC799,"0.0000"),TEXT($AC799,"0.000")),""),"")</f>
        <v/>
      </c>
      <c r="AO799">
        <f>IF(OR($AI799="",$AN799=""),$AI799,$AI799&amp;" · borderline (p "&amp;$AN799&amp;")")</f>
        <v/>
      </c>
    </row>
    <row r="800">
      <c r="A800" t="inlineStr">
        <is>
          <t>three-way</t>
        </is>
      </c>
      <c r="B800" t="inlineStr">
        <is>
          <t>FICO x ASSET_CLASS / SYS_FLAG</t>
        </is>
      </c>
      <c r="C800" t="inlineStr">
        <is>
          <t>(marked missing)</t>
        </is>
      </c>
      <c r="D800" t="inlineStr">
        <is>
          <t>3 / SYS_FLAG N</t>
        </is>
      </c>
      <c r="E800" t="inlineStr">
        <is>
          <t>outcome_booked</t>
        </is>
      </c>
      <c r="F800" t="inlineStr">
        <is>
          <t>Outcome, share of booked dollars</t>
        </is>
      </c>
      <c r="G800" t="n">
        <v>21</v>
      </c>
      <c r="H800" t="n">
        <v>659110.4</v>
      </c>
      <c r="I800" t="b">
        <v>1</v>
      </c>
      <c r="J800" t="b">
        <v>0</v>
      </c>
      <c r="K800" t="n">
        <v>0</v>
      </c>
      <c r="M800" t="n">
        <v>0</v>
      </c>
      <c r="O800" t="n">
        <v>-49446.79139282369</v>
      </c>
      <c r="P800" t="n">
        <v>-36255.14395131654</v>
      </c>
      <c r="Q800">
        <f>'_live'!$C$21</f>
        <v/>
      </c>
      <c r="T800" t="n">
        <v>0.07502049943806635</v>
      </c>
      <c r="U800" t="n">
        <v>0.05500617795033508</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v>
      </c>
      <c r="AI800">
        <f>IF($Y800="worse","Yes",IF($Y800="worse, not significant","Not sure",IF(OR($Y800="too few losses to test",$Y800="too few loans to test"),"Too few losses",IF($Y800="","","No"))))</f>
        <v/>
      </c>
      <c r="AJ800">
        <f>IF($AA800="yes","Yes",IF($AA800="","","No"))</f>
        <v/>
      </c>
      <c r="AM800">
        <f>IF(AND(ISNUMBER($AC800),ISNUMBER(IF($V800,IF($AL800="","",$AL800),IF($AK800="","",$AK800)))),IF(AND(ABS($AC800-significance_bar)&lt;=2.0*IF($V800,IF($AL800="","",$AL800),IF($AK800="","",$AK800)),OR($Y800="worse",$Y800="better",$Y800="worse, not significant",$Y800="better, not significant")),IF(ROUND($AC800,3)=ROUND(significance_bar,3),TEXT($AC800,"0.0000"),TEXT($AC800,"0.000")),""),"")</f>
        <v/>
      </c>
      <c r="AN800">
        <f>IF(AND(ISNUMBER($AC800),ISNUMBER(IF($V800,IF($AL800="","",$AL800),IF($AK800="","",$AK800)))),IF(AND(ABS($AC800-significance_bar)&lt;=2.0*IF($V800,IF($AL800="","",$AL800),IF($AK800="","",$AK800)),OR($Y800="worse",$Y800="worse, not significant")),IF(ROUND($AC800,3)=ROUND(significance_bar,3),TEXT($AC800,"0.0000"),TEXT($AC800,"0.000")),""),"")</f>
        <v/>
      </c>
      <c r="AO800">
        <f>IF(OR($AI800="",$AN800=""),$AI800,$AI800&amp;" · borderline (p "&amp;$AN800&amp;")")</f>
        <v/>
      </c>
    </row>
    <row r="801">
      <c r="A801" t="inlineStr">
        <is>
          <t>three-way</t>
        </is>
      </c>
      <c r="B801" t="inlineStr">
        <is>
          <t>FICO x ASSET_CLASS / SYS_FLAG</t>
        </is>
      </c>
      <c r="C801" t="inlineStr">
        <is>
          <t>(marked missing)</t>
        </is>
      </c>
      <c r="D801" t="inlineStr">
        <is>
          <t>3 / SYS_FLAG N</t>
        </is>
      </c>
      <c r="E801" t="inlineStr">
        <is>
          <t>gco_rate</t>
        </is>
      </c>
      <c r="F801" t="inlineStr">
        <is>
          <t>GCO per booked dollar</t>
        </is>
      </c>
      <c r="G801" t="n">
        <v>21</v>
      </c>
      <c r="H801" t="n">
        <v>659110.4</v>
      </c>
      <c r="I801" t="b">
        <v>1</v>
      </c>
      <c r="J801" t="b">
        <v>0</v>
      </c>
      <c r="K801" t="n">
        <v>0</v>
      </c>
      <c r="M801" t="n">
        <v>0</v>
      </c>
      <c r="O801" t="n">
        <v>-27492.69058927777</v>
      </c>
      <c r="P801" t="n">
        <v>-19210.26617821833</v>
      </c>
      <c r="Q801">
        <f>'_live'!$C$22</f>
        <v/>
      </c>
      <c r="T801" t="n">
        <v>0.04171181427159663</v>
      </c>
      <c r="U801" t="n">
        <v>0.02914574884301375</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v>
      </c>
      <c r="AI801">
        <f>IF($Y801="worse","Yes",IF($Y801="worse, not significant","Not sure",IF(OR($Y801="too few losses to test",$Y801="too few loans to test"),"Too few losses",IF($Y801="","","No"))))</f>
        <v/>
      </c>
      <c r="AJ801">
        <f>IF($AA801="yes","Yes",IF($AA801="","","No"))</f>
        <v/>
      </c>
      <c r="AM801">
        <f>IF(AND(ISNUMBER($AC801),ISNUMBER(IF($V801,IF($AL801="","",$AL801),IF($AK801="","",$AK801)))),IF(AND(ABS($AC801-significance_bar)&lt;=2.0*IF($V801,IF($AL801="","",$AL801),IF($AK801="","",$AK801)),OR($Y801="worse",$Y801="better",$Y801="worse, not significant",$Y801="better, not significant")),IF(ROUND($AC801,3)=ROUND(significance_bar,3),TEXT($AC801,"0.0000"),TEXT($AC801,"0.000")),""),"")</f>
        <v/>
      </c>
      <c r="AN801">
        <f>IF(AND(ISNUMBER($AC801),ISNUMBER(IF($V801,IF($AL801="","",$AL801),IF($AK801="","",$AK801)))),IF(AND(ABS($AC801-significance_bar)&lt;=2.0*IF($V801,IF($AL801="","",$AL801),IF($AK801="","",$AK801)),OR($Y801="worse",$Y801="worse, not significant")),IF(ROUND($AC801,3)=ROUND(significance_bar,3),TEXT($AC801,"0.0000"),TEXT($AC801,"0.000")),""),"")</f>
        <v/>
      </c>
      <c r="AO801">
        <f>IF(OR($AI801="",$AN801=""),$AI801,$AI801&amp;" · borderline (p "&amp;$AN801&amp;")")</f>
        <v/>
      </c>
    </row>
    <row r="802">
      <c r="A802" t="inlineStr">
        <is>
          <t>three-way</t>
        </is>
      </c>
      <c r="B802" t="inlineStr">
        <is>
          <t>FICO x ASSET_CLASS / SYS_FLAG</t>
        </is>
      </c>
      <c r="C802" t="inlineStr">
        <is>
          <t>(marked missing)</t>
        </is>
      </c>
      <c r="D802" t="inlineStr">
        <is>
          <t>3 / SYS_FLAG N</t>
        </is>
      </c>
      <c r="E802" t="inlineStr">
        <is>
          <t>ranr_rate</t>
        </is>
      </c>
      <c r="F802" t="inlineStr">
        <is>
          <t>Profit after losses: RANR per booked dollar</t>
        </is>
      </c>
      <c r="G802" t="n">
        <v>21</v>
      </c>
      <c r="H802" t="n">
        <v>659110.4</v>
      </c>
      <c r="I802" t="b">
        <v>0</v>
      </c>
      <c r="J802" t="b">
        <v>0</v>
      </c>
      <c r="K802" t="n">
        <v>0.1024472904781341</v>
      </c>
      <c r="L802" t="n">
        <v>0.05012575665510372</v>
      </c>
      <c r="M802" t="n">
        <v>0.08568157935111237</v>
      </c>
      <c r="N802" t="n">
        <v>0.2543745625437456</v>
      </c>
      <c r="O802" t="n">
        <v>-67524.07460595918</v>
      </c>
      <c r="P802" t="n">
        <v>-56473.62003874342</v>
      </c>
      <c r="Q802">
        <f>'_live'!$C$23</f>
        <v/>
      </c>
      <c r="R802" t="inlineStr">
        <is>
          <t>shuffled: 265 of 10,000</t>
        </is>
      </c>
      <c r="S802" t="inlineStr">
        <is>
          <t>shuffled: 317 of 10,000</t>
        </is>
      </c>
      <c r="T802" t="n">
        <v>0.1277283978435795</v>
      </c>
      <c r="U802" t="n">
        <v>0.1444941089706012</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0.2301756883217136</v>
      </c>
      <c r="AI802">
        <f>IF($Y802="worse","Yes",IF($Y802="worse, not significant","Not sure",IF(OR($Y802="too few losses to test",$Y802="too few loans to test"),"Too few losses",IF($Y802="","","No"))))</f>
        <v/>
      </c>
      <c r="AJ802">
        <f>IF($AA802="yes","Yes",IF($AA802="","","No"))</f>
        <v/>
      </c>
      <c r="AK802" t="n">
        <v>0.003032411262963004</v>
      </c>
      <c r="AL802" t="n">
        <v>0.01403670218491738</v>
      </c>
      <c r="AM802">
        <f>IF(AND(ISNUMBER($AC802),ISNUMBER(IF($V802,IF($AL802="","",$AL802),IF($AK802="","",$AK802)))),IF(AND(ABS($AC802-significance_bar)&lt;=2.0*IF($V802,IF($AL802="","",$AL802),IF($AK802="","",$AK802)),OR($Y802="worse",$Y802="better",$Y802="worse, not significant",$Y802="better, not significant",AND(profit_kind="test",$Y802="in line",ISNUMBER($AB802),$AB802&lt;&gt;0))),IF(ROUND($AC802,3)=ROUND(significance_bar,3),TEXT($AC802,"0.0000"),TEXT($AC802,"0.000")),""),"")</f>
        <v/>
      </c>
      <c r="AN802">
        <f>IF(AND(ISNUMBER($AC802),ISNUMBER(IF($V802,IF($AL802="","",$AL802),IF($AK802="","",$AK802)))),IF(AND(ABS($AC802-significance_bar)&lt;=2.0*IF($V802,IF($AL802="","",$AL802),IF($AK802="","",$AK802)),OR($Y802="worse",$Y802="worse, not significant",AND(profit_kind="test",$Y802="in line",ISNUMBER($AB802),$AB802&lt;0))),IF(ROUND($AC802,3)=ROUND(significance_bar,3),TEXT($AC802,"0.0000"),TEXT($AC802,"0.000")),""),"")</f>
        <v/>
      </c>
      <c r="AO802">
        <f>IF(OR($AI802="",$AN802=""),$AI802,$AI802&amp;" · borderline (p "&amp;$AN802&amp;")")</f>
        <v/>
      </c>
    </row>
    <row r="803">
      <c r="A803" t="inlineStr">
        <is>
          <t>three-way</t>
        </is>
      </c>
      <c r="B803" t="inlineStr">
        <is>
          <t>FICO x ASSET_CLASS / SYS_FLAG</t>
        </is>
      </c>
      <c r="C803" t="inlineStr">
        <is>
          <t>(marked missing)</t>
        </is>
      </c>
      <c r="D803" t="inlineStr">
        <is>
          <t>3 / SYS_FLAG N</t>
        </is>
      </c>
      <c r="E803" t="inlineStr">
        <is>
          <t>contribution_rate</t>
        </is>
      </c>
      <c r="F803" t="inlineStr">
        <is>
          <t>Contribution before losses per booked dollar</t>
        </is>
      </c>
      <c r="G803" t="n">
        <v>21</v>
      </c>
      <c r="H803" t="n">
        <v>659110.4</v>
      </c>
      <c r="I803" t="b">
        <v>0</v>
      </c>
      <c r="J803" t="b">
        <v>0</v>
      </c>
      <c r="K803" t="n">
        <v>0.06073838312012778</v>
      </c>
      <c r="L803" t="n">
        <v>0.05805177058051771</v>
      </c>
      <c r="M803" t="n">
        <v>0.05653583050809863</v>
      </c>
      <c r="N803" t="n">
        <v>0.5536900855369009</v>
      </c>
      <c r="O803" t="n">
        <v>-40033.29999366068</v>
      </c>
      <c r="P803" t="n">
        <v>-37263.35386052509</v>
      </c>
      <c r="Q803">
        <f>'_live'!$C$24</f>
        <v/>
      </c>
      <c r="R803" t="inlineStr">
        <is>
          <t>shuffled: 390 of 10,000</t>
        </is>
      </c>
      <c r="S803" t="inlineStr">
        <is>
          <t>shuffled: 790 of 10,000</t>
        </is>
      </c>
      <c r="T803" t="n">
        <v>0.1694373052015858</v>
      </c>
      <c r="U803" t="n">
        <v>0.173639857813615</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0.2301756883217136</v>
      </c>
      <c r="AI803">
        <f>IF($Y803="worse","Yes",IF($Y803="worse, not significant","Not sure",IF(OR($Y803="too few losses to test",$Y803="too few loans to test"),"Too few losses",IF($Y803="","","No"))))</f>
        <v/>
      </c>
      <c r="AJ803">
        <f>IF($AA803="yes","Yes",IF($AA803="","","No"))</f>
        <v/>
      </c>
      <c r="AK803" t="n">
        <v>0.002877986718553796</v>
      </c>
      <c r="AL803" t="n">
        <v>0.01452421936150749</v>
      </c>
      <c r="AM803">
        <f>IF(AND(ISNUMBER($AC803),ISNUMBER(IF($V803,IF($AL803="","",$AL803),IF($AK803="","",$AK803)))),IF(AND(ABS($AC803-significance_bar)&lt;=2.0*IF($V803,IF($AL803="","",$AL803),IF($AK803="","",$AK803)),OR($Y803="worse",$Y803="better",$Y803="worse, not significant",$Y803="better, not significant",AND(profit_kind="test",$Y803="in line",ISNUMBER($AB803),$AB803&lt;&gt;0))),IF(ROUND($AC803,3)=ROUND(significance_bar,3),TEXT($AC803,"0.0000"),TEXT($AC803,"0.000")),""),"")</f>
        <v/>
      </c>
      <c r="AN803">
        <f>IF(AND(ISNUMBER($AC803),ISNUMBER(IF($V803,IF($AL803="","",$AL803),IF($AK803="","",$AK803)))),IF(AND(ABS($AC803-significance_bar)&lt;=2.0*IF($V803,IF($AL803="","",$AL803),IF($AK803="","",$AK803)),OR($Y803="worse",$Y803="worse, not significant",AND(profit_kind="test",$Y803="in line",ISNUMBER($AB803),$AB803&lt;0))),IF(ROUND($AC803,3)=ROUND(significance_bar,3),TEXT($AC803,"0.0000"),TEXT($AC803,"0.000")),""),"")</f>
        <v/>
      </c>
      <c r="AO803">
        <f>IF(OR($AI803="",$AN803=""),$AI803,$AI803&amp;" · borderline (p "&amp;$AN803&amp;")")</f>
        <v/>
      </c>
    </row>
    <row r="804">
      <c r="A804" t="inlineStr">
        <is>
          <t>three-way</t>
        </is>
      </c>
      <c r="B804" t="inlineStr">
        <is>
          <t>FICO x ASSET_CLASS / SYS_FLAG</t>
        </is>
      </c>
      <c r="C804" t="inlineStr">
        <is>
          <t>654 - 685</t>
        </is>
      </c>
      <c r="D804" t="inlineStr">
        <is>
          <t>4 / SYS_FLAG Y</t>
        </is>
      </c>
      <c r="E804" t="inlineStr">
        <is>
          <t>outcome_loans</t>
        </is>
      </c>
      <c r="F804" t="inlineStr">
        <is>
          <t>Outcome, share of loans</t>
        </is>
      </c>
      <c r="G804" t="n">
        <v>191</v>
      </c>
      <c r="H804" t="n">
        <v>191</v>
      </c>
      <c r="I804" t="b">
        <v>0</v>
      </c>
      <c r="J804" t="b">
        <v>0</v>
      </c>
      <c r="K804" t="n">
        <v>1.936765266076665</v>
      </c>
      <c r="L804" t="n">
        <v>0.001512265832803381</v>
      </c>
      <c r="M804" t="n">
        <v>1.937378092598296</v>
      </c>
      <c r="N804" t="n">
        <v>0.008410048543366326</v>
      </c>
      <c r="O804" t="n">
        <v>13.54290471311475</v>
      </c>
      <c r="P804" t="n">
        <v>13.54747774480712</v>
      </c>
      <c r="Q804">
        <f>'_live'!$C$20</f>
        <v/>
      </c>
      <c r="R804" t="inlineStr">
        <is>
          <t>z test</t>
        </is>
      </c>
      <c r="S804" t="inlineStr">
        <is>
          <t>z test</t>
        </is>
      </c>
      <c r="T804" t="n">
        <v>0.07569159836065574</v>
      </c>
      <c r="U804" t="n">
        <v>0.07566765578635015</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0.1465968586387434</v>
      </c>
      <c r="AI804">
        <f>IF($Y804="worse","Yes",IF($Y804="worse, not significant","Not sure",IF(OR($Y804="too few losses to test",$Y804="too few loans to test"),"Too few losses",IF($Y804="","","No"))))</f>
        <v/>
      </c>
      <c r="AJ804">
        <f>IF($AA804="yes","Yes",IF($AA804="","","No"))</f>
        <v/>
      </c>
      <c r="AM804">
        <f>IF(AND(ISNUMBER($AC804),ISNUMBER(IF($V804,IF($AL804="","",$AL804),IF($AK804="","",$AK804)))),IF(AND(ABS($AC804-significance_bar)&lt;=2.0*IF($V804,IF($AL804="","",$AL804),IF($AK804="","",$AK804)),OR($Y804="worse",$Y804="better",$Y804="worse, not significant",$Y804="better, not significant")),IF(ROUND($AC804,3)=ROUND(significance_bar,3),TEXT($AC804,"0.0000"),TEXT($AC804,"0.000")),""),"")</f>
        <v/>
      </c>
      <c r="AN804">
        <f>IF(AND(ISNUMBER($AC804),ISNUMBER(IF($V804,IF($AL804="","",$AL804),IF($AK804="","",$AK804)))),IF(AND(ABS($AC804-significance_bar)&lt;=2.0*IF($V804,IF($AL804="","",$AL804),IF($AK804="","",$AK804)),OR($Y804="worse",$Y804="worse, not significant")),IF(ROUND($AC804,3)=ROUND(significance_bar,3),TEXT($AC804,"0.0000"),TEXT($AC804,"0.000")),""),"")</f>
        <v/>
      </c>
      <c r="AO804">
        <f>IF(OR($AI804="",$AN804=""),$AI804,$AI804&amp;" · borderline (p "&amp;$AN804&amp;")")</f>
        <v/>
      </c>
    </row>
    <row r="805">
      <c r="A805" t="inlineStr">
        <is>
          <t>three-way</t>
        </is>
      </c>
      <c r="B805" t="inlineStr">
        <is>
          <t>FICO x ASSET_CLASS / SYS_FLAG</t>
        </is>
      </c>
      <c r="C805" t="inlineStr">
        <is>
          <t>654 - 685</t>
        </is>
      </c>
      <c r="D805" t="inlineStr">
        <is>
          <t>4 / SYS_FLAG Y</t>
        </is>
      </c>
      <c r="E805" t="inlineStr">
        <is>
          <t>outcome_booked</t>
        </is>
      </c>
      <c r="F805" t="inlineStr">
        <is>
          <t>Outcome, share of booked dollars</t>
        </is>
      </c>
      <c r="G805" t="n">
        <v>191</v>
      </c>
      <c r="H805" t="n">
        <v>6207016.039999996</v>
      </c>
      <c r="I805" t="b">
        <v>0</v>
      </c>
      <c r="J805" t="b">
        <v>0</v>
      </c>
      <c r="K805" t="n">
        <v>1.975735861220163</v>
      </c>
      <c r="L805" t="n">
        <v>0.007279272072792721</v>
      </c>
      <c r="M805" t="n">
        <v>2.047084140712379</v>
      </c>
      <c r="N805" t="n">
        <v>0.01364863513648635</v>
      </c>
      <c r="O805" t="n">
        <v>442800.9277807987</v>
      </c>
      <c r="P805" t="n">
        <v>458617.9260264064</v>
      </c>
      <c r="Q805">
        <f>'_live'!$C$21</f>
        <v/>
      </c>
      <c r="R805" t="inlineStr">
        <is>
          <t>shuffled: 13 of 10,000</t>
        </is>
      </c>
      <c r="S805" t="inlineStr">
        <is>
          <t>shuffled: 20 of 10,000</t>
        </is>
      </c>
      <c r="T805" t="n">
        <v>0.07311279514902005</v>
      </c>
      <c r="U805" t="n">
        <v>0.07056455004321109</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0.1444515712899625</v>
      </c>
      <c r="AI805">
        <f>IF($Y805="worse","Yes",IF($Y805="worse, not significant","Not sure",IF(OR($Y805="too few losses to test",$Y805="too few loans to test"),"Too few losses",IF($Y805="","","No"))))</f>
        <v/>
      </c>
      <c r="AJ805">
        <f>IF($AA805="yes","Yes",IF($AA805="","","No"))</f>
        <v/>
      </c>
      <c r="AK805" t="n">
        <v>0.001944202329404334</v>
      </c>
      <c r="AL805" t="n">
        <v>0.002975396497041568</v>
      </c>
      <c r="AM805">
        <f>IF(AND(ISNUMBER($AC805),ISNUMBER(IF($V805,IF($AL805="","",$AL805),IF($AK805="","",$AK805)))),IF(AND(ABS($AC805-significance_bar)&lt;=2.0*IF($V805,IF($AL805="","",$AL805),IF($AK805="","",$AK805)),OR($Y805="worse",$Y805="better",$Y805="worse, not significant",$Y805="better, not significant")),IF(ROUND($AC805,3)=ROUND(significance_bar,3),TEXT($AC805,"0.0000"),TEXT($AC805,"0.000")),""),"")</f>
        <v/>
      </c>
      <c r="AN805">
        <f>IF(AND(ISNUMBER($AC805),ISNUMBER(IF($V805,IF($AL805="","",$AL805),IF($AK805="","",$AK805)))),IF(AND(ABS($AC805-significance_bar)&lt;=2.0*IF($V805,IF($AL805="","",$AL805),IF($AK805="","",$AK805)),OR($Y805="worse",$Y805="worse, not significant")),IF(ROUND($AC805,3)=ROUND(significance_bar,3),TEXT($AC805,"0.0000"),TEXT($AC805,"0.000")),""),"")</f>
        <v/>
      </c>
      <c r="AO805">
        <f>IF(OR($AI805="",$AN805=""),$AI805,$AI805&amp;" · borderline (p "&amp;$AN805&amp;")")</f>
        <v/>
      </c>
    </row>
    <row r="806">
      <c r="A806" t="inlineStr">
        <is>
          <t>three-way</t>
        </is>
      </c>
      <c r="B806" t="inlineStr">
        <is>
          <t>FICO x ASSET_CLASS / SYS_FLAG</t>
        </is>
      </c>
      <c r="C806" t="inlineStr">
        <is>
          <t>654 - 685</t>
        </is>
      </c>
      <c r="D806" t="inlineStr">
        <is>
          <t>4 / SYS_FLAG Y</t>
        </is>
      </c>
      <c r="E806" t="inlineStr">
        <is>
          <t>gco_rate</t>
        </is>
      </c>
      <c r="F806" t="inlineStr">
        <is>
          <t>GCO per booked dollar</t>
        </is>
      </c>
      <c r="G806" t="n">
        <v>191</v>
      </c>
      <c r="H806" t="n">
        <v>6207016.039999996</v>
      </c>
      <c r="I806" t="b">
        <v>0</v>
      </c>
      <c r="J806" t="b">
        <v>0</v>
      </c>
      <c r="K806" t="n">
        <v>2.189700217718221</v>
      </c>
      <c r="L806" t="n">
        <v>0.00207979202079792</v>
      </c>
      <c r="M806" t="n">
        <v>2.272315250881231</v>
      </c>
      <c r="N806" t="n">
        <v>0.006932640069326402</v>
      </c>
      <c r="O806" t="n">
        <v>298685.5571261956</v>
      </c>
      <c r="P806" t="n">
        <v>307813.3794976359</v>
      </c>
      <c r="Q806">
        <f>'_live'!$C$22</f>
        <v/>
      </c>
      <c r="R806" t="inlineStr">
        <is>
          <t>shuffled: 3 of 10,000</t>
        </is>
      </c>
      <c r="S806" t="inlineStr">
        <is>
          <t>shuffled: 7 of 10,000</t>
        </is>
      </c>
      <c r="T806" t="n">
        <v>0.04044769841996487</v>
      </c>
      <c r="U806" t="n">
        <v>0.03897713312536636</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0.08856833403639801</v>
      </c>
      <c r="AI806">
        <f>IF($Y806="worse","Yes",IF($Y806="worse, not significant","Not sure",IF(OR($Y806="too few losses to test",$Y806="too few loans to test"),"Too few losses",IF($Y806="","","No"))))</f>
        <v/>
      </c>
      <c r="AJ806">
        <f>IF($AA806="yes","Yes",IF($AA806="","","No"))</f>
        <v/>
      </c>
      <c r="AK806" t="n">
        <v>0.001039740014296815</v>
      </c>
      <c r="AL806" t="n">
        <v>0.002450200381652447</v>
      </c>
      <c r="AM806">
        <f>IF(AND(ISNUMBER($AC806),ISNUMBER(IF($V806,IF($AL806="","",$AL806),IF($AK806="","",$AK806)))),IF(AND(ABS($AC806-significance_bar)&lt;=2.0*IF($V806,IF($AL806="","",$AL806),IF($AK806="","",$AK806)),OR($Y806="worse",$Y806="better",$Y806="worse, not significant",$Y806="better, not significant")),IF(ROUND($AC806,3)=ROUND(significance_bar,3),TEXT($AC806,"0.0000"),TEXT($AC806,"0.000")),""),"")</f>
        <v/>
      </c>
      <c r="AN806">
        <f>IF(AND(ISNUMBER($AC806),ISNUMBER(IF($V806,IF($AL806="","",$AL806),IF($AK806="","",$AK806)))),IF(AND(ABS($AC806-significance_bar)&lt;=2.0*IF($V806,IF($AL806="","",$AL806),IF($AK806="","",$AK806)),OR($Y806="worse",$Y806="worse, not significant")),IF(ROUND($AC806,3)=ROUND(significance_bar,3),TEXT($AC806,"0.0000"),TEXT($AC806,"0.000")),""),"")</f>
        <v/>
      </c>
      <c r="AO806">
        <f>IF(OR($AI806="",$AN806=""),$AI806,$AI806&amp;" · borderline (p "&amp;$AN806&amp;")")</f>
        <v/>
      </c>
    </row>
    <row r="807">
      <c r="A807" t="inlineStr">
        <is>
          <t>three-way</t>
        </is>
      </c>
      <c r="B807" t="inlineStr">
        <is>
          <t>FICO x ASSET_CLASS / SYS_FLAG</t>
        </is>
      </c>
      <c r="C807" t="inlineStr">
        <is>
          <t>654 - 685</t>
        </is>
      </c>
      <c r="D807" t="inlineStr">
        <is>
          <t>4 / SYS_FLAG Y</t>
        </is>
      </c>
      <c r="E807" t="inlineStr">
        <is>
          <t>ranr_rate</t>
        </is>
      </c>
      <c r="F807" t="inlineStr">
        <is>
          <t>Profit after losses: RANR per booked dollar</t>
        </is>
      </c>
      <c r="G807" t="n">
        <v>191</v>
      </c>
      <c r="H807" t="n">
        <v>6207016.039999996</v>
      </c>
      <c r="I807" t="b">
        <v>0</v>
      </c>
      <c r="J807" t="b">
        <v>0</v>
      </c>
      <c r="K807" t="n">
        <v>-0.01477193275121283</v>
      </c>
      <c r="L807" t="n">
        <v>0.4435417569354176</v>
      </c>
      <c r="M807" t="n">
        <v>-0.05662399622857589</v>
      </c>
      <c r="N807" t="n">
        <v>0.007199280071992801</v>
      </c>
      <c r="O807" t="n">
        <v>91689.62352857925</v>
      </c>
      <c r="P807" t="n">
        <v>351466.0528396699</v>
      </c>
      <c r="Q807">
        <f>'_live'!$C$23</f>
        <v/>
      </c>
      <c r="R807" t="inlineStr">
        <is>
          <t>shuffled: 3,258 of 10,000</t>
        </is>
      </c>
      <c r="S807" t="inlineStr">
        <is>
          <t>shuffled: 1 of 10,000</t>
        </is>
      </c>
      <c r="T807" t="n">
        <v>0.1283453415288064</v>
      </c>
      <c r="U807" t="n">
        <v>0.1701974050061695</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0.1135734087775936</v>
      </c>
      <c r="AI807">
        <f>IF($Y807="worse","Yes",IF($Y807="worse, not significant","Not sure",IF(OR($Y807="too few losses to test",$Y807="too few loans to test"),"Too few losses",IF($Y807="","","No"))))</f>
        <v/>
      </c>
      <c r="AJ807">
        <f>IF($AA807="yes","Yes",IF($AA807="","","No"))</f>
        <v/>
      </c>
      <c r="AK807" t="n">
        <v>0.006379500948045885</v>
      </c>
      <c r="AL807" t="n">
        <v>0.004156090616123188</v>
      </c>
      <c r="AM807">
        <f>IF(AND(ISNUMBER($AC807),ISNUMBER(IF($V807,IF($AL807="","",$AL807),IF($AK807="","",$AK807)))),IF(AND(ABS($AC807-significance_bar)&lt;=2.0*IF($V807,IF($AL807="","",$AL807),IF($AK807="","",$AK807)),OR($Y807="worse",$Y807="better",$Y807="worse, not significant",$Y807="better, not significant",AND(profit_kind="test",$Y807="in line",ISNUMBER($AB807),$AB807&lt;&gt;0))),IF(ROUND($AC807,3)=ROUND(significance_bar,3),TEXT($AC807,"0.0000"),TEXT($AC807,"0.000")),""),"")</f>
        <v/>
      </c>
      <c r="AN807">
        <f>IF(AND(ISNUMBER($AC807),ISNUMBER(IF($V807,IF($AL807="","",$AL807),IF($AK807="","",$AK807)))),IF(AND(ABS($AC807-significance_bar)&lt;=2.0*IF($V807,IF($AL807="","",$AL807),IF($AK807="","",$AK807)),OR($Y807="worse",$Y807="worse, not significant",AND(profit_kind="test",$Y807="in line",ISNUMBER($AB807),$AB807&lt;0))),IF(ROUND($AC807,3)=ROUND(significance_bar,3),TEXT($AC807,"0.0000"),TEXT($AC807,"0.000")),""),"")</f>
        <v/>
      </c>
      <c r="AO807">
        <f>IF(OR($AI807="",$AN807=""),$AI807,$AI807&amp;" · borderline (p "&amp;$AN807&amp;")")</f>
        <v/>
      </c>
    </row>
    <row r="808">
      <c r="A808" t="inlineStr">
        <is>
          <t>three-way</t>
        </is>
      </c>
      <c r="B808" t="inlineStr">
        <is>
          <t>FICO x ASSET_CLASS / SYS_FLAG</t>
        </is>
      </c>
      <c r="C808" t="inlineStr">
        <is>
          <t>654 - 685</t>
        </is>
      </c>
      <c r="D808" t="inlineStr">
        <is>
          <t>4 / SYS_FLAG Y</t>
        </is>
      </c>
      <c r="E808" t="inlineStr">
        <is>
          <t>contribution_rate</t>
        </is>
      </c>
      <c r="F808" t="inlineStr">
        <is>
          <t>Contribution before losses per booked dollar</t>
        </is>
      </c>
      <c r="G808" t="n">
        <v>191</v>
      </c>
      <c r="H808" t="n">
        <v>6207016.039999996</v>
      </c>
      <c r="I808" t="b">
        <v>0</v>
      </c>
      <c r="J808" t="b">
        <v>0</v>
      </c>
      <c r="K808" t="n">
        <v>0.03335157659749755</v>
      </c>
      <c r="L808" t="n">
        <v>0.00114321901143219</v>
      </c>
      <c r="M808" t="n">
        <v>-0.007032795317544221</v>
      </c>
      <c r="N808" t="n">
        <v>0.937752378608293</v>
      </c>
      <c r="O808" t="n">
        <v>-207013.7708999558</v>
      </c>
      <c r="P808" t="n">
        <v>43652.67334203376</v>
      </c>
      <c r="Q808">
        <f>'_live'!$C$24</f>
        <v/>
      </c>
      <c r="R808" t="inlineStr">
        <is>
          <t>shuffled: 6 of 10,000</t>
        </is>
      </c>
      <c r="S808" t="inlineStr">
        <is>
          <t>shuffled: 4,505 of 10,000</t>
        </is>
      </c>
      <c r="T808" t="n">
        <v>0.1687901662164941</v>
      </c>
      <c r="U808" t="n">
        <v>0.2091745381315359</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0.2021417428139917</v>
      </c>
      <c r="AI808">
        <f>IF($Y808="worse","Yes",IF($Y808="worse, not significant","Not sure",IF(OR($Y808="too few losses to test",$Y808="too few loans to test"),"Too few losses",IF($Y808="","","No"))))</f>
        <v/>
      </c>
      <c r="AJ808">
        <f>IF($AA808="yes","Yes",IF($AA808="","","No"))</f>
        <v/>
      </c>
      <c r="AK808" t="n">
        <v>0.0004319665228885773</v>
      </c>
      <c r="AL808" t="n">
        <v>0.009229602574987216</v>
      </c>
      <c r="AM808">
        <f>IF(AND(ISNUMBER($AC808),ISNUMBER(IF($V808,IF($AL808="","",$AL808),IF($AK808="","",$AK808)))),IF(AND(ABS($AC808-significance_bar)&lt;=2.0*IF($V808,IF($AL808="","",$AL808),IF($AK808="","",$AK808)),OR($Y808="worse",$Y808="better",$Y808="worse, not significant",$Y808="better, not significant",AND(profit_kind="test",$Y808="in line",ISNUMBER($AB808),$AB808&lt;&gt;0))),IF(ROUND($AC808,3)=ROUND(significance_bar,3),TEXT($AC808,"0.0000"),TEXT($AC808,"0.000")),""),"")</f>
        <v/>
      </c>
      <c r="AN808">
        <f>IF(AND(ISNUMBER($AC808),ISNUMBER(IF($V808,IF($AL808="","",$AL808),IF($AK808="","",$AK808)))),IF(AND(ABS($AC808-significance_bar)&lt;=2.0*IF($V808,IF($AL808="","",$AL808),IF($AK808="","",$AK808)),OR($Y808="worse",$Y808="worse, not significant",AND(profit_kind="test",$Y808="in line",ISNUMBER($AB808),$AB808&lt;0))),IF(ROUND($AC808,3)=ROUND(significance_bar,3),TEXT($AC808,"0.0000"),TEXT($AC808,"0.000")),""),"")</f>
        <v/>
      </c>
      <c r="AO808">
        <f>IF(OR($AI808="",$AN808=""),$AI808,$AI808&amp;" · borderline (p "&amp;$AN808&amp;")")</f>
        <v/>
      </c>
    </row>
    <row r="809">
      <c r="A809" t="inlineStr">
        <is>
          <t>three-way</t>
        </is>
      </c>
      <c r="B809" t="inlineStr">
        <is>
          <t>FICO x ASSET_CLASS / SYS_FLAG</t>
        </is>
      </c>
      <c r="C809" t="inlineStr">
        <is>
          <t>(marked missing)</t>
        </is>
      </c>
      <c r="D809" t="inlineStr">
        <is>
          <t>4 / SYS_FLAG Y</t>
        </is>
      </c>
      <c r="E809" t="inlineStr">
        <is>
          <t>outcome_loans</t>
        </is>
      </c>
      <c r="F809" t="inlineStr">
        <is>
          <t>Outcome, share of loans</t>
        </is>
      </c>
      <c r="G809" t="n">
        <v>17</v>
      </c>
      <c r="H809" t="n">
        <v>17</v>
      </c>
      <c r="I809" t="b">
        <v>1</v>
      </c>
      <c r="J809" t="b">
        <v>0</v>
      </c>
      <c r="K809" t="n">
        <v>0.7597563297163525</v>
      </c>
      <c r="M809" t="n">
        <v>0.9346405228758169</v>
      </c>
      <c r="O809" t="n">
        <v>-0.3162114758205963</v>
      </c>
      <c r="P809" t="n">
        <v>-0.06993006993007</v>
      </c>
      <c r="Q809">
        <f>'_live'!$C$20</f>
        <v/>
      </c>
      <c r="T809" t="n">
        <v>0.07742420446003508</v>
      </c>
      <c r="U809" t="n">
        <v>0.06293706293706294</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0.05882352941176471</v>
      </c>
      <c r="AI809">
        <f>IF($Y809="worse","Yes",IF($Y809="worse, not significant","Not sure",IF(OR($Y809="too few losses to test",$Y809="too few loans to test"),"Too few losses",IF($Y809="","","No"))))</f>
        <v/>
      </c>
      <c r="AJ809">
        <f>IF($AA809="yes","Yes",IF($AA809="","","No"))</f>
        <v/>
      </c>
      <c r="AM809">
        <f>IF(AND(ISNUMBER($AC809),ISNUMBER(IF($V809,IF($AL809="","",$AL809),IF($AK809="","",$AK809)))),IF(AND(ABS($AC809-significance_bar)&lt;=2.0*IF($V809,IF($AL809="","",$AL809),IF($AK809="","",$AK809)),OR($Y809="worse",$Y809="better",$Y809="worse, not significant",$Y809="better, not significant")),IF(ROUND($AC809,3)=ROUND(significance_bar,3),TEXT($AC809,"0.0000"),TEXT($AC809,"0.000")),""),"")</f>
        <v/>
      </c>
      <c r="AN809">
        <f>IF(AND(ISNUMBER($AC809),ISNUMBER(IF($V809,IF($AL809="","",$AL809),IF($AK809="","",$AK809)))),IF(AND(ABS($AC809-significance_bar)&lt;=2.0*IF($V809,IF($AL809="","",$AL809),IF($AK809="","",$AK809)),OR($Y809="worse",$Y809="worse, not significant")),IF(ROUND($AC809,3)=ROUND(significance_bar,3),TEXT($AC809,"0.0000"),TEXT($AC809,"0.000")),""),"")</f>
        <v/>
      </c>
      <c r="AO809">
        <f>IF(OR($AI809="",$AN809=""),$AI809,$AI809&amp;" · borderline (p "&amp;$AN809&amp;")")</f>
        <v/>
      </c>
    </row>
    <row r="810">
      <c r="A810" t="inlineStr">
        <is>
          <t>three-way</t>
        </is>
      </c>
      <c r="B810" t="inlineStr">
        <is>
          <t>FICO x ASSET_CLASS / SYS_FLAG</t>
        </is>
      </c>
      <c r="C810" t="inlineStr">
        <is>
          <t>(marked missing)</t>
        </is>
      </c>
      <c r="D810" t="inlineStr">
        <is>
          <t>4 / SYS_FLAG Y</t>
        </is>
      </c>
      <c r="E810" t="inlineStr">
        <is>
          <t>outcome_booked</t>
        </is>
      </c>
      <c r="F810" t="inlineStr">
        <is>
          <t>Outcome, share of booked dollars</t>
        </is>
      </c>
      <c r="G810" t="n">
        <v>17</v>
      </c>
      <c r="H810" t="n">
        <v>519117.1900000001</v>
      </c>
      <c r="I810" t="b">
        <v>1</v>
      </c>
      <c r="J810" t="b">
        <v>0</v>
      </c>
      <c r="K810" t="n">
        <v>0.7874037848406108</v>
      </c>
      <c r="M810" t="n">
        <v>1.254824122081057</v>
      </c>
      <c r="O810" t="n">
        <v>-8261.823425373004</v>
      </c>
      <c r="P810" t="n">
        <v>6214.061630181288</v>
      </c>
      <c r="Q810">
        <f>'_live'!$C$21</f>
        <v/>
      </c>
      <c r="T810" t="n">
        <v>0.07486088724084247</v>
      </c>
      <c r="U810" t="n">
        <v>0.0469753050747919</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0.05894574594996555</v>
      </c>
      <c r="AI810">
        <f>IF($Y810="worse","Yes",IF($Y810="worse, not significant","Not sure",IF(OR($Y810="too few losses to test",$Y810="too few loans to test"),"Too few losses",IF($Y810="","","No"))))</f>
        <v/>
      </c>
      <c r="AJ810">
        <f>IF($AA810="yes","Yes",IF($AA810="","","No"))</f>
        <v/>
      </c>
      <c r="AM810">
        <f>IF(AND(ISNUMBER($AC810),ISNUMBER(IF($V810,IF($AL810="","",$AL810),IF($AK810="","",$AK810)))),IF(AND(ABS($AC810-significance_bar)&lt;=2.0*IF($V810,IF($AL810="","",$AL810),IF($AK810="","",$AK810)),OR($Y810="worse",$Y810="better",$Y810="worse, not significant",$Y810="better, not significant")),IF(ROUND($AC810,3)=ROUND(significance_bar,3),TEXT($AC810,"0.0000"),TEXT($AC810,"0.000")),""),"")</f>
        <v/>
      </c>
      <c r="AN810">
        <f>IF(AND(ISNUMBER($AC810),ISNUMBER(IF($V810,IF($AL810="","",$AL810),IF($AK810="","",$AK810)))),IF(AND(ABS($AC810-significance_bar)&lt;=2.0*IF($V810,IF($AL810="","",$AL810),IF($AK810="","",$AK810)),OR($Y810="worse",$Y810="worse, not significant")),IF(ROUND($AC810,3)=ROUND(significance_bar,3),TEXT($AC810,"0.0000"),TEXT($AC810,"0.000")),""),"")</f>
        <v/>
      </c>
      <c r="AO810">
        <f>IF(OR($AI810="",$AN810=""),$AI810,$AI810&amp;" · borderline (p "&amp;$AN810&amp;")")</f>
        <v/>
      </c>
    </row>
    <row r="811">
      <c r="A811" t="inlineStr">
        <is>
          <t>three-way</t>
        </is>
      </c>
      <c r="B811" t="inlineStr">
        <is>
          <t>FICO x ASSET_CLASS / SYS_FLAG</t>
        </is>
      </c>
      <c r="C811" t="inlineStr">
        <is>
          <t>(marked missing)</t>
        </is>
      </c>
      <c r="D811" t="inlineStr">
        <is>
          <t>4 / SYS_FLAG Y</t>
        </is>
      </c>
      <c r="E811" t="inlineStr">
        <is>
          <t>gco_rate</t>
        </is>
      </c>
      <c r="F811" t="inlineStr">
        <is>
          <t>GCO per booked dollar</t>
        </is>
      </c>
      <c r="G811" t="n">
        <v>17</v>
      </c>
      <c r="H811" t="n">
        <v>519117.1900000001</v>
      </c>
      <c r="I811" t="b">
        <v>1</v>
      </c>
      <c r="J811" t="b">
        <v>0</v>
      </c>
      <c r="K811" t="n">
        <v>0.712647035207282</v>
      </c>
      <c r="M811" t="n">
        <v>1.183794191027647</v>
      </c>
      <c r="O811" t="n">
        <v>-6209.841747924249</v>
      </c>
      <c r="P811" t="n">
        <v>2391.084419441733</v>
      </c>
      <c r="Q811">
        <f>'_live'!$C$22</f>
        <v/>
      </c>
      <c r="T811" t="n">
        <v>0.04162933180448955</v>
      </c>
      <c r="U811" t="n">
        <v>0.02506096086041432</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0.02966701988812969</v>
      </c>
      <c r="AI811">
        <f>IF($Y811="worse","Yes",IF($Y811="worse, not significant","Not sure",IF(OR($Y811="too few losses to test",$Y811="too few loans to test"),"Too few losses",IF($Y811="","","No"))))</f>
        <v/>
      </c>
      <c r="AJ811">
        <f>IF($AA811="yes","Yes",IF($AA811="","","No"))</f>
        <v/>
      </c>
      <c r="AM811">
        <f>IF(AND(ISNUMBER($AC811),ISNUMBER(IF($V811,IF($AL811="","",$AL811),IF($AK811="","",$AK811)))),IF(AND(ABS($AC811-significance_bar)&lt;=2.0*IF($V811,IF($AL811="","",$AL811),IF($AK811="","",$AK811)),OR($Y811="worse",$Y811="better",$Y811="worse, not significant",$Y811="better, not significant")),IF(ROUND($AC811,3)=ROUND(significance_bar,3),TEXT($AC811,"0.0000"),TEXT($AC811,"0.000")),""),"")</f>
        <v/>
      </c>
      <c r="AN811">
        <f>IF(AND(ISNUMBER($AC811),ISNUMBER(IF($V811,IF($AL811="","",$AL811),IF($AK811="","",$AK811)))),IF(AND(ABS($AC811-significance_bar)&lt;=2.0*IF($V811,IF($AL811="","",$AL811),IF($AK811="","",$AK811)),OR($Y811="worse",$Y811="worse, not significant")),IF(ROUND($AC811,3)=ROUND(significance_bar,3),TEXT($AC811,"0.0000"),TEXT($AC811,"0.000")),""),"")</f>
        <v/>
      </c>
      <c r="AO811">
        <f>IF(OR($AI811="",$AN811=""),$AI811,$AI811&amp;" · borderline (p "&amp;$AN811&amp;")")</f>
        <v/>
      </c>
    </row>
    <row r="812">
      <c r="A812" t="inlineStr">
        <is>
          <t>three-way</t>
        </is>
      </c>
      <c r="B812" t="inlineStr">
        <is>
          <t>FICO x ASSET_CLASS / SYS_FLAG</t>
        </is>
      </c>
      <c r="C812" t="inlineStr">
        <is>
          <t>(marked missing)</t>
        </is>
      </c>
      <c r="D812" t="inlineStr">
        <is>
          <t>4 / SYS_FLAG Y</t>
        </is>
      </c>
      <c r="E812" t="inlineStr">
        <is>
          <t>ranr_rate</t>
        </is>
      </c>
      <c r="F812" t="inlineStr">
        <is>
          <t>Profit after losses: RANR per booked dollar</t>
        </is>
      </c>
      <c r="G812" t="n">
        <v>17</v>
      </c>
      <c r="H812" t="n">
        <v>519117.1900000001</v>
      </c>
      <c r="I812" t="b">
        <v>0</v>
      </c>
      <c r="J812" t="b">
        <v>0</v>
      </c>
      <c r="K812" t="n">
        <v>0.04682835608773117</v>
      </c>
      <c r="L812" t="n">
        <v>0.4435417569354176</v>
      </c>
      <c r="M812" t="n">
        <v>0.02167912801398694</v>
      </c>
      <c r="N812" t="n">
        <v>0.8858714128587142</v>
      </c>
      <c r="O812" t="n">
        <v>-24309.4046245824</v>
      </c>
      <c r="P812" t="n">
        <v>-11254.00801627118</v>
      </c>
      <c r="Q812">
        <f>'_live'!$C$23</f>
        <v/>
      </c>
      <c r="R812" t="inlineStr">
        <is>
          <t>shuffled: 3,186 of 10,000</t>
        </is>
      </c>
      <c r="S812" t="inlineStr">
        <is>
          <t>shuffled: 5,962 of 10,000</t>
        </is>
      </c>
      <c r="T812" t="n">
        <v>0.127895852139702</v>
      </c>
      <c r="U812" t="n">
        <v>0.1530450802134462</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0.1747242082274332</v>
      </c>
      <c r="AI812">
        <f>IF($Y812="worse","Yes",IF($Y812="worse, not significant","Not sure",IF(OR($Y812="too few losses to test",$Y812="too few loans to test"),"Too few losses",IF($Y812="","","No"))))</f>
        <v/>
      </c>
      <c r="AJ812">
        <f>IF($AA812="yes","Yes",IF($AA812="","","No"))</f>
        <v/>
      </c>
      <c r="AK812" t="n">
        <v>0.006379500948045885</v>
      </c>
      <c r="AL812" t="n">
        <v>0.005275201752636222</v>
      </c>
      <c r="AM812">
        <f>IF(AND(ISNUMBER($AC812),ISNUMBER(IF($V812,IF($AL812="","",$AL812),IF($AK812="","",$AK812)))),IF(AND(ABS($AC812-significance_bar)&lt;=2.0*IF($V812,IF($AL812="","",$AL812),IF($AK812="","",$AK812)),OR($Y812="worse",$Y812="better",$Y812="worse, not significant",$Y812="better, not significant",AND(profit_kind="test",$Y812="in line",ISNUMBER($AB812),$AB812&lt;&gt;0))),IF(ROUND($AC812,3)=ROUND(significance_bar,3),TEXT($AC812,"0.0000"),TEXT($AC812,"0.000")),""),"")</f>
        <v/>
      </c>
      <c r="AN812">
        <f>IF(AND(ISNUMBER($AC812),ISNUMBER(IF($V812,IF($AL812="","",$AL812),IF($AK812="","",$AK812)))),IF(AND(ABS($AC812-significance_bar)&lt;=2.0*IF($V812,IF($AL812="","",$AL812),IF($AK812="","",$AK812)),OR($Y812="worse",$Y812="worse, not significant",AND(profit_kind="test",$Y812="in line",ISNUMBER($AB812),$AB812&lt;0))),IF(ROUND($AC812,3)=ROUND(significance_bar,3),TEXT($AC812,"0.0000"),TEXT($AC812,"0.000")),""),"")</f>
        <v/>
      </c>
      <c r="AO812">
        <f>IF(OR($AI812="",$AN812=""),$AI812,$AI812&amp;" · borderline (p "&amp;$AN812&amp;")")</f>
        <v/>
      </c>
    </row>
    <row r="813">
      <c r="A813" t="inlineStr">
        <is>
          <t>three-way</t>
        </is>
      </c>
      <c r="B813" t="inlineStr">
        <is>
          <t>FICO x ASSET_CLASS / SYS_FLAG</t>
        </is>
      </c>
      <c r="C813" t="inlineStr">
        <is>
          <t>(marked missing)</t>
        </is>
      </c>
      <c r="D813" t="inlineStr">
        <is>
          <t>4 / SYS_FLAG Y</t>
        </is>
      </c>
      <c r="E813" t="inlineStr">
        <is>
          <t>contribution_rate</t>
        </is>
      </c>
      <c r="F813" t="inlineStr">
        <is>
          <t>Contribution before losses per booked dollar</t>
        </is>
      </c>
      <c r="G813" t="n">
        <v>17</v>
      </c>
      <c r="H813" t="n">
        <v>519117.1900000001</v>
      </c>
      <c r="I813" t="b">
        <v>0</v>
      </c>
      <c r="J813" t="b">
        <v>0</v>
      </c>
      <c r="K813" t="n">
        <v>0.034868923698506</v>
      </c>
      <c r="L813" t="n">
        <v>0.3686236639493946</v>
      </c>
      <c r="M813" t="n">
        <v>0.02628518704170235</v>
      </c>
      <c r="N813" t="n">
        <v>0.937752378608293</v>
      </c>
      <c r="O813" t="n">
        <v>-18101.05768869283</v>
      </c>
      <c r="P813" t="n">
        <v>-13645.09243571293</v>
      </c>
      <c r="Q813">
        <f>'_live'!$C$24</f>
        <v/>
      </c>
      <c r="R813" t="inlineStr">
        <is>
          <t>shuffled: 2,858 of 10,000</t>
        </is>
      </c>
      <c r="S813" t="inlineStr">
        <is>
          <t>shuffled: 4,598 of 10,000</t>
        </is>
      </c>
      <c r="T813" t="n">
        <v>0.1695223044170569</v>
      </c>
      <c r="U813" t="n">
        <v>0.1781060410738605</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0.2043912281155629</v>
      </c>
      <c r="AI813">
        <f>IF($Y813="worse","Yes",IF($Y813="worse, not significant","Not sure",IF(OR($Y813="too few losses to test",$Y813="too few loans to test"),"Too few losses",IF($Y813="","","No"))))</f>
        <v/>
      </c>
      <c r="AJ813">
        <f>IF($AA813="yes","Yes",IF($AA813="","","No"))</f>
        <v/>
      </c>
      <c r="AK813" t="n">
        <v>0.005826208959662644</v>
      </c>
      <c r="AL813" t="n">
        <v>0.009229602574987216</v>
      </c>
      <c r="AM813">
        <f>IF(AND(ISNUMBER($AC813),ISNUMBER(IF($V813,IF($AL813="","",$AL813),IF($AK813="","",$AK813)))),IF(AND(ABS($AC813-significance_bar)&lt;=2.0*IF($V813,IF($AL813="","",$AL813),IF($AK813="","",$AK813)),OR($Y813="worse",$Y813="better",$Y813="worse, not significant",$Y813="better, not significant",AND(profit_kind="test",$Y813="in line",ISNUMBER($AB813),$AB813&lt;&gt;0))),IF(ROUND($AC813,3)=ROUND(significance_bar,3),TEXT($AC813,"0.0000"),TEXT($AC813,"0.000")),""),"")</f>
        <v/>
      </c>
      <c r="AN813">
        <f>IF(AND(ISNUMBER($AC813),ISNUMBER(IF($V813,IF($AL813="","",$AL813),IF($AK813="","",$AK813)))),IF(AND(ABS($AC813-significance_bar)&lt;=2.0*IF($V813,IF($AL813="","",$AL813),IF($AK813="","",$AK813)),OR($Y813="worse",$Y813="worse, not significant",AND(profit_kind="test",$Y813="in line",ISNUMBER($AB813),$AB813&lt;0))),IF(ROUND($AC813,3)=ROUND(significance_bar,3),TEXT($AC813,"0.0000"),TEXT($AC813,"0.000")),""),"")</f>
        <v/>
      </c>
      <c r="AO813">
        <f>IF(OR($AI813="",$AN813=""),$AI813,$AI813&amp;" · borderline (p "&amp;$AN813&amp;")")</f>
        <v/>
      </c>
    </row>
    <row r="814">
      <c r="A814" t="inlineStr">
        <is>
          <t>three-way</t>
        </is>
      </c>
      <c r="B814" t="inlineStr">
        <is>
          <t>FICO x ASSET_CLASS / SYS_FLAG</t>
        </is>
      </c>
      <c r="C814" t="inlineStr">
        <is>
          <t>686 - 711</t>
        </is>
      </c>
      <c r="D814" t="inlineStr">
        <is>
          <t>3 / SYS_FLAG Y</t>
        </is>
      </c>
      <c r="E814" t="inlineStr">
        <is>
          <t>outcome_loans</t>
        </is>
      </c>
      <c r="F814" t="inlineStr">
        <is>
          <t>Outcome, share of loans</t>
        </is>
      </c>
      <c r="G814" t="n">
        <v>196</v>
      </c>
      <c r="H814" t="n">
        <v>196</v>
      </c>
      <c r="I814" t="b">
        <v>0</v>
      </c>
      <c r="J814" t="b">
        <v>0</v>
      </c>
      <c r="K814" t="n">
        <v>1.124237236422808</v>
      </c>
      <c r="L814" t="n">
        <v>0.707554357141477</v>
      </c>
      <c r="M814" t="n">
        <v>1.499741668819426</v>
      </c>
      <c r="N814" t="n">
        <v>0.3538064683800896</v>
      </c>
      <c r="O814" t="n">
        <v>1.878636421889016</v>
      </c>
      <c r="P814" t="n">
        <v>5.664714494875549</v>
      </c>
      <c r="Q814">
        <f>'_live'!$C$20</f>
        <v/>
      </c>
      <c r="R814" t="inlineStr">
        <is>
          <t>z test</t>
        </is>
      </c>
      <c r="S814" t="inlineStr">
        <is>
          <t>z test</t>
        </is>
      </c>
      <c r="T814" t="n">
        <v>0.07714981417403563</v>
      </c>
      <c r="U814" t="n">
        <v>0.05783308931185945</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0.08673469387755102</v>
      </c>
      <c r="AI814">
        <f>IF($Y814="worse","Yes",IF($Y814="worse, not significant","Not sure",IF(OR($Y814="too few losses to test",$Y814="too few loans to test"),"Too few losses",IF($Y814="","","No"))))</f>
        <v/>
      </c>
      <c r="AJ814">
        <f>IF($AA814="yes","Yes",IF($AA814="","","No"))</f>
        <v/>
      </c>
      <c r="AM814">
        <f>IF(AND(ISNUMBER($AC814),ISNUMBER(IF($V814,IF($AL814="","",$AL814),IF($AK814="","",$AK814)))),IF(AND(ABS($AC814-significance_bar)&lt;=2.0*IF($V814,IF($AL814="","",$AL814),IF($AK814="","",$AK814)),OR($Y814="worse",$Y814="better",$Y814="worse, not significant",$Y814="better, not significant")),IF(ROUND($AC814,3)=ROUND(significance_bar,3),TEXT($AC814,"0.0000"),TEXT($AC814,"0.000")),""),"")</f>
        <v/>
      </c>
      <c r="AN814">
        <f>IF(AND(ISNUMBER($AC814),ISNUMBER(IF($V814,IF($AL814="","",$AL814),IF($AK814="","",$AK814)))),IF(AND(ABS($AC814-significance_bar)&lt;=2.0*IF($V814,IF($AL814="","",$AL814),IF($AK814="","",$AK814)),OR($Y814="worse",$Y814="worse, not significant")),IF(ROUND($AC814,3)=ROUND(significance_bar,3),TEXT($AC814,"0.0000"),TEXT($AC814,"0.000")),""),"")</f>
        <v/>
      </c>
      <c r="AO814">
        <f>IF(OR($AI814="",$AN814=""),$AI814,$AI814&amp;" · borderline (p "&amp;$AN814&amp;")")</f>
        <v/>
      </c>
    </row>
    <row r="815">
      <c r="A815" t="inlineStr">
        <is>
          <t>three-way</t>
        </is>
      </c>
      <c r="B815" t="inlineStr">
        <is>
          <t>FICO x ASSET_CLASS / SYS_FLAG</t>
        </is>
      </c>
      <c r="C815" t="inlineStr">
        <is>
          <t>686 - 711</t>
        </is>
      </c>
      <c r="D815" t="inlineStr">
        <is>
          <t>3 / SYS_FLAG Y</t>
        </is>
      </c>
      <c r="E815" t="inlineStr">
        <is>
          <t>outcome_booked</t>
        </is>
      </c>
      <c r="F815" t="inlineStr">
        <is>
          <t>Outcome, share of booked dollars</t>
        </is>
      </c>
      <c r="G815" t="n">
        <v>196</v>
      </c>
      <c r="H815" t="n">
        <v>6476116.959999999</v>
      </c>
      <c r="I815" t="b">
        <v>0</v>
      </c>
      <c r="J815" t="b">
        <v>0</v>
      </c>
      <c r="K815" t="n">
        <v>1.125066341501795</v>
      </c>
      <c r="L815" t="n">
        <v>0.7099456720994568</v>
      </c>
      <c r="M815" t="n">
        <v>1.585641490454097</v>
      </c>
      <c r="N815" t="n">
        <v>0.3587641235876413</v>
      </c>
      <c r="O815" t="n">
        <v>60417.56535732036</v>
      </c>
      <c r="P815" t="n">
        <v>200737.1449148832</v>
      </c>
      <c r="Q815">
        <f>'_live'!$C$21</f>
        <v/>
      </c>
      <c r="R815" t="inlineStr">
        <is>
          <t>shuffled: 6,553 of 10,000</t>
        </is>
      </c>
      <c r="S815" t="inlineStr">
        <is>
          <t>shuffled: 1,103 of 10,000</t>
        </is>
      </c>
      <c r="T815" t="n">
        <v>0.07459472051330583</v>
      </c>
      <c r="U815" t="n">
        <v>0.05292748064962634</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0.08392400930325386</v>
      </c>
      <c r="AI815">
        <f>IF($Y815="worse","Yes",IF($Y815="worse, not significant","Not sure",IF(OR($Y815="too few losses to test",$Y815="too few loans to test"),"Too few losses",IF($Y815="","","No"))))</f>
        <v/>
      </c>
      <c r="AJ815">
        <f>IF($AA815="yes","Yes",IF($AA815="","","No"))</f>
        <v/>
      </c>
      <c r="AK815" t="n">
        <v>0.005148640151616044</v>
      </c>
      <c r="AL815" t="n">
        <v>0.01018465367740222</v>
      </c>
      <c r="AM815">
        <f>IF(AND(ISNUMBER($AC815),ISNUMBER(IF($V815,IF($AL815="","",$AL815),IF($AK815="","",$AK815)))),IF(AND(ABS($AC815-significance_bar)&lt;=2.0*IF($V815,IF($AL815="","",$AL815),IF($AK815="","",$AK815)),OR($Y815="worse",$Y815="better",$Y815="worse, not significant",$Y815="better, not significant")),IF(ROUND($AC815,3)=ROUND(significance_bar,3),TEXT($AC815,"0.0000"),TEXT($AC815,"0.000")),""),"")</f>
        <v/>
      </c>
      <c r="AN815">
        <f>IF(AND(ISNUMBER($AC815),ISNUMBER(IF($V815,IF($AL815="","",$AL815),IF($AK815="","",$AK815)))),IF(AND(ABS($AC815-significance_bar)&lt;=2.0*IF($V815,IF($AL815="","",$AL815),IF($AK815="","",$AK815)),OR($Y815="worse",$Y815="worse, not significant")),IF(ROUND($AC815,3)=ROUND(significance_bar,3),TEXT($AC815,"0.0000"),TEXT($AC815,"0.000")),""),"")</f>
        <v/>
      </c>
      <c r="AO815">
        <f>IF(OR($AI815="",$AN815=""),$AI815,$AI815&amp;" · borderline (p "&amp;$AN815&amp;")")</f>
        <v/>
      </c>
    </row>
    <row r="816">
      <c r="A816" t="inlineStr">
        <is>
          <t>three-way</t>
        </is>
      </c>
      <c r="B816" t="inlineStr">
        <is>
          <t>FICO x ASSET_CLASS / SYS_FLAG</t>
        </is>
      </c>
      <c r="C816" t="inlineStr">
        <is>
          <t>686 - 711</t>
        </is>
      </c>
      <c r="D816" t="inlineStr">
        <is>
          <t>3 / SYS_FLAG Y</t>
        </is>
      </c>
      <c r="E816" t="inlineStr">
        <is>
          <t>gco_rate</t>
        </is>
      </c>
      <c r="F816" t="inlineStr">
        <is>
          <t>GCO per booked dollar</t>
        </is>
      </c>
      <c r="G816" t="n">
        <v>196</v>
      </c>
      <c r="H816" t="n">
        <v>6476116.959999999</v>
      </c>
      <c r="I816" t="b">
        <v>0</v>
      </c>
      <c r="J816" t="b">
        <v>0</v>
      </c>
      <c r="K816" t="n">
        <v>1.053700806976072</v>
      </c>
      <c r="L816" t="n">
        <v>0.9226910642269107</v>
      </c>
      <c r="M816" t="n">
        <v>1.472523231559712</v>
      </c>
      <c r="N816" t="n">
        <v>0.4894601448946014</v>
      </c>
      <c r="O816" t="n">
        <v>14449.70035059925</v>
      </c>
      <c r="P816" t="n">
        <v>90982.18277104077</v>
      </c>
      <c r="Q816">
        <f>'_live'!$C$22</f>
        <v/>
      </c>
      <c r="R816" t="inlineStr">
        <is>
          <t>shuffled: 8,517 of 10,000</t>
        </is>
      </c>
      <c r="S816" t="inlineStr">
        <is>
          <t>shuffled: 2,070 of 10,000</t>
        </is>
      </c>
      <c r="T816" t="n">
        <v>0.04154926498569611</v>
      </c>
      <c r="U816" t="n">
        <v>0.02973161516665369</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0.04378049404469063</v>
      </c>
      <c r="AI816">
        <f>IF($Y816="worse","Yes",IF($Y816="worse, not significant","Not sure",IF(OR($Y816="too few losses to test",$Y816="too few loans to test"),"Too few losses",IF($Y816="","","No"))))</f>
        <v/>
      </c>
      <c r="AJ816">
        <f>IF($AA816="yes","Yes",IF($AA816="","","No"))</f>
        <v/>
      </c>
      <c r="AK816" t="n">
        <v>0.003849976444624446</v>
      </c>
      <c r="AL816" t="n">
        <v>0.009577758420336979</v>
      </c>
      <c r="AM816">
        <f>IF(AND(ISNUMBER($AC816),ISNUMBER(IF($V816,IF($AL816="","",$AL816),IF($AK816="","",$AK816)))),IF(AND(ABS($AC816-significance_bar)&lt;=2.0*IF($V816,IF($AL816="","",$AL816),IF($AK816="","",$AK816)),OR($Y816="worse",$Y816="better",$Y816="worse, not significant",$Y816="better, not significant")),IF(ROUND($AC816,3)=ROUND(significance_bar,3),TEXT($AC816,"0.0000"),TEXT($AC816,"0.000")),""),"")</f>
        <v/>
      </c>
      <c r="AN816">
        <f>IF(AND(ISNUMBER($AC816),ISNUMBER(IF($V816,IF($AL816="","",$AL816),IF($AK816="","",$AK816)))),IF(AND(ABS($AC816-significance_bar)&lt;=2.0*IF($V816,IF($AL816="","",$AL816),IF($AK816="","",$AK816)),OR($Y816="worse",$Y816="worse, not significant")),IF(ROUND($AC816,3)=ROUND(significance_bar,3),TEXT($AC816,"0.0000"),TEXT($AC816,"0.000")),""),"")</f>
        <v/>
      </c>
      <c r="AO816">
        <f>IF(OR($AI816="",$AN816=""),$AI816,$AI816&amp;" · borderline (p "&amp;$AN816&amp;")")</f>
        <v/>
      </c>
    </row>
    <row r="817">
      <c r="A817" t="inlineStr">
        <is>
          <t>three-way</t>
        </is>
      </c>
      <c r="B817" t="inlineStr">
        <is>
          <t>FICO x ASSET_CLASS / SYS_FLAG</t>
        </is>
      </c>
      <c r="C817" t="inlineStr">
        <is>
          <t>686 - 711</t>
        </is>
      </c>
      <c r="D817" t="inlineStr">
        <is>
          <t>3 / SYS_FLAG Y</t>
        </is>
      </c>
      <c r="E817" t="inlineStr">
        <is>
          <t>ranr_rate</t>
        </is>
      </c>
      <c r="F817" t="inlineStr">
        <is>
          <t>Profit after losses: RANR per booked dollar</t>
        </is>
      </c>
      <c r="G817" t="n">
        <v>196</v>
      </c>
      <c r="H817" t="n">
        <v>6476116.959999999</v>
      </c>
      <c r="I817" t="b">
        <v>0</v>
      </c>
      <c r="J817" t="b">
        <v>0</v>
      </c>
      <c r="K817" t="n">
        <v>-0.007167832915165762</v>
      </c>
      <c r="L817" t="n">
        <v>0.705640799556408</v>
      </c>
      <c r="M817" t="n">
        <v>-0.02395742272828941</v>
      </c>
      <c r="N817" t="n">
        <v>0.3207679232076792</v>
      </c>
      <c r="O817" t="n">
        <v>46419.72430835117</v>
      </c>
      <c r="P817" t="n">
        <v>155151.0716485644</v>
      </c>
      <c r="Q817">
        <f>'_live'!$C$23</f>
        <v/>
      </c>
      <c r="R817" t="inlineStr">
        <is>
          <t>shuffled: 6,336 of 10,000</t>
        </is>
      </c>
      <c r="S817" t="inlineStr">
        <is>
          <t>shuffled: 801 of 10,000</t>
        </is>
      </c>
      <c r="T817" t="n">
        <v>0.1281699233406605</v>
      </c>
      <c r="U817" t="n">
        <v>0.1449595131537841</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0.1210020904254947</v>
      </c>
      <c r="AI817">
        <f>IF($Y817="worse","Yes",IF($Y817="worse, not significant","Not sure",IF(OR($Y817="too few losses to test",$Y817="too few loans to test"),"Too few losses",IF($Y817="","","No"))))</f>
        <v/>
      </c>
      <c r="AJ817">
        <f>IF($AA817="yes","Yes",IF($AA817="","","No"))</f>
        <v/>
      </c>
      <c r="AK817" t="n">
        <v>0.005365615678119777</v>
      </c>
      <c r="AL817" t="n">
        <v>0.01086360728428522</v>
      </c>
      <c r="AM817">
        <f>IF(AND(ISNUMBER($AC817),ISNUMBER(IF($V817,IF($AL817="","",$AL817),IF($AK817="","",$AK817)))),IF(AND(ABS($AC817-significance_bar)&lt;=2.0*IF($V817,IF($AL817="","",$AL817),IF($AK817="","",$AK817)),OR($Y817="worse",$Y817="better",$Y817="worse, not significant",$Y817="better, not significant",AND(profit_kind="test",$Y817="in line",ISNUMBER($AB817),$AB817&lt;&gt;0))),IF(ROUND($AC817,3)=ROUND(significance_bar,3),TEXT($AC817,"0.0000"),TEXT($AC817,"0.000")),""),"")</f>
        <v/>
      </c>
      <c r="AN817">
        <f>IF(AND(ISNUMBER($AC817),ISNUMBER(IF($V817,IF($AL817="","",$AL817),IF($AK817="","",$AK817)))),IF(AND(ABS($AC817-significance_bar)&lt;=2.0*IF($V817,IF($AL817="","",$AL817),IF($AK817="","",$AK817)),OR($Y817="worse",$Y817="worse, not significant",AND(profit_kind="test",$Y817="in line",ISNUMBER($AB817),$AB817&lt;0))),IF(ROUND($AC817,3)=ROUND(significance_bar,3),TEXT($AC817,"0.0000"),TEXT($AC817,"0.000")),""),"")</f>
        <v/>
      </c>
      <c r="AO817">
        <f>IF(OR($AI817="",$AN817=""),$AI817,$AI817&amp;" · borderline (p "&amp;$AN817&amp;")")</f>
        <v/>
      </c>
    </row>
    <row r="818">
      <c r="A818" t="inlineStr">
        <is>
          <t>three-way</t>
        </is>
      </c>
      <c r="B818" t="inlineStr">
        <is>
          <t>FICO x ASSET_CLASS / SYS_FLAG</t>
        </is>
      </c>
      <c r="C818" t="inlineStr">
        <is>
          <t>686 - 711</t>
        </is>
      </c>
      <c r="D818" t="inlineStr">
        <is>
          <t>3 / SYS_FLAG Y</t>
        </is>
      </c>
      <c r="E818" t="inlineStr">
        <is>
          <t>contribution_rate</t>
        </is>
      </c>
      <c r="F818" t="inlineStr">
        <is>
          <t>Contribution before losses per booked dollar</t>
        </is>
      </c>
      <c r="G818" t="n">
        <v>196</v>
      </c>
      <c r="H818" t="n">
        <v>6476116.959999999</v>
      </c>
      <c r="I818" t="b">
        <v>0</v>
      </c>
      <c r="J818" t="b">
        <v>0</v>
      </c>
      <c r="K818" t="n">
        <v>-0.004933699376076517</v>
      </c>
      <c r="L818" t="n">
        <v>0.7245299860257877</v>
      </c>
      <c r="M818" t="n">
        <v>-0.009908543850252444</v>
      </c>
      <c r="N818" t="n">
        <v>0.7435564135894103</v>
      </c>
      <c r="O818" t="n">
        <v>31951.21420495072</v>
      </c>
      <c r="P818" t="n">
        <v>64168.8888775236</v>
      </c>
      <c r="Q818">
        <f>'_live'!$C$24</f>
        <v/>
      </c>
      <c r="R818" t="inlineStr">
        <is>
          <t>shuffled: 6,062 of 10,000</t>
        </is>
      </c>
      <c r="S818" t="inlineStr">
        <is>
          <t>shuffled: 2,013 of 10,000</t>
        </is>
      </c>
      <c r="T818" t="n">
        <v>0.1697162838462619</v>
      </c>
      <c r="U818" t="n">
        <v>0.1746911283204378</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0.1647825844701854</v>
      </c>
      <c r="AI818">
        <f>IF($Y818="worse","Yes",IF($Y818="worse, not significant","Not sure",IF(OR($Y818="too few losses to test",$Y818="too few loans to test"),"Too few losses",IF($Y818="","","No"))))</f>
        <v/>
      </c>
      <c r="AJ818">
        <f>IF($AA818="yes","Yes",IF($AA818="","","No"))</f>
        <v/>
      </c>
      <c r="AK818" t="n">
        <v>0.005839160812699521</v>
      </c>
      <c r="AL818" t="n">
        <v>0.01480730537731613</v>
      </c>
      <c r="AM818">
        <f>IF(AND(ISNUMBER($AC818),ISNUMBER(IF($V818,IF($AL818="","",$AL818),IF($AK818="","",$AK818)))),IF(AND(ABS($AC818-significance_bar)&lt;=2.0*IF($V818,IF($AL818="","",$AL818),IF($AK818="","",$AK818)),OR($Y818="worse",$Y818="better",$Y818="worse, not significant",$Y818="better, not significant",AND(profit_kind="test",$Y818="in line",ISNUMBER($AB818),$AB818&lt;&gt;0))),IF(ROUND($AC818,3)=ROUND(significance_bar,3),TEXT($AC818,"0.0000"),TEXT($AC818,"0.000")),""),"")</f>
        <v/>
      </c>
      <c r="AN818">
        <f>IF(AND(ISNUMBER($AC818),ISNUMBER(IF($V818,IF($AL818="","",$AL818),IF($AK818="","",$AK818)))),IF(AND(ABS($AC818-significance_bar)&lt;=2.0*IF($V818,IF($AL818="","",$AL818),IF($AK818="","",$AK818)),OR($Y818="worse",$Y818="worse, not significant",AND(profit_kind="test",$Y818="in line",ISNUMBER($AB818),$AB818&lt;0))),IF(ROUND($AC818,3)=ROUND(significance_bar,3),TEXT($AC818,"0.0000"),TEXT($AC818,"0.000")),""),"")</f>
        <v/>
      </c>
      <c r="AO818">
        <f>IF(OR($AI818="",$AN818=""),$AI818,$AI818&amp;" · borderline (p "&amp;$AN818&amp;")")</f>
        <v/>
      </c>
    </row>
    <row r="819">
      <c r="A819" t="inlineStr">
        <is>
          <t>three-way</t>
        </is>
      </c>
      <c r="B819" t="inlineStr">
        <is>
          <t>FICO x ASSET_CLASS / SYS_FLAG</t>
        </is>
      </c>
      <c r="C819" t="inlineStr">
        <is>
          <t>(marked missing)</t>
        </is>
      </c>
      <c r="D819" t="inlineStr">
        <is>
          <t>4 / SYS_FLAG N</t>
        </is>
      </c>
      <c r="E819" t="inlineStr">
        <is>
          <t>outcome_loans</t>
        </is>
      </c>
      <c r="F819" t="inlineStr">
        <is>
          <t>Outcome, share of loans</t>
        </is>
      </c>
      <c r="G819" t="n">
        <v>22</v>
      </c>
      <c r="H819" t="n">
        <v>22</v>
      </c>
      <c r="I819" t="b">
        <v>1</v>
      </c>
      <c r="J819" t="b">
        <v>0</v>
      </c>
      <c r="K819" t="n">
        <v>0.5867166813768756</v>
      </c>
      <c r="M819" t="n">
        <v>0.696969696969697</v>
      </c>
      <c r="O819" t="n">
        <v>-0.7044001504324933</v>
      </c>
      <c r="P819" t="n">
        <v>-0.4347826086956521</v>
      </c>
      <c r="Q819">
        <f>'_live'!$C$20</f>
        <v/>
      </c>
      <c r="T819" t="n">
        <v>0.07747273411056788</v>
      </c>
      <c r="U819" t="n">
        <v>0.06521739130434782</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0.04545454545454546</v>
      </c>
      <c r="AI819">
        <f>IF($Y819="worse","Yes",IF($Y819="worse, not significant","Not sure",IF(OR($Y819="too few losses to test",$Y819="too few loans to test"),"Too few losses",IF($Y819="","","No"))))</f>
        <v/>
      </c>
      <c r="AJ819">
        <f>IF($AA819="yes","Yes",IF($AA819="","","No"))</f>
        <v/>
      </c>
      <c r="AM819">
        <f>IF(AND(ISNUMBER($AC819),ISNUMBER(IF($V819,IF($AL819="","",$AL819),IF($AK819="","",$AK819)))),IF(AND(ABS($AC819-significance_bar)&lt;=2.0*IF($V819,IF($AL819="","",$AL819),IF($AK819="","",$AK819)),OR($Y819="worse",$Y819="better",$Y819="worse, not significant",$Y819="better, not significant")),IF(ROUND($AC819,3)=ROUND(significance_bar,3),TEXT($AC819,"0.0000"),TEXT($AC819,"0.000")),""),"")</f>
        <v/>
      </c>
      <c r="AN819">
        <f>IF(AND(ISNUMBER($AC819),ISNUMBER(IF($V819,IF($AL819="","",$AL819),IF($AK819="","",$AK819)))),IF(AND(ABS($AC819-significance_bar)&lt;=2.0*IF($V819,IF($AL819="","",$AL819),IF($AK819="","",$AK819)),OR($Y819="worse",$Y819="worse, not significant")),IF(ROUND($AC819,3)=ROUND(significance_bar,3),TEXT($AC819,"0.0000"),TEXT($AC819,"0.000")),""),"")</f>
        <v/>
      </c>
      <c r="AO819">
        <f>IF(OR($AI819="",$AN819=""),$AI819,$AI819&amp;" · borderline (p "&amp;$AN819&amp;")")</f>
        <v/>
      </c>
    </row>
    <row r="820">
      <c r="A820" t="inlineStr">
        <is>
          <t>three-way</t>
        </is>
      </c>
      <c r="B820" t="inlineStr">
        <is>
          <t>FICO x ASSET_CLASS / SYS_FLAG</t>
        </is>
      </c>
      <c r="C820" t="inlineStr">
        <is>
          <t>(marked missing)</t>
        </is>
      </c>
      <c r="D820" t="inlineStr">
        <is>
          <t>4 / SYS_FLAG N</t>
        </is>
      </c>
      <c r="E820" t="inlineStr">
        <is>
          <t>outcome_booked</t>
        </is>
      </c>
      <c r="F820" t="inlineStr">
        <is>
          <t>Outcome, share of booked dollars</t>
        </is>
      </c>
      <c r="G820" t="n">
        <v>22</v>
      </c>
      <c r="H820" t="n">
        <v>693910.76</v>
      </c>
      <c r="I820" t="b">
        <v>1</v>
      </c>
      <c r="J820" t="b">
        <v>0</v>
      </c>
      <c r="K820" t="n">
        <v>0.5610934919140377</v>
      </c>
      <c r="M820" t="n">
        <v>0.8565771800299427</v>
      </c>
      <c r="O820" t="n">
        <v>-22816.95753487817</v>
      </c>
      <c r="P820" t="n">
        <v>-4883.96678819714</v>
      </c>
      <c r="Q820">
        <f>'_live'!$C$21</f>
        <v/>
      </c>
      <c r="T820" t="n">
        <v>0.07491729561143881</v>
      </c>
      <c r="U820" t="n">
        <v>0.04907392816361161</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0.04203560699937842</v>
      </c>
      <c r="AI820">
        <f>IF($Y820="worse","Yes",IF($Y820="worse, not significant","Not sure",IF(OR($Y820="too few losses to test",$Y820="too few loans to test"),"Too few losses",IF($Y820="","","No"))))</f>
        <v/>
      </c>
      <c r="AJ820">
        <f>IF($AA820="yes","Yes",IF($AA820="","","No"))</f>
        <v/>
      </c>
      <c r="AM820">
        <f>IF(AND(ISNUMBER($AC820),ISNUMBER(IF($V820,IF($AL820="","",$AL820),IF($AK820="","",$AK820)))),IF(AND(ABS($AC820-significance_bar)&lt;=2.0*IF($V820,IF($AL820="","",$AL820),IF($AK820="","",$AK820)),OR($Y820="worse",$Y820="better",$Y820="worse, not significant",$Y820="better, not significant")),IF(ROUND($AC820,3)=ROUND(significance_bar,3),TEXT($AC820,"0.0000"),TEXT($AC820,"0.000")),""),"")</f>
        <v/>
      </c>
      <c r="AN820">
        <f>IF(AND(ISNUMBER($AC820),ISNUMBER(IF($V820,IF($AL820="","",$AL820),IF($AK820="","",$AK820)))),IF(AND(ABS($AC820-significance_bar)&lt;=2.0*IF($V820,IF($AL820="","",$AL820),IF($AK820="","",$AK820)),OR($Y820="worse",$Y820="worse, not significant")),IF(ROUND($AC820,3)=ROUND(significance_bar,3),TEXT($AC820,"0.0000"),TEXT($AC820,"0.000")),""),"")</f>
        <v/>
      </c>
      <c r="AO820">
        <f>IF(OR($AI820="",$AN820=""),$AI820,$AI820&amp;" · borderline (p "&amp;$AN820&amp;")")</f>
        <v/>
      </c>
    </row>
    <row r="821">
      <c r="A821" t="inlineStr">
        <is>
          <t>three-way</t>
        </is>
      </c>
      <c r="B821" t="inlineStr">
        <is>
          <t>FICO x ASSET_CLASS / SYS_FLAG</t>
        </is>
      </c>
      <c r="C821" t="inlineStr">
        <is>
          <t>(marked missing)</t>
        </is>
      </c>
      <c r="D821" t="inlineStr">
        <is>
          <t>4 / SYS_FLAG N</t>
        </is>
      </c>
      <c r="E821" t="inlineStr">
        <is>
          <t>gco_rate</t>
        </is>
      </c>
      <c r="F821" t="inlineStr">
        <is>
          <t>GCO per booked dollar</t>
        </is>
      </c>
      <c r="G821" t="n">
        <v>22</v>
      </c>
      <c r="H821" t="n">
        <v>693910.76</v>
      </c>
      <c r="I821" t="b">
        <v>1</v>
      </c>
      <c r="J821" t="b">
        <v>0</v>
      </c>
      <c r="K821" t="n">
        <v>0.3669549093339217</v>
      </c>
      <c r="M821" t="n">
        <v>0.5652317591024328</v>
      </c>
      <c r="O821" t="n">
        <v>-18307.39493977312</v>
      </c>
      <c r="P821" t="n">
        <v>-8162.738127126737</v>
      </c>
      <c r="Q821">
        <f>'_live'!$C$22</f>
        <v/>
      </c>
      <c r="T821" t="n">
        <v>0.04167621631890118</v>
      </c>
      <c r="U821" t="n">
        <v>0.02705667530955528</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0.01529329218068329</v>
      </c>
      <c r="AI821">
        <f>IF($Y821="worse","Yes",IF($Y821="worse, not significant","Not sure",IF(OR($Y821="too few losses to test",$Y821="too few loans to test"),"Too few losses",IF($Y821="","","No"))))</f>
        <v/>
      </c>
      <c r="AJ821">
        <f>IF($AA821="yes","Yes",IF($AA821="","","No"))</f>
        <v/>
      </c>
      <c r="AM821">
        <f>IF(AND(ISNUMBER($AC821),ISNUMBER(IF($V821,IF($AL821="","",$AL821),IF($AK821="","",$AK821)))),IF(AND(ABS($AC821-significance_bar)&lt;=2.0*IF($V821,IF($AL821="","",$AL821),IF($AK821="","",$AK821)),OR($Y821="worse",$Y821="better",$Y821="worse, not significant",$Y821="better, not significant")),IF(ROUND($AC821,3)=ROUND(significance_bar,3),TEXT($AC821,"0.0000"),TEXT($AC821,"0.000")),""),"")</f>
        <v/>
      </c>
      <c r="AN821">
        <f>IF(AND(ISNUMBER($AC821),ISNUMBER(IF($V821,IF($AL821="","",$AL821),IF($AK821="","",$AK821)))),IF(AND(ABS($AC821-significance_bar)&lt;=2.0*IF($V821,IF($AL821="","",$AL821),IF($AK821="","",$AK821)),OR($Y821="worse",$Y821="worse, not significant")),IF(ROUND($AC821,3)=ROUND(significance_bar,3),TEXT($AC821,"0.0000"),TEXT($AC821,"0.000")),""),"")</f>
        <v/>
      </c>
      <c r="AO821">
        <f>IF(OR($AI821="",$AN821=""),$AI821,$AI821&amp;" · borderline (p "&amp;$AN821&amp;")")</f>
        <v/>
      </c>
    </row>
    <row r="822">
      <c r="A822" t="inlineStr">
        <is>
          <t>three-way</t>
        </is>
      </c>
      <c r="B822" t="inlineStr">
        <is>
          <t>FICO x ASSET_CLASS / SYS_FLAG</t>
        </is>
      </c>
      <c r="C822" t="inlineStr">
        <is>
          <t>(marked missing)</t>
        </is>
      </c>
      <c r="D822" t="inlineStr">
        <is>
          <t>4 / SYS_FLAG N</t>
        </is>
      </c>
      <c r="E822" t="inlineStr">
        <is>
          <t>ranr_rate</t>
        </is>
      </c>
      <c r="F822" t="inlineStr">
        <is>
          <t>Profit after losses: RANR per booked dollar</t>
        </is>
      </c>
      <c r="G822" t="n">
        <v>22</v>
      </c>
      <c r="H822" t="n">
        <v>693910.76</v>
      </c>
      <c r="I822" t="b">
        <v>0</v>
      </c>
      <c r="J822" t="b">
        <v>0</v>
      </c>
      <c r="K822" t="n">
        <v>0.02914853723362151</v>
      </c>
      <c r="L822" t="n">
        <v>0.5801253208012531</v>
      </c>
      <c r="M822" t="n">
        <v>0.002172018793949931</v>
      </c>
      <c r="N822" t="n">
        <v>0.9703029697030296</v>
      </c>
      <c r="O822" t="n">
        <v>-20226.48362467061</v>
      </c>
      <c r="P822" t="n">
        <v>-1507.187212044082</v>
      </c>
      <c r="Q822">
        <f>'_live'!$C$23</f>
        <v/>
      </c>
      <c r="R822" t="inlineStr">
        <is>
          <t>shuffled: 4,972 of 10,000</t>
        </is>
      </c>
      <c r="S822" t="inlineStr">
        <is>
          <t>shuffled: 9,553 of 10,000</t>
        </is>
      </c>
      <c r="T822" t="n">
        <v>0.1279116732176475</v>
      </c>
      <c r="U822" t="n">
        <v>0.1548881916573191</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0.157060210451269</v>
      </c>
      <c r="AI822">
        <f>IF($Y822="worse","Yes",IF($Y822="worse, not significant","Not sure",IF(OR($Y822="too few losses to test",$Y822="too few loans to test"),"Too few losses",IF($Y822="","","No"))))</f>
        <v/>
      </c>
      <c r="AJ822">
        <f>IF($AA822="yes","Yes",IF($AA822="","","No"))</f>
        <v/>
      </c>
      <c r="AK822" t="n">
        <v>0.005833245121142877</v>
      </c>
      <c r="AL822" t="n">
        <v>0.001697501596126236</v>
      </c>
      <c r="AM822">
        <f>IF(AND(ISNUMBER($AC822),ISNUMBER(IF($V822,IF($AL822="","",$AL822),IF($AK822="","",$AK822)))),IF(AND(ABS($AC822-significance_bar)&lt;=2.0*IF($V822,IF($AL822="","",$AL822),IF($AK822="","",$AK822)),OR($Y822="worse",$Y822="better",$Y822="worse, not significant",$Y822="better, not significant",AND(profit_kind="test",$Y822="in line",ISNUMBER($AB822),$AB822&lt;&gt;0))),IF(ROUND($AC822,3)=ROUND(significance_bar,3),TEXT($AC822,"0.0000"),TEXT($AC822,"0.000")),""),"")</f>
        <v/>
      </c>
      <c r="AN822">
        <f>IF(AND(ISNUMBER($AC822),ISNUMBER(IF($V822,IF($AL822="","",$AL822),IF($AK822="","",$AK822)))),IF(AND(ABS($AC822-significance_bar)&lt;=2.0*IF($V822,IF($AL822="","",$AL822),IF($AK822="","",$AK822)),OR($Y822="worse",$Y822="worse, not significant",AND(profit_kind="test",$Y822="in line",ISNUMBER($AB822),$AB822&lt;0))),IF(ROUND($AC822,3)=ROUND(significance_bar,3),TEXT($AC822,"0.0000"),TEXT($AC822,"0.000")),""),"")</f>
        <v/>
      </c>
      <c r="AO822">
        <f>IF(OR($AI822="",$AN822=""),$AI822,$AI822&amp;" · borderline (p "&amp;$AN822&amp;")")</f>
        <v/>
      </c>
    </row>
    <row r="823">
      <c r="A823" t="inlineStr">
        <is>
          <t>three-way</t>
        </is>
      </c>
      <c r="B823" t="inlineStr">
        <is>
          <t>FICO x ASSET_CLASS / SYS_FLAG</t>
        </is>
      </c>
      <c r="C823" t="inlineStr">
        <is>
          <t>(marked missing)</t>
        </is>
      </c>
      <c r="D823" t="inlineStr">
        <is>
          <t>4 / SYS_FLAG N</t>
        </is>
      </c>
      <c r="E823" t="inlineStr">
        <is>
          <t>contribution_rate</t>
        </is>
      </c>
      <c r="F823" t="inlineStr">
        <is>
          <t>Contribution before losses per booked dollar</t>
        </is>
      </c>
      <c r="G823" t="n">
        <v>22</v>
      </c>
      <c r="H823" t="n">
        <v>693910.76</v>
      </c>
      <c r="I823" t="b">
        <v>0</v>
      </c>
      <c r="J823" t="b">
        <v>0</v>
      </c>
      <c r="K823" t="n">
        <v>0.002768492138625483</v>
      </c>
      <c r="L823" t="n">
        <v>0.9452992200779922</v>
      </c>
      <c r="M823" t="n">
        <v>-0.009591364334922053</v>
      </c>
      <c r="N823" t="n">
        <v>0.9799190293736585</v>
      </c>
      <c r="O823" t="n">
        <v>-1921.086483967636</v>
      </c>
      <c r="P823" t="n">
        <v>6655.550915082655</v>
      </c>
      <c r="Q823">
        <f>'_live'!$C$24</f>
        <v/>
      </c>
      <c r="R823" t="inlineStr">
        <is>
          <t>shuffled: 9,239 of 10,000</t>
        </is>
      </c>
      <c r="S823" t="inlineStr">
        <is>
          <t>shuffled: 7,633 of 10,000</t>
        </is>
      </c>
      <c r="T823" t="n">
        <v>0.1695850104933268</v>
      </c>
      <c r="U823" t="n">
        <v>0.1819448669668743</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0.1723535026319523</v>
      </c>
      <c r="AI823">
        <f>IF($Y823="worse","Yes",IF($Y823="worse, not significant","Not sure",IF(OR($Y823="too few losses to test",$Y823="too few loans to test"),"Too few losses",IF($Y823="","","No"))))</f>
        <v/>
      </c>
      <c r="AJ823">
        <f>IF($AA823="yes","Yes",IF($AA823="","","No"))</f>
        <v/>
      </c>
      <c r="AK823" t="n">
        <v>0.002672121598085624</v>
      </c>
      <c r="AL823" t="n">
        <v>0.002013133534953629</v>
      </c>
      <c r="AM823">
        <f>IF(AND(ISNUMBER($AC823),ISNUMBER(IF($V823,IF($AL823="","",$AL823),IF($AK823="","",$AK823)))),IF(AND(ABS($AC823-significance_bar)&lt;=2.0*IF($V823,IF($AL823="","",$AL823),IF($AK823="","",$AK823)),OR($Y823="worse",$Y823="better",$Y823="worse, not significant",$Y823="better, not significant",AND(profit_kind="test",$Y823="in line",ISNUMBER($AB823),$AB823&lt;&gt;0))),IF(ROUND($AC823,3)=ROUND(significance_bar,3),TEXT($AC823,"0.0000"),TEXT($AC823,"0.000")),""),"")</f>
        <v/>
      </c>
      <c r="AN823">
        <f>IF(AND(ISNUMBER($AC823),ISNUMBER(IF($V823,IF($AL823="","",$AL823),IF($AK823="","",$AK823)))),IF(AND(ABS($AC823-significance_bar)&lt;=2.0*IF($V823,IF($AL823="","",$AL823),IF($AK823="","",$AK823)),OR($Y823="worse",$Y823="worse, not significant",AND(profit_kind="test",$Y823="in line",ISNUMBER($AB823),$AB823&lt;0))),IF(ROUND($AC823,3)=ROUND(significance_bar,3),TEXT($AC823,"0.0000"),TEXT($AC823,"0.000")),""),"")</f>
        <v/>
      </c>
      <c r="AO823">
        <f>IF(OR($AI823="",$AN823=""),$AI823,$AI823&amp;" · borderline (p "&amp;$AN823&amp;")")</f>
        <v/>
      </c>
    </row>
    <row r="824">
      <c r="A824" t="inlineStr">
        <is>
          <t>three-way</t>
        </is>
      </c>
      <c r="B824" t="inlineStr">
        <is>
          <t>FICO x ASSET_CLASS / SYS_FLAG</t>
        </is>
      </c>
      <c r="C824" t="inlineStr">
        <is>
          <t>(marked missing)</t>
        </is>
      </c>
      <c r="D824" t="inlineStr">
        <is>
          <t>2 / SYS_FLAG N</t>
        </is>
      </c>
      <c r="E824" t="inlineStr">
        <is>
          <t>outcome_loans</t>
        </is>
      </c>
      <c r="F824" t="inlineStr">
        <is>
          <t>Outcome, share of loans</t>
        </is>
      </c>
      <c r="G824" t="n">
        <v>18</v>
      </c>
      <c r="H824" t="n">
        <v>18</v>
      </c>
      <c r="I824" t="b">
        <v>1</v>
      </c>
      <c r="J824" t="b">
        <v>0</v>
      </c>
      <c r="K824" t="n">
        <v>0.717457749011147</v>
      </c>
      <c r="M824" t="n">
        <v>0.8765432098765432</v>
      </c>
      <c r="O824" t="n">
        <v>-0.3938102994612205</v>
      </c>
      <c r="P824" t="n">
        <v>-0.1408450704225352</v>
      </c>
      <c r="Q824">
        <f>'_live'!$C$20</f>
        <v/>
      </c>
      <c r="T824" t="n">
        <v>0.07743390552562336</v>
      </c>
      <c r="U824" t="n">
        <v>0.06338028169014084</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0.05555555555555555</v>
      </c>
      <c r="AI824">
        <f>IF($Y824="worse","Yes",IF($Y824="worse, not significant","Not sure",IF(OR($Y824="too few losses to test",$Y824="too few loans to test"),"Too few losses",IF($Y824="","","No"))))</f>
        <v/>
      </c>
      <c r="AJ824">
        <f>IF($AA824="yes","Yes",IF($AA824="","","No"))</f>
        <v/>
      </c>
      <c r="AM824">
        <f>IF(AND(ISNUMBER($AC824),ISNUMBER(IF($V824,IF($AL824="","",$AL824),IF($AK824="","",$AK824)))),IF(AND(ABS($AC824-significance_bar)&lt;=2.0*IF($V824,IF($AL824="","",$AL824),IF($AK824="","",$AK824)),OR($Y824="worse",$Y824="better",$Y824="worse, not significant",$Y824="better, not significant")),IF(ROUND($AC824,3)=ROUND(significance_bar,3),TEXT($AC824,"0.0000"),TEXT($AC824,"0.000")),""),"")</f>
        <v/>
      </c>
      <c r="AN824">
        <f>IF(AND(ISNUMBER($AC824),ISNUMBER(IF($V824,IF($AL824="","",$AL824),IF($AK824="","",$AK824)))),IF(AND(ABS($AC824-significance_bar)&lt;=2.0*IF($V824,IF($AL824="","",$AL824),IF($AK824="","",$AK824)),OR($Y824="worse",$Y824="worse, not significant")),IF(ROUND($AC824,3)=ROUND(significance_bar,3),TEXT($AC824,"0.0000"),TEXT($AC824,"0.000")),""),"")</f>
        <v/>
      </c>
      <c r="AO824">
        <f>IF(OR($AI824="",$AN824=""),$AI824,$AI824&amp;" · borderline (p "&amp;$AN824&amp;")")</f>
        <v/>
      </c>
    </row>
    <row r="825">
      <c r="A825" t="inlineStr">
        <is>
          <t>three-way</t>
        </is>
      </c>
      <c r="B825" t="inlineStr">
        <is>
          <t>FICO x ASSET_CLASS / SYS_FLAG</t>
        </is>
      </c>
      <c r="C825" t="inlineStr">
        <is>
          <t>(marked missing)</t>
        </is>
      </c>
      <c r="D825" t="inlineStr">
        <is>
          <t>2 / SYS_FLAG N</t>
        </is>
      </c>
      <c r="E825" t="inlineStr">
        <is>
          <t>outcome_booked</t>
        </is>
      </c>
      <c r="F825" t="inlineStr">
        <is>
          <t>Outcome, share of booked dollars</t>
        </is>
      </c>
      <c r="G825" t="n">
        <v>18</v>
      </c>
      <c r="H825" t="n">
        <v>513125.23</v>
      </c>
      <c r="I825" t="b">
        <v>1</v>
      </c>
      <c r="J825" t="b">
        <v>0</v>
      </c>
      <c r="K825" t="n">
        <v>0.4506423790906154</v>
      </c>
      <c r="M825" t="n">
        <v>0.6792757156133565</v>
      </c>
      <c r="O825" t="n">
        <v>-21116.52303202474</v>
      </c>
      <c r="P825" t="n">
        <v>-8178.714419877633</v>
      </c>
      <c r="Q825">
        <f>'_live'!$C$21</f>
        <v/>
      </c>
      <c r="T825" t="n">
        <v>0.07491070558355654</v>
      </c>
      <c r="U825" t="n">
        <v>0.04969696075922369</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0.03375793858353057</v>
      </c>
      <c r="AI825">
        <f>IF($Y825="worse","Yes",IF($Y825="worse, not significant","Not sure",IF(OR($Y825="too few losses to test",$Y825="too few loans to test"),"Too few losses",IF($Y825="","","No"))))</f>
        <v/>
      </c>
      <c r="AJ825">
        <f>IF($AA825="yes","Yes",IF($AA825="","","No"))</f>
        <v/>
      </c>
      <c r="AM825">
        <f>IF(AND(ISNUMBER($AC825),ISNUMBER(IF($V825,IF($AL825="","",$AL825),IF($AK825="","",$AK825)))),IF(AND(ABS($AC825-significance_bar)&lt;=2.0*IF($V825,IF($AL825="","",$AL825),IF($AK825="","",$AK825)),OR($Y825="worse",$Y825="better",$Y825="worse, not significant",$Y825="better, not significant")),IF(ROUND($AC825,3)=ROUND(significance_bar,3),TEXT($AC825,"0.0000"),TEXT($AC825,"0.000")),""),"")</f>
        <v/>
      </c>
      <c r="AN825">
        <f>IF(AND(ISNUMBER($AC825),ISNUMBER(IF($V825,IF($AL825="","",$AL825),IF($AK825="","",$AK825)))),IF(AND(ABS($AC825-significance_bar)&lt;=2.0*IF($V825,IF($AL825="","",$AL825),IF($AK825="","",$AK825)),OR($Y825="worse",$Y825="worse, not significant")),IF(ROUND($AC825,3)=ROUND(significance_bar,3),TEXT($AC825,"0.0000"),TEXT($AC825,"0.000")),""),"")</f>
        <v/>
      </c>
      <c r="AO825">
        <f>IF(OR($AI825="",$AN825=""),$AI825,$AI825&amp;" · borderline (p "&amp;$AN825&amp;")")</f>
        <v/>
      </c>
    </row>
    <row r="826">
      <c r="A826" t="inlineStr">
        <is>
          <t>three-way</t>
        </is>
      </c>
      <c r="B826" t="inlineStr">
        <is>
          <t>FICO x ASSET_CLASS / SYS_FLAG</t>
        </is>
      </c>
      <c r="C826" t="inlineStr">
        <is>
          <t>(marked missing)</t>
        </is>
      </c>
      <c r="D826" t="inlineStr">
        <is>
          <t>2 / SYS_FLAG N</t>
        </is>
      </c>
      <c r="E826" t="inlineStr">
        <is>
          <t>gco_rate</t>
        </is>
      </c>
      <c r="F826" t="inlineStr">
        <is>
          <t>GCO per booked dollar</t>
        </is>
      </c>
      <c r="G826" t="n">
        <v>18</v>
      </c>
      <c r="H826" t="n">
        <v>513125.23</v>
      </c>
      <c r="I826" t="b">
        <v>1</v>
      </c>
      <c r="J826" t="b">
        <v>0</v>
      </c>
      <c r="K826" t="n">
        <v>0.6176389752376923</v>
      </c>
      <c r="M826" t="n">
        <v>1.008839935943176</v>
      </c>
      <c r="O826" t="n">
        <v>-8169.126761224006</v>
      </c>
      <c r="P826" t="n">
        <v>115.6281465086704</v>
      </c>
      <c r="Q826">
        <f>'_live'!$C$22</f>
        <v/>
      </c>
      <c r="T826" t="n">
        <v>0.04163692508595612</v>
      </c>
      <c r="U826" t="n">
        <v>0.0254912467537239</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0.0257165877421385</v>
      </c>
      <c r="AI826">
        <f>IF($Y826="worse","Yes",IF($Y826="worse, not significant","Not sure",IF(OR($Y826="too few losses to test",$Y826="too few loans to test"),"Too few losses",IF($Y826="","","No"))))</f>
        <v/>
      </c>
      <c r="AJ826">
        <f>IF($AA826="yes","Yes",IF($AA826="","","No"))</f>
        <v/>
      </c>
      <c r="AM826">
        <f>IF(AND(ISNUMBER($AC826),ISNUMBER(IF($V826,IF($AL826="","",$AL826),IF($AK826="","",$AK826)))),IF(AND(ABS($AC826-significance_bar)&lt;=2.0*IF($V826,IF($AL826="","",$AL826),IF($AK826="","",$AK826)),OR($Y826="worse",$Y826="better",$Y826="worse, not significant",$Y826="better, not significant")),IF(ROUND($AC826,3)=ROUND(significance_bar,3),TEXT($AC826,"0.0000"),TEXT($AC826,"0.000")),""),"")</f>
        <v/>
      </c>
      <c r="AN826">
        <f>IF(AND(ISNUMBER($AC826),ISNUMBER(IF($V826,IF($AL826="","",$AL826),IF($AK826="","",$AK826)))),IF(AND(ABS($AC826-significance_bar)&lt;=2.0*IF($V826,IF($AL826="","",$AL826),IF($AK826="","",$AK826)),OR($Y826="worse",$Y826="worse, not significant")),IF(ROUND($AC826,3)=ROUND(significance_bar,3),TEXT($AC826,"0.0000"),TEXT($AC826,"0.000")),""),"")</f>
        <v/>
      </c>
      <c r="AO826">
        <f>IF(OR($AI826="",$AN826=""),$AI826,$AI826&amp;" · borderline (p "&amp;$AN826&amp;")")</f>
        <v/>
      </c>
    </row>
    <row r="827">
      <c r="A827" t="inlineStr">
        <is>
          <t>three-way</t>
        </is>
      </c>
      <c r="B827" t="inlineStr">
        <is>
          <t>FICO x ASSET_CLASS / SYS_FLAG</t>
        </is>
      </c>
      <c r="C827" t="inlineStr">
        <is>
          <t>(marked missing)</t>
        </is>
      </c>
      <c r="D827" t="inlineStr">
        <is>
          <t>2 / SYS_FLAG N</t>
        </is>
      </c>
      <c r="E827" t="inlineStr">
        <is>
          <t>ranr_rate</t>
        </is>
      </c>
      <c r="F827" t="inlineStr">
        <is>
          <t>Profit after losses: RANR per booked dollar</t>
        </is>
      </c>
      <c r="G827" t="n">
        <v>18</v>
      </c>
      <c r="H827" t="n">
        <v>513125.23</v>
      </c>
      <c r="I827" t="b">
        <v>0</v>
      </c>
      <c r="J827" t="b">
        <v>0</v>
      </c>
      <c r="K827" t="n">
        <v>0.01382247152986169</v>
      </c>
      <c r="L827" t="n">
        <v>0.8159814453337274</v>
      </c>
      <c r="M827" t="n">
        <v>-0.01482682815486494</v>
      </c>
      <c r="N827" t="n">
        <v>0.8858714128587142</v>
      </c>
      <c r="O827" t="n">
        <v>-7092.658882928736</v>
      </c>
      <c r="P827" t="n">
        <v>7608.019607135546</v>
      </c>
      <c r="Q827">
        <f>'_live'!$C$23</f>
        <v/>
      </c>
      <c r="R827" t="inlineStr">
        <is>
          <t>shuffled: 7,660 of 10,000</t>
        </is>
      </c>
      <c r="S827" t="inlineStr">
        <is>
          <t>shuffled: 7,116 of 10,000</t>
        </is>
      </c>
      <c r="T827" t="n">
        <v>0.1279625660135076</v>
      </c>
      <c r="U827" t="n">
        <v>0.1566118656982342</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0.1417850375433693</v>
      </c>
      <c r="AI827">
        <f>IF($Y827="worse","Yes",IF($Y827="worse, not significant","Not sure",IF(OR($Y827="too few losses to test",$Y827="too few loans to test"),"Too few losses",IF($Y827="","","No"))))</f>
        <v/>
      </c>
      <c r="AJ827">
        <f>IF($AA827="yes","Yes",IF($AA827="","","No"))</f>
        <v/>
      </c>
      <c r="AK827" t="n">
        <v>0.004509677454344442</v>
      </c>
      <c r="AL827" t="n">
        <v>0.005275201752636222</v>
      </c>
      <c r="AM827">
        <f>IF(AND(ISNUMBER($AC827),ISNUMBER(IF($V827,IF($AL827="","",$AL827),IF($AK827="","",$AK827)))),IF(AND(ABS($AC827-significance_bar)&lt;=2.0*IF($V827,IF($AL827="","",$AL827),IF($AK827="","",$AK827)),OR($Y827="worse",$Y827="better",$Y827="worse, not significant",$Y827="better, not significant",AND(profit_kind="test",$Y827="in line",ISNUMBER($AB827),$AB827&lt;&gt;0))),IF(ROUND($AC827,3)=ROUND(significance_bar,3),TEXT($AC827,"0.0000"),TEXT($AC827,"0.000")),""),"")</f>
        <v/>
      </c>
      <c r="AN827">
        <f>IF(AND(ISNUMBER($AC827),ISNUMBER(IF($V827,IF($AL827="","",$AL827),IF($AK827="","",$AK827)))),IF(AND(ABS($AC827-significance_bar)&lt;=2.0*IF($V827,IF($AL827="","",$AL827),IF($AK827="","",$AK827)),OR($Y827="worse",$Y827="worse, not significant",AND(profit_kind="test",$Y827="in line",ISNUMBER($AB827),$AB827&lt;0))),IF(ROUND($AC827,3)=ROUND(significance_bar,3),TEXT($AC827,"0.0000"),TEXT($AC827,"0.000")),""),"")</f>
        <v/>
      </c>
      <c r="AO827">
        <f>IF(OR($AI827="",$AN827=""),$AI827,$AI827&amp;" · borderline (p "&amp;$AN827&amp;")")</f>
        <v/>
      </c>
    </row>
    <row r="828">
      <c r="A828" t="inlineStr">
        <is>
          <t>three-way</t>
        </is>
      </c>
      <c r="B828" t="inlineStr">
        <is>
          <t>FICO x ASSET_CLASS / SYS_FLAG</t>
        </is>
      </c>
      <c r="C828" t="inlineStr">
        <is>
          <t>(marked missing)</t>
        </is>
      </c>
      <c r="D828" t="inlineStr">
        <is>
          <t>2 / SYS_FLAG N</t>
        </is>
      </c>
      <c r="E828" t="inlineStr">
        <is>
          <t>contribution_rate</t>
        </is>
      </c>
      <c r="F828" t="inlineStr">
        <is>
          <t>Contribution before losses per booked dollar</t>
        </is>
      </c>
      <c r="G828" t="n">
        <v>18</v>
      </c>
      <c r="H828" t="n">
        <v>513125.23</v>
      </c>
      <c r="I828" t="b">
        <v>0</v>
      </c>
      <c r="J828" t="b">
        <v>0</v>
      </c>
      <c r="K828" t="n">
        <v>-0.002094996634760121</v>
      </c>
      <c r="L828" t="n">
        <v>0.9493050694930507</v>
      </c>
      <c r="M828" t="n">
        <v>-0.01460148716645029</v>
      </c>
      <c r="N828" t="n">
        <v>0.9799190293736585</v>
      </c>
      <c r="O828" t="n">
        <v>1074.995630060512</v>
      </c>
      <c r="P828" t="n">
        <v>7492.391460626852</v>
      </c>
      <c r="Q828">
        <f>'_live'!$C$24</f>
        <v/>
      </c>
      <c r="R828" t="inlineStr">
        <is>
          <t>shuffled: 9,493 of 10,000</t>
        </is>
      </c>
      <c r="S828" t="inlineStr">
        <is>
          <t>shuffled: 6,669 of 10,000</t>
        </is>
      </c>
      <c r="T828" t="n">
        <v>0.1695966219202679</v>
      </c>
      <c r="U828" t="n">
        <v>0.1821031124519581</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0.1675016252855078</v>
      </c>
      <c r="AI828">
        <f>IF($Y828="worse","Yes",IF($Y828="worse, not significant","Not sure",IF(OR($Y828="too few losses to test",$Y828="too few loans to test"),"Too few losses",IF($Y828="","","No"))))</f>
        <v/>
      </c>
      <c r="AJ828">
        <f>IF($AA828="yes","Yes",IF($AA828="","","No"))</f>
        <v/>
      </c>
      <c r="AK828" t="n">
        <v>0.002193740060441183</v>
      </c>
      <c r="AL828" t="n">
        <v>0.002013133534953629</v>
      </c>
      <c r="AM828">
        <f>IF(AND(ISNUMBER($AC828),ISNUMBER(IF($V828,IF($AL828="","",$AL828),IF($AK828="","",$AK828)))),IF(AND(ABS($AC828-significance_bar)&lt;=2.0*IF($V828,IF($AL828="","",$AL828),IF($AK828="","",$AK828)),OR($Y828="worse",$Y828="better",$Y828="worse, not significant",$Y828="better, not significant",AND(profit_kind="test",$Y828="in line",ISNUMBER($AB828),$AB828&lt;&gt;0))),IF(ROUND($AC828,3)=ROUND(significance_bar,3),TEXT($AC828,"0.0000"),TEXT($AC828,"0.000")),""),"")</f>
        <v/>
      </c>
      <c r="AN828">
        <f>IF(AND(ISNUMBER($AC828),ISNUMBER(IF($V828,IF($AL828="","",$AL828),IF($AK828="","",$AK828)))),IF(AND(ABS($AC828-significance_bar)&lt;=2.0*IF($V828,IF($AL828="","",$AL828),IF($AK828="","",$AK828)),OR($Y828="worse",$Y828="worse, not significant",AND(profit_kind="test",$Y828="in line",ISNUMBER($AB828),$AB828&lt;0))),IF(ROUND($AC828,3)=ROUND(significance_bar,3),TEXT($AC828,"0.0000"),TEXT($AC828,"0.000")),""),"")</f>
        <v/>
      </c>
      <c r="AO828">
        <f>IF(OR($AI828="",$AN828=""),$AI828,$AI828&amp;" · borderline (p "&amp;$AN828&amp;")")</f>
        <v/>
      </c>
    </row>
    <row r="829">
      <c r="A829" t="inlineStr">
        <is>
          <t>three-way</t>
        </is>
      </c>
      <c r="B829" t="inlineStr">
        <is>
          <t>FICO x ASSET_CLASS / SYS_FLAG</t>
        </is>
      </c>
      <c r="C829" t="inlineStr">
        <is>
          <t>(marked missing)</t>
        </is>
      </c>
      <c r="D829" t="inlineStr">
        <is>
          <t>1 / SYS_FLAG Y</t>
        </is>
      </c>
      <c r="E829" t="inlineStr">
        <is>
          <t>outcome_loans</t>
        </is>
      </c>
      <c r="F829" t="inlineStr">
        <is>
          <t>Outcome, share of loans</t>
        </is>
      </c>
      <c r="G829" t="n">
        <v>15</v>
      </c>
      <c r="H829" t="n">
        <v>15</v>
      </c>
      <c r="I829" t="b">
        <v>1</v>
      </c>
      <c r="J829" t="b">
        <v>0</v>
      </c>
      <c r="K829" t="n">
        <v>0.8612729234088458</v>
      </c>
      <c r="M829" t="n">
        <v>1.074074074074074</v>
      </c>
      <c r="O829" t="n">
        <v>-0.161072144288577</v>
      </c>
      <c r="P829" t="n">
        <v>0.06896551724137934</v>
      </c>
      <c r="Q829">
        <f>'_live'!$C$20</f>
        <v/>
      </c>
      <c r="T829" t="n">
        <v>0.07740480961923847</v>
      </c>
      <c r="U829" t="n">
        <v>0.06206896551724138</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0.06666666666666667</v>
      </c>
      <c r="AI829">
        <f>IF($Y829="worse","Yes",IF($Y829="worse, not significant","Not sure",IF(OR($Y829="too few losses to test",$Y829="too few loans to test"),"Too few losses",IF($Y829="","","No"))))</f>
        <v/>
      </c>
      <c r="AJ829">
        <f>IF($AA829="yes","Yes",IF($AA829="","","No"))</f>
        <v/>
      </c>
      <c r="AM829">
        <f>IF(AND(ISNUMBER($AC829),ISNUMBER(IF($V829,IF($AL829="","",$AL829),IF($AK829="","",$AK829)))),IF(AND(ABS($AC829-significance_bar)&lt;=2.0*IF($V829,IF($AL829="","",$AL829),IF($AK829="","",$AK829)),OR($Y829="worse",$Y829="better",$Y829="worse, not significant",$Y829="better, not significant")),IF(ROUND($AC829,3)=ROUND(significance_bar,3),TEXT($AC829,"0.0000"),TEXT($AC829,"0.000")),""),"")</f>
        <v/>
      </c>
      <c r="AN829">
        <f>IF(AND(ISNUMBER($AC829),ISNUMBER(IF($V829,IF($AL829="","",$AL829),IF($AK829="","",$AK829)))),IF(AND(ABS($AC829-significance_bar)&lt;=2.0*IF($V829,IF($AL829="","",$AL829),IF($AK829="","",$AK829)),OR($Y829="worse",$Y829="worse, not significant")),IF(ROUND($AC829,3)=ROUND(significance_bar,3),TEXT($AC829,"0.0000"),TEXT($AC829,"0.000")),""),"")</f>
        <v/>
      </c>
      <c r="AO829">
        <f>IF(OR($AI829="",$AN829=""),$AI829,$AI829&amp;" · borderline (p "&amp;$AN829&amp;")")</f>
        <v/>
      </c>
    </row>
    <row r="830">
      <c r="A830" t="inlineStr">
        <is>
          <t>three-way</t>
        </is>
      </c>
      <c r="B830" t="inlineStr">
        <is>
          <t>FICO x ASSET_CLASS / SYS_FLAG</t>
        </is>
      </c>
      <c r="C830" t="inlineStr">
        <is>
          <t>(marked missing)</t>
        </is>
      </c>
      <c r="D830" t="inlineStr">
        <is>
          <t>1 / SYS_FLAG Y</t>
        </is>
      </c>
      <c r="E830" t="inlineStr">
        <is>
          <t>outcome_booked</t>
        </is>
      </c>
      <c r="F830" t="inlineStr">
        <is>
          <t>Outcome, share of booked dollars</t>
        </is>
      </c>
      <c r="G830" t="n">
        <v>15</v>
      </c>
      <c r="H830" t="n">
        <v>524928.42</v>
      </c>
      <c r="I830" t="b">
        <v>1</v>
      </c>
      <c r="J830" t="b">
        <v>0</v>
      </c>
      <c r="K830" t="n">
        <v>0.3694023848344493</v>
      </c>
      <c r="M830" t="n">
        <v>0.5490848924021987</v>
      </c>
      <c r="O830" t="n">
        <v>-24801.56501855153</v>
      </c>
      <c r="P830" t="n">
        <v>-11931.13470294938</v>
      </c>
      <c r="Q830">
        <f>'_live'!$C$21</f>
        <v/>
      </c>
      <c r="T830" t="n">
        <v>0.07492498695069992</v>
      </c>
      <c r="U830" t="n">
        <v>0.05040653867235723</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0.02767746886327854</v>
      </c>
      <c r="AI830">
        <f>IF($Y830="worse","Yes",IF($Y830="worse, not significant","Not sure",IF(OR($Y830="too few losses to test",$Y830="too few loans to test"),"Too few losses",IF($Y830="","","No"))))</f>
        <v/>
      </c>
      <c r="AJ830">
        <f>IF($AA830="yes","Yes",IF($AA830="","","No"))</f>
        <v/>
      </c>
      <c r="AM830">
        <f>IF(AND(ISNUMBER($AC830),ISNUMBER(IF($V830,IF($AL830="","",$AL830),IF($AK830="","",$AK830)))),IF(AND(ABS($AC830-significance_bar)&lt;=2.0*IF($V830,IF($AL830="","",$AL830),IF($AK830="","",$AK830)),OR($Y830="worse",$Y830="better",$Y830="worse, not significant",$Y830="better, not significant")),IF(ROUND($AC830,3)=ROUND(significance_bar,3),TEXT($AC830,"0.0000"),TEXT($AC830,"0.000")),""),"")</f>
        <v/>
      </c>
      <c r="AN830">
        <f>IF(AND(ISNUMBER($AC830),ISNUMBER(IF($V830,IF($AL830="","",$AL830),IF($AK830="","",$AK830)))),IF(AND(ABS($AC830-significance_bar)&lt;=2.0*IF($V830,IF($AL830="","",$AL830),IF($AK830="","",$AK830)),OR($Y830="worse",$Y830="worse, not significant")),IF(ROUND($AC830,3)=ROUND(significance_bar,3),TEXT($AC830,"0.0000"),TEXT($AC830,"0.000")),""),"")</f>
        <v/>
      </c>
      <c r="AO830">
        <f>IF(OR($AI830="",$AN830=""),$AI830,$AI830&amp;" · borderline (p "&amp;$AN830&amp;")")</f>
        <v/>
      </c>
    </row>
    <row r="831">
      <c r="A831" t="inlineStr">
        <is>
          <t>three-way</t>
        </is>
      </c>
      <c r="B831" t="inlineStr">
        <is>
          <t>FICO x ASSET_CLASS / SYS_FLAG</t>
        </is>
      </c>
      <c r="C831" t="inlineStr">
        <is>
          <t>(marked missing)</t>
        </is>
      </c>
      <c r="D831" t="inlineStr">
        <is>
          <t>1 / SYS_FLAG Y</t>
        </is>
      </c>
      <c r="E831" t="inlineStr">
        <is>
          <t>gco_rate</t>
        </is>
      </c>
      <c r="F831" t="inlineStr">
        <is>
          <t>GCO per booked dollar</t>
        </is>
      </c>
      <c r="G831" t="n">
        <v>15</v>
      </c>
      <c r="H831" t="n">
        <v>524928.42</v>
      </c>
      <c r="I831" t="b">
        <v>1</v>
      </c>
      <c r="J831" t="b">
        <v>0</v>
      </c>
      <c r="K831" t="n">
        <v>0.2860025199079107</v>
      </c>
      <c r="M831" t="n">
        <v>0.4411648803949176</v>
      </c>
      <c r="O831" t="n">
        <v>-15616.23554438519</v>
      </c>
      <c r="P831" t="n">
        <v>-7923.777833899254</v>
      </c>
      <c r="Q831">
        <f>'_live'!$C$22</f>
        <v/>
      </c>
      <c r="T831" t="n">
        <v>0.04166578663122333</v>
      </c>
      <c r="U831" t="n">
        <v>0.02701148822138312</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0.01191651997047521</v>
      </c>
      <c r="AI831">
        <f>IF($Y831="worse","Yes",IF($Y831="worse, not significant","Not sure",IF(OR($Y831="too few losses to test",$Y831="too few loans to test"),"Too few losses",IF($Y831="","","No"))))</f>
        <v/>
      </c>
      <c r="AJ831">
        <f>IF($AA831="yes","Yes",IF($AA831="","","No"))</f>
        <v/>
      </c>
      <c r="AM831">
        <f>IF(AND(ISNUMBER($AC831),ISNUMBER(IF($V831,IF($AL831="","",$AL831),IF($AK831="","",$AK831)))),IF(AND(ABS($AC831-significance_bar)&lt;=2.0*IF($V831,IF($AL831="","",$AL831),IF($AK831="","",$AK831)),OR($Y831="worse",$Y831="better",$Y831="worse, not significant",$Y831="better, not significant")),IF(ROUND($AC831,3)=ROUND(significance_bar,3),TEXT($AC831,"0.0000"),TEXT($AC831,"0.000")),""),"")</f>
        <v/>
      </c>
      <c r="AN831">
        <f>IF(AND(ISNUMBER($AC831),ISNUMBER(IF($V831,IF($AL831="","",$AL831),IF($AK831="","",$AK831)))),IF(AND(ABS($AC831-significance_bar)&lt;=2.0*IF($V831,IF($AL831="","",$AL831),IF($AK831="","",$AK831)),OR($Y831="worse",$Y831="worse, not significant")),IF(ROUND($AC831,3)=ROUND(significance_bar,3),TEXT($AC831,"0.0000"),TEXT($AC831,"0.000")),""),"")</f>
        <v/>
      </c>
      <c r="AO831">
        <f>IF(OR($AI831="",$AN831=""),$AI831,$AI831&amp;" · borderline (p "&amp;$AN831&amp;")")</f>
        <v/>
      </c>
    </row>
    <row r="832">
      <c r="A832" t="inlineStr">
        <is>
          <t>three-way</t>
        </is>
      </c>
      <c r="B832" t="inlineStr">
        <is>
          <t>FICO x ASSET_CLASS / SYS_FLAG</t>
        </is>
      </c>
      <c r="C832" t="inlineStr">
        <is>
          <t>(marked missing)</t>
        </is>
      </c>
      <c r="D832" t="inlineStr">
        <is>
          <t>1 / SYS_FLAG Y</t>
        </is>
      </c>
      <c r="E832" t="inlineStr">
        <is>
          <t>ranr_rate</t>
        </is>
      </c>
      <c r="F832" t="inlineStr">
        <is>
          <t>Profit after losses: RANR per booked dollar</t>
        </is>
      </c>
      <c r="G832" t="n">
        <v>15</v>
      </c>
      <c r="H832" t="n">
        <v>524928.42</v>
      </c>
      <c r="I832" t="b">
        <v>0</v>
      </c>
      <c r="J832" t="b">
        <v>0</v>
      </c>
      <c r="K832" t="n">
        <v>0.0442264447785356</v>
      </c>
      <c r="L832" t="n">
        <v>0.4812826409666726</v>
      </c>
      <c r="M832" t="n">
        <v>0.01882163345454543</v>
      </c>
      <c r="N832" t="n">
        <v>0.8858714128587142</v>
      </c>
      <c r="O832" t="n">
        <v>-23215.71777981395</v>
      </c>
      <c r="P832" t="n">
        <v>-9880.01031111367</v>
      </c>
      <c r="Q832">
        <f>'_live'!$C$23</f>
        <v/>
      </c>
      <c r="R832" t="inlineStr">
        <is>
          <t>shuffled: 3,830 of 10,000</t>
        </is>
      </c>
      <c r="S832" t="inlineStr">
        <is>
          <t>shuffled: 6,503 of 10,000</t>
        </is>
      </c>
      <c r="T832" t="n">
        <v>0.1279000901116881</v>
      </c>
      <c r="U832" t="n">
        <v>0.1533049014356782</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0.1721265348902237</v>
      </c>
      <c r="AI832">
        <f>IF($Y832="worse","Yes",IF($Y832="worse, not significant","Not sure",IF(OR($Y832="too few losses to test",$Y832="too few loans to test"),"Too few losses",IF($Y832="","","No"))))</f>
        <v/>
      </c>
      <c r="AJ832">
        <f>IF($AA832="yes","Yes",IF($AA832="","","No"))</f>
        <v/>
      </c>
      <c r="AK832" t="n">
        <v>0.006107826666228238</v>
      </c>
      <c r="AL832" t="n">
        <v>0.005275201752636222</v>
      </c>
      <c r="AM832">
        <f>IF(AND(ISNUMBER($AC832),ISNUMBER(IF($V832,IF($AL832="","",$AL832),IF($AK832="","",$AK832)))),IF(AND(ABS($AC832-significance_bar)&lt;=2.0*IF($V832,IF($AL832="","",$AL832),IF($AK832="","",$AK832)),OR($Y832="worse",$Y832="better",$Y832="worse, not significant",$Y832="better, not significant",AND(profit_kind="test",$Y832="in line",ISNUMBER($AB832),$AB832&lt;&gt;0))),IF(ROUND($AC832,3)=ROUND(significance_bar,3),TEXT($AC832,"0.0000"),TEXT($AC832,"0.000")),""),"")</f>
        <v/>
      </c>
      <c r="AN832">
        <f>IF(AND(ISNUMBER($AC832),ISNUMBER(IF($V832,IF($AL832="","",$AL832),IF($AK832="","",$AK832)))),IF(AND(ABS($AC832-significance_bar)&lt;=2.0*IF($V832,IF($AL832="","",$AL832),IF($AK832="","",$AK832)),OR($Y832="worse",$Y832="worse, not significant",AND(profit_kind="test",$Y832="in line",ISNUMBER($AB832),$AB832&lt;0))),IF(ROUND($AC832,3)=ROUND(significance_bar,3),TEXT($AC832,"0.0000"),TEXT($AC832,"0.000")),""),"")</f>
        <v/>
      </c>
      <c r="AO832">
        <f>IF(OR($AI832="",$AN832=""),$AI832,$AI832&amp;" · borderline (p "&amp;$AN832&amp;")")</f>
        <v/>
      </c>
    </row>
    <row r="833">
      <c r="A833" t="inlineStr">
        <is>
          <t>three-way</t>
        </is>
      </c>
      <c r="B833" t="inlineStr">
        <is>
          <t>FICO x ASSET_CLASS / SYS_FLAG</t>
        </is>
      </c>
      <c r="C833" t="inlineStr">
        <is>
          <t>(marked missing)</t>
        </is>
      </c>
      <c r="D833" t="inlineStr">
        <is>
          <t>1 / SYS_FLAG Y</t>
        </is>
      </c>
      <c r="E833" t="inlineStr">
        <is>
          <t>contribution_rate</t>
        </is>
      </c>
      <c r="F833" t="inlineStr">
        <is>
          <t>Contribution before losses per booked dollar</t>
        </is>
      </c>
      <c r="G833" t="n">
        <v>15</v>
      </c>
      <c r="H833" t="n">
        <v>524928.42</v>
      </c>
      <c r="I833" t="b">
        <v>0</v>
      </c>
      <c r="J833" t="b">
        <v>0</v>
      </c>
      <c r="K833" t="n">
        <v>0.01448005705678365</v>
      </c>
      <c r="L833" t="n">
        <v>0.7710461511988337</v>
      </c>
      <c r="M833" t="n">
        <v>0.003726665203637514</v>
      </c>
      <c r="N833" t="n">
        <v>0.9799190293736585</v>
      </c>
      <c r="O833" t="n">
        <v>-7600.993472327289</v>
      </c>
      <c r="P833" t="n">
        <v>-1956.23247721442</v>
      </c>
      <c r="Q833">
        <f>'_live'!$C$24</f>
        <v/>
      </c>
      <c r="R833" t="inlineStr">
        <is>
          <t>shuffled: 6,766 of 10,000</t>
        </is>
      </c>
      <c r="S833" t="inlineStr">
        <is>
          <t>shuffled: 9,180 of 10,000</t>
        </is>
      </c>
      <c r="T833" t="n">
        <v>0.1695629978039152</v>
      </c>
      <c r="U833" t="n">
        <v>0.1803163896570613</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0.1840430548606989</v>
      </c>
      <c r="AI833">
        <f>IF($Y833="worse","Yes",IF($Y833="worse, not significant","Not sure",IF(OR($Y833="too few losses to test",$Y833="too few loans to test"),"Too few losses",IF($Y833="","","No"))))</f>
        <v/>
      </c>
      <c r="AJ833">
        <f>IF($AA833="yes","Yes",IF($AA833="","","No"))</f>
        <v/>
      </c>
      <c r="AK833" t="n">
        <v>0.005330307861383797</v>
      </c>
      <c r="AL833" t="n">
        <v>0.002013133534953629</v>
      </c>
      <c r="AM833">
        <f>IF(AND(ISNUMBER($AC833),ISNUMBER(IF($V833,IF($AL833="","",$AL833),IF($AK833="","",$AK833)))),IF(AND(ABS($AC833-significance_bar)&lt;=2.0*IF($V833,IF($AL833="","",$AL833),IF($AK833="","",$AK833)),OR($Y833="worse",$Y833="better",$Y833="worse, not significant",$Y833="better, not significant",AND(profit_kind="test",$Y833="in line",ISNUMBER($AB833),$AB833&lt;&gt;0))),IF(ROUND($AC833,3)=ROUND(significance_bar,3),TEXT($AC833,"0.0000"),TEXT($AC833,"0.000")),""),"")</f>
        <v/>
      </c>
      <c r="AN833">
        <f>IF(AND(ISNUMBER($AC833),ISNUMBER(IF($V833,IF($AL833="","",$AL833),IF($AK833="","",$AK833)))),IF(AND(ABS($AC833-significance_bar)&lt;=2.0*IF($V833,IF($AL833="","",$AL833),IF($AK833="","",$AK833)),OR($Y833="worse",$Y833="worse, not significant",AND(profit_kind="test",$Y833="in line",ISNUMBER($AB833),$AB833&lt;0))),IF(ROUND($AC833,3)=ROUND(significance_bar,3),TEXT($AC833,"0.0000"),TEXT($AC833,"0.000")),""),"")</f>
        <v/>
      </c>
      <c r="AO833">
        <f>IF(OR($AI833="",$AN833=""),$AI833,$AI833&amp;" · borderline (p "&amp;$AN833&amp;")")</f>
        <v/>
      </c>
    </row>
    <row r="834">
      <c r="A834" t="inlineStr">
        <is>
          <t>three-way</t>
        </is>
      </c>
      <c r="B834" t="inlineStr">
        <is>
          <t>FICO x ASSET_CLASS / SYS_FLAG</t>
        </is>
      </c>
      <c r="C834" t="inlineStr">
        <is>
          <t>(marked missing)</t>
        </is>
      </c>
      <c r="D834" t="inlineStr">
        <is>
          <t>2 / SYS_FLAG Y</t>
        </is>
      </c>
      <c r="E834" t="inlineStr">
        <is>
          <t>outcome_loans</t>
        </is>
      </c>
      <c r="F834" t="inlineStr">
        <is>
          <t>Outcome, share of loans</t>
        </is>
      </c>
      <c r="G834" t="n">
        <v>18</v>
      </c>
      <c r="H834" t="n">
        <v>18</v>
      </c>
      <c r="I834" t="b">
        <v>1</v>
      </c>
      <c r="J834" t="b">
        <v>0</v>
      </c>
      <c r="K834" t="n">
        <v>2.88383017163505</v>
      </c>
      <c r="M834" t="n">
        <v>5.259259259259259</v>
      </c>
      <c r="O834" t="n">
        <v>2.61295576995364</v>
      </c>
      <c r="P834" t="n">
        <v>3.23943661971831</v>
      </c>
      <c r="Q834">
        <f>'_live'!$C$20</f>
        <v/>
      </c>
      <c r="T834" t="n">
        <v>0.07705801278035333</v>
      </c>
      <c r="U834" t="n">
        <v>0.04225352112676056</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0.2222222222222222</v>
      </c>
      <c r="AI834">
        <f>IF($Y834="worse","Yes",IF($Y834="worse, not significant","Not sure",IF(OR($Y834="too few losses to test",$Y834="too few loans to test"),"Too few losses",IF($Y834="","","No"))))</f>
        <v/>
      </c>
      <c r="AJ834">
        <f>IF($AA834="yes","Yes",IF($AA834="","","No"))</f>
        <v/>
      </c>
      <c r="AM834">
        <f>IF(AND(ISNUMBER($AC834),ISNUMBER(IF($V834,IF($AL834="","",$AL834),IF($AK834="","",$AK834)))),IF(AND(ABS($AC834-significance_bar)&lt;=2.0*IF($V834,IF($AL834="","",$AL834),IF($AK834="","",$AK834)),OR($Y834="worse",$Y834="better",$Y834="worse, not significant",$Y834="better, not significant")),IF(ROUND($AC834,3)=ROUND(significance_bar,3),TEXT($AC834,"0.0000"),TEXT($AC834,"0.000")),""),"")</f>
        <v/>
      </c>
      <c r="AN834">
        <f>IF(AND(ISNUMBER($AC834),ISNUMBER(IF($V834,IF($AL834="","",$AL834),IF($AK834="","",$AK834)))),IF(AND(ABS($AC834-significance_bar)&lt;=2.0*IF($V834,IF($AL834="","",$AL834),IF($AK834="","",$AK834)),OR($Y834="worse",$Y834="worse, not significant")),IF(ROUND($AC834,3)=ROUND(significance_bar,3),TEXT($AC834,"0.0000"),TEXT($AC834,"0.000")),""),"")</f>
        <v/>
      </c>
      <c r="AO834">
        <f>IF(OR($AI834="",$AN834=""),$AI834,$AI834&amp;" · borderline (p "&amp;$AN834&amp;")")</f>
        <v/>
      </c>
    </row>
    <row r="835">
      <c r="A835" t="inlineStr">
        <is>
          <t>three-way</t>
        </is>
      </c>
      <c r="B835" t="inlineStr">
        <is>
          <t>FICO x ASSET_CLASS / SYS_FLAG</t>
        </is>
      </c>
      <c r="C835" t="inlineStr">
        <is>
          <t>(marked missing)</t>
        </is>
      </c>
      <c r="D835" t="inlineStr">
        <is>
          <t>2 / SYS_FLAG Y</t>
        </is>
      </c>
      <c r="E835" t="inlineStr">
        <is>
          <t>outcome_booked</t>
        </is>
      </c>
      <c r="F835" t="inlineStr">
        <is>
          <t>Outcome, share of booked dollars</t>
        </is>
      </c>
      <c r="G835" t="n">
        <v>18</v>
      </c>
      <c r="H835" t="n">
        <v>573474.61</v>
      </c>
      <c r="I835" t="b">
        <v>1</v>
      </c>
      <c r="J835" t="b">
        <v>0</v>
      </c>
      <c r="K835" t="n">
        <v>2.539139324022673</v>
      </c>
      <c r="M835" t="n">
        <v>6.113026959536921</v>
      </c>
      <c r="O835" t="n">
        <v>65823.0855077083</v>
      </c>
      <c r="P835" t="n">
        <v>90825.66892653686</v>
      </c>
      <c r="Q835">
        <f>'_live'!$C$21</f>
        <v/>
      </c>
      <c r="T835" t="n">
        <v>0.07457377143914307</v>
      </c>
      <c r="U835" t="n">
        <v>0.03097535752012307</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0.189353195601807</v>
      </c>
      <c r="AI835">
        <f>IF($Y835="worse","Yes",IF($Y835="worse, not significant","Not sure",IF(OR($Y835="too few losses to test",$Y835="too few loans to test"),"Too few losses",IF($Y835="","","No"))))</f>
        <v/>
      </c>
      <c r="AJ835">
        <f>IF($AA835="yes","Yes",IF($AA835="","","No"))</f>
        <v/>
      </c>
      <c r="AM835">
        <f>IF(AND(ISNUMBER($AC835),ISNUMBER(IF($V835,IF($AL835="","",$AL835),IF($AK835="","",$AK835)))),IF(AND(ABS($AC835-significance_bar)&lt;=2.0*IF($V835,IF($AL835="","",$AL835),IF($AK835="","",$AK835)),OR($Y835="worse",$Y835="better",$Y835="worse, not significant",$Y835="better, not significant")),IF(ROUND($AC835,3)=ROUND(significance_bar,3),TEXT($AC835,"0.0000"),TEXT($AC835,"0.000")),""),"")</f>
        <v/>
      </c>
      <c r="AN835">
        <f>IF(AND(ISNUMBER($AC835),ISNUMBER(IF($V835,IF($AL835="","",$AL835),IF($AK835="","",$AK835)))),IF(AND(ABS($AC835-significance_bar)&lt;=2.0*IF($V835,IF($AL835="","",$AL835),IF($AK835="","",$AK835)),OR($Y835="worse",$Y835="worse, not significant")),IF(ROUND($AC835,3)=ROUND(significance_bar,3),TEXT($AC835,"0.0000"),TEXT($AC835,"0.000")),""),"")</f>
        <v/>
      </c>
      <c r="AO835">
        <f>IF(OR($AI835="",$AN835=""),$AI835,$AI835&amp;" · borderline (p "&amp;$AN835&amp;")")</f>
        <v/>
      </c>
    </row>
    <row r="836">
      <c r="A836" t="inlineStr">
        <is>
          <t>three-way</t>
        </is>
      </c>
      <c r="B836" t="inlineStr">
        <is>
          <t>FICO x ASSET_CLASS / SYS_FLAG</t>
        </is>
      </c>
      <c r="C836" t="inlineStr">
        <is>
          <t>(marked missing)</t>
        </is>
      </c>
      <c r="D836" t="inlineStr">
        <is>
          <t>2 / SYS_FLAG Y</t>
        </is>
      </c>
      <c r="E836" t="inlineStr">
        <is>
          <t>gco_rate</t>
        </is>
      </c>
      <c r="F836" t="inlineStr">
        <is>
          <t>GCO per booked dollar</t>
        </is>
      </c>
      <c r="G836" t="n">
        <v>18</v>
      </c>
      <c r="H836" t="n">
        <v>573474.61</v>
      </c>
      <c r="I836" t="b">
        <v>1</v>
      </c>
      <c r="J836" t="b">
        <v>0</v>
      </c>
      <c r="K836" t="n">
        <v>2.237162320065655</v>
      </c>
      <c r="M836" t="n">
        <v>5.357404145390562</v>
      </c>
      <c r="O836" t="n">
        <v>29437.21154050825</v>
      </c>
      <c r="P836" t="n">
        <v>43295.31595153279</v>
      </c>
      <c r="Q836">
        <f>'_live'!$C$22</f>
        <v/>
      </c>
      <c r="T836" t="n">
        <v>0.04149118033227619</v>
      </c>
      <c r="U836" t="n">
        <v>0.01732602259142251</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0.09282250525441747</v>
      </c>
      <c r="AI836">
        <f>IF($Y836="worse","Yes",IF($Y836="worse, not significant","Not sure",IF(OR($Y836="too few losses to test",$Y836="too few loans to test"),"Too few losses",IF($Y836="","","No"))))</f>
        <v/>
      </c>
      <c r="AJ836">
        <f>IF($AA836="yes","Yes",IF($AA836="","","No"))</f>
        <v/>
      </c>
      <c r="AM836">
        <f>IF(AND(ISNUMBER($AC836),ISNUMBER(IF($V836,IF($AL836="","",$AL836),IF($AK836="","",$AK836)))),IF(AND(ABS($AC836-significance_bar)&lt;=2.0*IF($V836,IF($AL836="","",$AL836),IF($AK836="","",$AK836)),OR($Y836="worse",$Y836="better",$Y836="worse, not significant",$Y836="better, not significant")),IF(ROUND($AC836,3)=ROUND(significance_bar,3),TEXT($AC836,"0.0000"),TEXT($AC836,"0.000")),""),"")</f>
        <v/>
      </c>
      <c r="AN836">
        <f>IF(AND(ISNUMBER($AC836),ISNUMBER(IF($V836,IF($AL836="","",$AL836),IF($AK836="","",$AK836)))),IF(AND(ABS($AC836-significance_bar)&lt;=2.0*IF($V836,IF($AL836="","",$AL836),IF($AK836="","",$AK836)),OR($Y836="worse",$Y836="worse, not significant")),IF(ROUND($AC836,3)=ROUND(significance_bar,3),TEXT($AC836,"0.0000"),TEXT($AC836,"0.000")),""),"")</f>
        <v/>
      </c>
      <c r="AO836">
        <f>IF(OR($AI836="",$AN836=""),$AI836,$AI836&amp;" · borderline (p "&amp;$AN836&amp;")")</f>
        <v/>
      </c>
    </row>
    <row r="837">
      <c r="A837" t="inlineStr">
        <is>
          <t>three-way</t>
        </is>
      </c>
      <c r="B837" t="inlineStr">
        <is>
          <t>FICO x ASSET_CLASS / SYS_FLAG</t>
        </is>
      </c>
      <c r="C837" t="inlineStr">
        <is>
          <t>(marked missing)</t>
        </is>
      </c>
      <c r="D837" t="inlineStr">
        <is>
          <t>2 / SYS_FLAG Y</t>
        </is>
      </c>
      <c r="E837" t="inlineStr">
        <is>
          <t>ranr_rate</t>
        </is>
      </c>
      <c r="F837" t="inlineStr">
        <is>
          <t>Profit after losses: RANR per booked dollar</t>
        </is>
      </c>
      <c r="G837" t="n">
        <v>18</v>
      </c>
      <c r="H837" t="n">
        <v>573474.61</v>
      </c>
      <c r="I837" t="b">
        <v>0</v>
      </c>
      <c r="J837" t="b">
        <v>0</v>
      </c>
      <c r="K837" t="n">
        <v>-0.04266197712258703</v>
      </c>
      <c r="L837" t="n">
        <v>0.4619722238302485</v>
      </c>
      <c r="M837" t="n">
        <v>-0.07823431235914181</v>
      </c>
      <c r="N837" t="n">
        <v>0.3162883711628837</v>
      </c>
      <c r="O837" t="n">
        <v>24465.56069220452</v>
      </c>
      <c r="P837" t="n">
        <v>44865.39176877704</v>
      </c>
      <c r="Q837">
        <f>'_live'!$C$23</f>
        <v/>
      </c>
      <c r="R837" t="inlineStr">
        <is>
          <t>shuffled: 3,582 of 10,000</t>
        </is>
      </c>
      <c r="S837" t="inlineStr">
        <is>
          <t>shuffled: 658 of 10,000</t>
        </is>
      </c>
      <c r="T837" t="n">
        <v>0.1280848522521416</v>
      </c>
      <c r="U837" t="n">
        <v>0.1636571874886964</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0.08542287512955458</v>
      </c>
      <c r="AI837">
        <f>IF($Y837="worse","Yes",IF($Y837="worse, not significant","Not sure",IF(OR($Y837="too few losses to test",$Y837="too few loans to test"),"Too few losses",IF($Y837="","","No"))))</f>
        <v/>
      </c>
      <c r="AJ837">
        <f>IF($AA837="yes","Yes",IF($AA837="","","No"))</f>
        <v/>
      </c>
      <c r="AK837" t="n">
        <v>0.006182901340589669</v>
      </c>
      <c r="AL837" t="n">
        <v>0.01190859289693359</v>
      </c>
      <c r="AM837">
        <f>IF(AND(ISNUMBER($AC837),ISNUMBER(IF($V837,IF($AL837="","",$AL837),IF($AK837="","",$AK837)))),IF(AND(ABS($AC837-significance_bar)&lt;=2.0*IF($V837,IF($AL837="","",$AL837),IF($AK837="","",$AK837)),OR($Y837="worse",$Y837="better",$Y837="worse, not significant",$Y837="better, not significant",AND(profit_kind="test",$Y837="in line",ISNUMBER($AB837),$AB837&lt;&gt;0))),IF(ROUND($AC837,3)=ROUND(significance_bar,3),TEXT($AC837,"0.0000"),TEXT($AC837,"0.000")),""),"")</f>
        <v/>
      </c>
      <c r="AN837">
        <f>IF(AND(ISNUMBER($AC837),ISNUMBER(IF($V837,IF($AL837="","",$AL837),IF($AK837="","",$AK837)))),IF(AND(ABS($AC837-significance_bar)&lt;=2.0*IF($V837,IF($AL837="","",$AL837),IF($AK837="","",$AK837)),OR($Y837="worse",$Y837="worse, not significant",AND(profit_kind="test",$Y837="in line",ISNUMBER($AB837),$AB837&lt;0))),IF(ROUND($AC837,3)=ROUND(significance_bar,3),TEXT($AC837,"0.0000"),TEXT($AC837,"0.000")),""),"")</f>
        <v/>
      </c>
      <c r="AO837">
        <f>IF(OR($AI837="",$AN837=""),$AI837,$AI837&amp;" · borderline (p "&amp;$AN837&amp;")")</f>
        <v/>
      </c>
    </row>
    <row r="838">
      <c r="A838" t="inlineStr">
        <is>
          <t>three-way</t>
        </is>
      </c>
      <c r="B838" t="inlineStr">
        <is>
          <t>FICO x ASSET_CLASS / SYS_FLAG</t>
        </is>
      </c>
      <c r="C838" t="inlineStr">
        <is>
          <t>(marked missing)</t>
        </is>
      </c>
      <c r="D838" t="inlineStr">
        <is>
          <t>2 / SYS_FLAG Y</t>
        </is>
      </c>
      <c r="E838" t="inlineStr">
        <is>
          <t>contribution_rate</t>
        </is>
      </c>
      <c r="F838" t="inlineStr">
        <is>
          <t>Contribution before losses per booked dollar</t>
        </is>
      </c>
      <c r="G838" t="n">
        <v>18</v>
      </c>
      <c r="H838" t="n">
        <v>573474.61</v>
      </c>
      <c r="I838" t="b">
        <v>0</v>
      </c>
      <c r="J838" t="b">
        <v>0</v>
      </c>
      <c r="K838" t="n">
        <v>0.008672198801976255</v>
      </c>
      <c r="L838" t="n">
        <v>0.8485951404859514</v>
      </c>
      <c r="M838" t="n">
        <v>-0.002737829696146915</v>
      </c>
      <c r="N838" t="n">
        <v>0.9799190293736585</v>
      </c>
      <c r="O838" t="n">
        <v>-4973.285825805797</v>
      </c>
      <c r="P838" t="n">
        <v>1570.075817244273</v>
      </c>
      <c r="Q838">
        <f>'_live'!$C$24</f>
        <v/>
      </c>
      <c r="R838" t="inlineStr">
        <is>
          <t>shuffled: 7,772 of 10,000</t>
        </is>
      </c>
      <c r="S838" t="inlineStr">
        <is>
          <t>shuffled: 9,377 of 10,000</t>
        </is>
      </c>
      <c r="T838" t="n">
        <v>0.1695731815819957</v>
      </c>
      <c r="U838" t="n">
        <v>0.1809832100801189</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0.178245380383972</v>
      </c>
      <c r="AI838">
        <f>IF($Y838="worse","Yes",IF($Y838="worse, not significant","Not sure",IF(OR($Y838="too few losses to test",$Y838="too few loans to test"),"Too few losses",IF($Y838="","","No"))))</f>
        <v/>
      </c>
      <c r="AJ838">
        <f>IF($AA838="yes","Yes",IF($AA838="","","No"))</f>
        <v/>
      </c>
      <c r="AK838" t="n">
        <v>0.004515662821600906</v>
      </c>
      <c r="AL838" t="n">
        <v>0.002013133534953629</v>
      </c>
      <c r="AM838">
        <f>IF(AND(ISNUMBER($AC838),ISNUMBER(IF($V838,IF($AL838="","",$AL838),IF($AK838="","",$AK838)))),IF(AND(ABS($AC838-significance_bar)&lt;=2.0*IF($V838,IF($AL838="","",$AL838),IF($AK838="","",$AK838)),OR($Y838="worse",$Y838="better",$Y838="worse, not significant",$Y838="better, not significant",AND(profit_kind="test",$Y838="in line",ISNUMBER($AB838),$AB838&lt;&gt;0))),IF(ROUND($AC838,3)=ROUND(significance_bar,3),TEXT($AC838,"0.0000"),TEXT($AC838,"0.000")),""),"")</f>
        <v/>
      </c>
      <c r="AN838">
        <f>IF(AND(ISNUMBER($AC838),ISNUMBER(IF($V838,IF($AL838="","",$AL838),IF($AK838="","",$AK838)))),IF(AND(ABS($AC838-significance_bar)&lt;=2.0*IF($V838,IF($AL838="","",$AL838),IF($AK838="","",$AK838)),OR($Y838="worse",$Y838="worse, not significant",AND(profit_kind="test",$Y838="in line",ISNUMBER($AB838),$AB838&lt;0))),IF(ROUND($AC838,3)=ROUND(significance_bar,3),TEXT($AC838,"0.0000"),TEXT($AC838,"0.000")),""),"")</f>
        <v/>
      </c>
      <c r="AO838">
        <f>IF(OR($AI838="",$AN838=""),$AI838,$AI838&amp;" · borderline (p "&amp;$AN838&amp;")")</f>
        <v/>
      </c>
    </row>
    <row r="839">
      <c r="A839" t="inlineStr">
        <is>
          <t>three-way</t>
        </is>
      </c>
      <c r="B839" t="inlineStr">
        <is>
          <t>ORIG_BAL x CHANNEL / SYS_FLAG</t>
        </is>
      </c>
      <c r="C839" t="inlineStr">
        <is>
          <t>5,005 - 15,448</t>
        </is>
      </c>
      <c r="D839" t="inlineStr">
        <is>
          <t>Online / SYS_FLAG N</t>
        </is>
      </c>
      <c r="E839" t="inlineStr">
        <is>
          <t>outcome_loans</t>
        </is>
      </c>
      <c r="F839" t="inlineStr">
        <is>
          <t>Outcome, share of loans</t>
        </is>
      </c>
      <c r="G839" t="n">
        <v>302</v>
      </c>
      <c r="H839" t="n">
        <v>302</v>
      </c>
      <c r="I839" t="b">
        <v>0</v>
      </c>
      <c r="J839" t="b">
        <v>0</v>
      </c>
      <c r="K839" t="n">
        <v>0.7197256385998109</v>
      </c>
      <c r="L839" t="n">
        <v>0.3584896983353595</v>
      </c>
      <c r="M839" t="n">
        <v>0.6893040109958767</v>
      </c>
      <c r="N839" t="n">
        <v>0.2808242493725803</v>
      </c>
      <c r="O839" t="n">
        <v>-6.620111731843576</v>
      </c>
      <c r="P839" t="n">
        <v>-7.662557781201848</v>
      </c>
      <c r="Q839">
        <f>'_live'!$C$20</f>
        <v/>
      </c>
      <c r="R839" t="inlineStr">
        <is>
          <t>z test</t>
        </is>
      </c>
      <c r="S839" t="inlineStr">
        <is>
          <t>z test</t>
        </is>
      </c>
      <c r="T839" t="n">
        <v>0.0782122905027933</v>
      </c>
      <c r="U839" t="n">
        <v>0.08166409861325115</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0.05629139072847682</v>
      </c>
      <c r="AI839">
        <f>IF($Y839="worse","Yes",IF($Y839="worse, not significant","Not sure",IF(OR($Y839="too few losses to test",$Y839="too few loans to test"),"Too few losses",IF($Y839="","","No"))))</f>
        <v/>
      </c>
      <c r="AJ839">
        <f>IF($AA839="yes","Yes",IF($AA839="","","No"))</f>
        <v/>
      </c>
      <c r="AM839">
        <f>IF(AND(ISNUMBER($AC839),ISNUMBER(IF($V839,IF($AL839="","",$AL839),IF($AK839="","",$AK839)))),IF(AND(ABS($AC839-significance_bar)&lt;=2.0*IF($V839,IF($AL839="","",$AL839),IF($AK839="","",$AK839)),OR($Y839="worse",$Y839="better",$Y839="worse, not significant",$Y839="better, not significant")),IF(ROUND($AC839,3)=ROUND(significance_bar,3),TEXT($AC839,"0.0000"),TEXT($AC839,"0.000")),""),"")</f>
        <v/>
      </c>
      <c r="AN839">
        <f>IF(AND(ISNUMBER($AC839),ISNUMBER(IF($V839,IF($AL839="","",$AL839),IF($AK839="","",$AK839)))),IF(AND(ABS($AC839-significance_bar)&lt;=2.0*IF($V839,IF($AL839="","",$AL839),IF($AK839="","",$AK839)),OR($Y839="worse",$Y839="worse, not significant")),IF(ROUND($AC839,3)=ROUND(significance_bar,3),TEXT($AC839,"0.0000"),TEXT($AC839,"0.000")),""),"")</f>
        <v/>
      </c>
      <c r="AO839">
        <f>IF(OR($AI839="",$AN839=""),$AI839,$AI839&amp;" · borderline (p "&amp;$AN839&amp;")")</f>
        <v/>
      </c>
    </row>
    <row r="840">
      <c r="A840" t="inlineStr">
        <is>
          <t>three-way</t>
        </is>
      </c>
      <c r="B840" t="inlineStr">
        <is>
          <t>ORIG_BAL x CHANNEL / SYS_FLAG</t>
        </is>
      </c>
      <c r="C840" t="inlineStr">
        <is>
          <t>5,005 - 15,448</t>
        </is>
      </c>
      <c r="D840" t="inlineStr">
        <is>
          <t>Online / SYS_FLAG N</t>
        </is>
      </c>
      <c r="E840" t="inlineStr">
        <is>
          <t>outcome_booked</t>
        </is>
      </c>
      <c r="F840" t="inlineStr">
        <is>
          <t>Outcome, share of booked dollars</t>
        </is>
      </c>
      <c r="G840" t="n">
        <v>302</v>
      </c>
      <c r="H840" t="n">
        <v>3023084.910000002</v>
      </c>
      <c r="I840" t="b">
        <v>0</v>
      </c>
      <c r="J840" t="b">
        <v>0</v>
      </c>
      <c r="K840" t="n">
        <v>0.6488649911115907</v>
      </c>
      <c r="L840" t="n">
        <v>0.362963703629637</v>
      </c>
      <c r="M840" t="n">
        <v>0.596659463068807</v>
      </c>
      <c r="N840" t="n">
        <v>0.1547481615474816</v>
      </c>
      <c r="O840" t="n">
        <v>-79759.78546151926</v>
      </c>
      <c r="P840" t="n">
        <v>-99634.44992530847</v>
      </c>
      <c r="Q840">
        <f>'_live'!$C$21</f>
        <v/>
      </c>
      <c r="R840" t="inlineStr">
        <is>
          <t>shuffled: 1,179 of 10,000</t>
        </is>
      </c>
      <c r="S840" t="inlineStr">
        <is>
          <t>shuffled: 607 of 10,000</t>
        </is>
      </c>
      <c r="T840" t="n">
        <v>0.07513797733902192</v>
      </c>
      <c r="U840" t="n">
        <v>0.08171227645911815</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0.04875440299822736</v>
      </c>
      <c r="AI840">
        <f>IF($Y840="worse","Yes",IF($Y840="worse, not significant","Not sure",IF(OR($Y840="too few losses to test",$Y840="too few loans to test"),"Too few losses",IF($Y840="","","No"))))</f>
        <v/>
      </c>
      <c r="AJ840">
        <f>IF($AA840="yes","Yes",IF($AA840="","","No"))</f>
        <v/>
      </c>
      <c r="AK840" t="n">
        <v>0.007708338064114283</v>
      </c>
      <c r="AL840" t="n">
        <v>0.006082412495954595</v>
      </c>
      <c r="AM840">
        <f>IF(AND(ISNUMBER($AC840),ISNUMBER(IF($V840,IF($AL840="","",$AL840),IF($AK840="","",$AK840)))),IF(AND(ABS($AC840-significance_bar)&lt;=2.0*IF($V840,IF($AL840="","",$AL840),IF($AK840="","",$AK840)),OR($Y840="worse",$Y840="better",$Y840="worse, not significant",$Y840="better, not significant")),IF(ROUND($AC840,3)=ROUND(significance_bar,3),TEXT($AC840,"0.0000"),TEXT($AC840,"0.000")),""),"")</f>
        <v/>
      </c>
      <c r="AN840">
        <f>IF(AND(ISNUMBER($AC840),ISNUMBER(IF($V840,IF($AL840="","",$AL840),IF($AK840="","",$AK840)))),IF(AND(ABS($AC840-significance_bar)&lt;=2.0*IF($V840,IF($AL840="","",$AL840),IF($AK840="","",$AK840)),OR($Y840="worse",$Y840="worse, not significant")),IF(ROUND($AC840,3)=ROUND(significance_bar,3),TEXT($AC840,"0.0000"),TEXT($AC840,"0.000")),""),"")</f>
        <v/>
      </c>
      <c r="AO840">
        <f>IF(OR($AI840="",$AN840=""),$AI840,$AI840&amp;" · borderline (p "&amp;$AN840&amp;")")</f>
        <v/>
      </c>
    </row>
    <row r="841">
      <c r="A841" t="inlineStr">
        <is>
          <t>three-way</t>
        </is>
      </c>
      <c r="B841" t="inlineStr">
        <is>
          <t>ORIG_BAL x CHANNEL / SYS_FLAG</t>
        </is>
      </c>
      <c r="C841" t="inlineStr">
        <is>
          <t>5,005 - 15,448</t>
        </is>
      </c>
      <c r="D841" t="inlineStr">
        <is>
          <t>Online / SYS_FLAG N</t>
        </is>
      </c>
      <c r="E841" t="inlineStr">
        <is>
          <t>gco_rate</t>
        </is>
      </c>
      <c r="F841" t="inlineStr">
        <is>
          <t>GCO per booked dollar</t>
        </is>
      </c>
      <c r="G841" t="n">
        <v>302</v>
      </c>
      <c r="H841" t="n">
        <v>3023084.910000002</v>
      </c>
      <c r="I841" t="b">
        <v>0</v>
      </c>
      <c r="J841" t="b">
        <v>0</v>
      </c>
      <c r="K841" t="n">
        <v>0.620613887858802</v>
      </c>
      <c r="L841" t="n">
        <v>0.3604639536046395</v>
      </c>
      <c r="M841" t="n">
        <v>0.5771815099473148</v>
      </c>
      <c r="N841" t="n">
        <v>0.1640635936406359</v>
      </c>
      <c r="O841" t="n">
        <v>-47930.81088997907</v>
      </c>
      <c r="P841" t="n">
        <v>-57437.61499322284</v>
      </c>
      <c r="Q841">
        <f>'_live'!$C$22</f>
        <v/>
      </c>
      <c r="R841" t="inlineStr">
        <is>
          <t>shuffled: 1,029 of 10,000</t>
        </is>
      </c>
      <c r="S841" t="inlineStr">
        <is>
          <t>shuffled: 585 of 10,000</t>
        </is>
      </c>
      <c r="T841" t="n">
        <v>0.04179102296203086</v>
      </c>
      <c r="U841" t="n">
        <v>0.04493575901353786</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0.02593608923806244</v>
      </c>
      <c r="AI841">
        <f>IF($Y841="worse","Yes",IF($Y841="worse, not significant","Not sure",IF(OR($Y841="too few losses to test",$Y841="too few loans to test"),"Too few losses",IF($Y841="","","No"))))</f>
        <v/>
      </c>
      <c r="AJ841">
        <f>IF($AA841="yes","Yes",IF($AA841="","","No"))</f>
        <v/>
      </c>
      <c r="AK841" t="n">
        <v>0.0106380899402475</v>
      </c>
      <c r="AL841" t="n">
        <v>0.006576178217137222</v>
      </c>
      <c r="AM841">
        <f>IF(AND(ISNUMBER($AC841),ISNUMBER(IF($V841,IF($AL841="","",$AL841),IF($AK841="","",$AK841)))),IF(AND(ABS($AC841-significance_bar)&lt;=2.0*IF($V841,IF($AL841="","",$AL841),IF($AK841="","",$AK841)),OR($Y841="worse",$Y841="better",$Y841="worse, not significant",$Y841="better, not significant")),IF(ROUND($AC841,3)=ROUND(significance_bar,3),TEXT($AC841,"0.0000"),TEXT($AC841,"0.000")),""),"")</f>
        <v/>
      </c>
      <c r="AN841">
        <f>IF(AND(ISNUMBER($AC841),ISNUMBER(IF($V841,IF($AL841="","",$AL841),IF($AK841="","",$AK841)))),IF(AND(ABS($AC841-significance_bar)&lt;=2.0*IF($V841,IF($AL841="","",$AL841),IF($AK841="","",$AK841)),OR($Y841="worse",$Y841="worse, not significant")),IF(ROUND($AC841,3)=ROUND(significance_bar,3),TEXT($AC841,"0.0000"),TEXT($AC841,"0.000")),""),"")</f>
        <v/>
      </c>
      <c r="AO841">
        <f>IF(OR($AI841="",$AN841=""),$AI841,$AI841&amp;" · borderline (p "&amp;$AN841&amp;")")</f>
        <v/>
      </c>
    </row>
    <row r="842">
      <c r="A842" t="inlineStr">
        <is>
          <t>three-way</t>
        </is>
      </c>
      <c r="B842" t="inlineStr">
        <is>
          <t>ORIG_BAL x CHANNEL / SYS_FLAG</t>
        </is>
      </c>
      <c r="C842" t="inlineStr">
        <is>
          <t>5,005 - 15,448</t>
        </is>
      </c>
      <c r="D842" t="inlineStr">
        <is>
          <t>Online / SYS_FLAG N</t>
        </is>
      </c>
      <c r="E842" t="inlineStr">
        <is>
          <t>ranr_rate</t>
        </is>
      </c>
      <c r="F842" t="inlineStr">
        <is>
          <t>Profit after losses: RANR per booked dollar</t>
        </is>
      </c>
      <c r="G842" t="n">
        <v>302</v>
      </c>
      <c r="H842" t="n">
        <v>3023084.910000002</v>
      </c>
      <c r="I842" t="b">
        <v>0</v>
      </c>
      <c r="J842" t="b">
        <v>0</v>
      </c>
      <c r="K842" t="n">
        <v>0.0422467347950537</v>
      </c>
      <c r="L842" t="n">
        <v>0.005999400059994</v>
      </c>
      <c r="M842" t="n">
        <v>0.02833969779440454</v>
      </c>
      <c r="N842" t="n">
        <v>0.08699130086991301</v>
      </c>
      <c r="O842" t="n">
        <v>-127715.4664556989</v>
      </c>
      <c r="P842" t="n">
        <v>-85673.31275622471</v>
      </c>
      <c r="Q842">
        <f>'_live'!$C$23</f>
        <v/>
      </c>
      <c r="R842" t="inlineStr">
        <is>
          <t>shuffled: 4 of 10,000</t>
        </is>
      </c>
      <c r="S842" t="inlineStr">
        <is>
          <t>shuffled: 202 of 10,000</t>
        </is>
      </c>
      <c r="T842" t="n">
        <v>0.1274951597519969</v>
      </c>
      <c r="U842" t="n">
        <v>0.141402196752646</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0.1697418945470505</v>
      </c>
      <c r="AI842">
        <f>IF($Y842="worse","Yes",IF($Y842="worse, not significant","Not sure",IF(OR($Y842="too few losses to test",$Y842="too few loans to test"),"Too few losses",IF($Y842="","","No"))))</f>
        <v/>
      </c>
      <c r="AJ842">
        <f>IF($AA842="yes","Yes",IF($AA842="","","No"))</f>
        <v/>
      </c>
      <c r="AK842" t="n">
        <v>0.002448632430538731</v>
      </c>
      <c r="AL842" t="n">
        <v>0.006043611291636946</v>
      </c>
      <c r="AM842">
        <f>IF(AND(ISNUMBER($AC842),ISNUMBER(IF($V842,IF($AL842="","",$AL842),IF($AK842="","",$AK842)))),IF(AND(ABS($AC842-significance_bar)&lt;=2.0*IF($V842,IF($AL842="","",$AL842),IF($AK842="","",$AK842)),OR($Y842="worse",$Y842="better",$Y842="worse, not significant",$Y842="better, not significant",AND(profit_kind="test",$Y842="in line",ISNUMBER($AB842),$AB842&lt;&gt;0))),IF(ROUND($AC842,3)=ROUND(significance_bar,3),TEXT($AC842,"0.0000"),TEXT($AC842,"0.000")),""),"")</f>
        <v/>
      </c>
      <c r="AN842">
        <f>IF(AND(ISNUMBER($AC842),ISNUMBER(IF($V842,IF($AL842="","",$AL842),IF($AK842="","",$AK842)))),IF(AND(ABS($AC842-significance_bar)&lt;=2.0*IF($V842,IF($AL842="","",$AL842),IF($AK842="","",$AK842)),OR($Y842="worse",$Y842="worse, not significant",AND(profit_kind="test",$Y842="in line",ISNUMBER($AB842),$AB842&lt;0))),IF(ROUND($AC842,3)=ROUND(significance_bar,3),TEXT($AC842,"0.0000"),TEXT($AC842,"0.000")),""),"")</f>
        <v/>
      </c>
      <c r="AO842">
        <f>IF(OR($AI842="",$AN842=""),$AI842,$AI842&amp;" · borderline (p "&amp;$AN842&amp;")")</f>
        <v/>
      </c>
    </row>
    <row r="843">
      <c r="A843" t="inlineStr">
        <is>
          <t>three-way</t>
        </is>
      </c>
      <c r="B843" t="inlineStr">
        <is>
          <t>ORIG_BAL x CHANNEL / SYS_FLAG</t>
        </is>
      </c>
      <c r="C843" t="inlineStr">
        <is>
          <t>5,005 - 15,448</t>
        </is>
      </c>
      <c r="D843" t="inlineStr">
        <is>
          <t>Online / SYS_FLAG N</t>
        </is>
      </c>
      <c r="E843" t="inlineStr">
        <is>
          <t>contribution_rate</t>
        </is>
      </c>
      <c r="F843" t="inlineStr">
        <is>
          <t>Contribution before losses per booked dollar</t>
        </is>
      </c>
      <c r="G843" t="n">
        <v>302</v>
      </c>
      <c r="H843" t="n">
        <v>3023084.910000002</v>
      </c>
      <c r="I843" t="b">
        <v>0</v>
      </c>
      <c r="J843" t="b">
        <v>0</v>
      </c>
      <c r="K843" t="n">
        <v>0.02639477122950443</v>
      </c>
      <c r="L843" t="n">
        <v>0.007999200079992002</v>
      </c>
      <c r="M843" t="n">
        <v>0.00934002801892922</v>
      </c>
      <c r="N843" t="n">
        <v>0.3970655566022345</v>
      </c>
      <c r="O843" t="n">
        <v>-79793.63460681704</v>
      </c>
      <c r="P843" t="n">
        <v>-28235.69776300213</v>
      </c>
      <c r="Q843">
        <f>'_live'!$C$24</f>
        <v/>
      </c>
      <c r="R843" t="inlineStr">
        <is>
          <t>shuffled: 7 of 10,000</t>
        </is>
      </c>
      <c r="S843" t="inlineStr">
        <is>
          <t>shuffled: 2,442 of 10,000</t>
        </is>
      </c>
      <c r="T843" t="n">
        <v>0.1692832125556087</v>
      </c>
      <c r="U843" t="n">
        <v>0.1863379557661839</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0.1956779837851131</v>
      </c>
      <c r="AI843">
        <f>IF($Y843="worse","Yes",IF($Y843="worse, not significant","Not sure",IF(OR($Y843="too few losses to test",$Y843="too few loans to test"),"Too few losses",IF($Y843="","","No"))))</f>
        <v/>
      </c>
      <c r="AJ843">
        <f>IF($AA843="yes","Yes",IF($AA843="","","No"))</f>
        <v/>
      </c>
      <c r="AK843" t="n">
        <v>0.002827154286522054</v>
      </c>
      <c r="AL843" t="n">
        <v>0.0068504347267009</v>
      </c>
      <c r="AM843">
        <f>IF(AND(ISNUMBER($AC843),ISNUMBER(IF($V843,IF($AL843="","",$AL843),IF($AK843="","",$AK843)))),IF(AND(ABS($AC843-significance_bar)&lt;=2.0*IF($V843,IF($AL843="","",$AL843),IF($AK843="","",$AK843)),OR($Y843="worse",$Y843="better",$Y843="worse, not significant",$Y843="better, not significant",AND(profit_kind="test",$Y843="in line",ISNUMBER($AB843),$AB843&lt;&gt;0))),IF(ROUND($AC843,3)=ROUND(significance_bar,3),TEXT($AC843,"0.0000"),TEXT($AC843,"0.000")),""),"")</f>
        <v/>
      </c>
      <c r="AN843">
        <f>IF(AND(ISNUMBER($AC843),ISNUMBER(IF($V843,IF($AL843="","",$AL843),IF($AK843="","",$AK843)))),IF(AND(ABS($AC843-significance_bar)&lt;=2.0*IF($V843,IF($AL843="","",$AL843),IF($AK843="","",$AK843)),OR($Y843="worse",$Y843="worse, not significant",AND(profit_kind="test",$Y843="in line",ISNUMBER($AB843),$AB843&lt;0))),IF(ROUND($AC843,3)=ROUND(significance_bar,3),TEXT($AC843,"0.0000"),TEXT($AC843,"0.000")),""),"")</f>
        <v/>
      </c>
      <c r="AO843">
        <f>IF(OR($AI843="",$AN843=""),$AI843,$AI843&amp;" · borderline (p "&amp;$AN843&amp;")")</f>
        <v/>
      </c>
    </row>
    <row r="844">
      <c r="A844" t="inlineStr">
        <is>
          <t>three-way</t>
        </is>
      </c>
      <c r="B844" t="inlineStr">
        <is>
          <t>ORIG_BAL x CHANNEL / SYS_FLAG</t>
        </is>
      </c>
      <c r="C844" t="inlineStr">
        <is>
          <t>26,324 - 37,950</t>
        </is>
      </c>
      <c r="D844" t="inlineStr">
        <is>
          <t>Broker / SYS_FLAG Y</t>
        </is>
      </c>
      <c r="E844" t="inlineStr">
        <is>
          <t>outcome_loans</t>
        </is>
      </c>
      <c r="F844" t="inlineStr">
        <is>
          <t>Outcome, share of loans</t>
        </is>
      </c>
      <c r="G844" t="n">
        <v>248</v>
      </c>
      <c r="H844" t="n">
        <v>248</v>
      </c>
      <c r="I844" t="b">
        <v>0</v>
      </c>
      <c r="J844" t="b">
        <v>0</v>
      </c>
      <c r="K844" t="n">
        <v>1.097549627791563</v>
      </c>
      <c r="L844" t="n">
        <v>0.7855005659686514</v>
      </c>
      <c r="M844" t="n">
        <v>1.284432765494744</v>
      </c>
      <c r="N844" t="n">
        <v>0.4461345440320933</v>
      </c>
      <c r="O844" t="n">
        <v>1.866468842729972</v>
      </c>
      <c r="P844" t="n">
        <v>4.650370370370368</v>
      </c>
      <c r="Q844">
        <f>'_live'!$C$20</f>
        <v/>
      </c>
      <c r="R844" t="inlineStr">
        <is>
          <t>z test</t>
        </is>
      </c>
      <c r="S844" t="inlineStr">
        <is>
          <t>z test</t>
        </is>
      </c>
      <c r="T844" t="n">
        <v>0.0771513353115727</v>
      </c>
      <c r="U844" t="n">
        <v>0.06592592592592593</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0.0846774193548387</v>
      </c>
      <c r="AI844">
        <f>IF($Y844="worse","Yes",IF($Y844="worse, not significant","Not sure",IF(OR($Y844="too few losses to test",$Y844="too few loans to test"),"Too few losses",IF($Y844="","","No"))))</f>
        <v/>
      </c>
      <c r="AJ844">
        <f>IF($AA844="yes","Yes",IF($AA844="","","No"))</f>
        <v/>
      </c>
      <c r="AM844">
        <f>IF(AND(ISNUMBER($AC844),ISNUMBER(IF($V844,IF($AL844="","",$AL844),IF($AK844="","",$AK844)))),IF(AND(ABS($AC844-significance_bar)&lt;=2.0*IF($V844,IF($AL844="","",$AL844),IF($AK844="","",$AK844)),OR($Y844="worse",$Y844="better",$Y844="worse, not significant",$Y844="better, not significant")),IF(ROUND($AC844,3)=ROUND(significance_bar,3),TEXT($AC844,"0.0000"),TEXT($AC844,"0.000")),""),"")</f>
        <v/>
      </c>
      <c r="AN844">
        <f>IF(AND(ISNUMBER($AC844),ISNUMBER(IF($V844,IF($AL844="","",$AL844),IF($AK844="","",$AK844)))),IF(AND(ABS($AC844-significance_bar)&lt;=2.0*IF($V844,IF($AL844="","",$AL844),IF($AK844="","",$AK844)),OR($Y844="worse",$Y844="worse, not significant")),IF(ROUND($AC844,3)=ROUND(significance_bar,3),TEXT($AC844,"0.0000"),TEXT($AC844,"0.000")),""),"")</f>
        <v/>
      </c>
      <c r="AO844">
        <f>IF(OR($AI844="",$AN844=""),$AI844,$AI844&amp;" · borderline (p "&amp;$AN844&amp;")")</f>
        <v/>
      </c>
    </row>
    <row r="845">
      <c r="A845" t="inlineStr">
        <is>
          <t>three-way</t>
        </is>
      </c>
      <c r="B845" t="inlineStr">
        <is>
          <t>ORIG_BAL x CHANNEL / SYS_FLAG</t>
        </is>
      </c>
      <c r="C845" t="inlineStr">
        <is>
          <t>26,324 - 37,950</t>
        </is>
      </c>
      <c r="D845" t="inlineStr">
        <is>
          <t>Broker / SYS_FLAG Y</t>
        </is>
      </c>
      <c r="E845" t="inlineStr">
        <is>
          <t>outcome_booked</t>
        </is>
      </c>
      <c r="F845" t="inlineStr">
        <is>
          <t>Outcome, share of booked dollars</t>
        </is>
      </c>
      <c r="G845" t="n">
        <v>248</v>
      </c>
      <c r="H845" t="n">
        <v>8129736.889999999</v>
      </c>
      <c r="I845" t="b">
        <v>0</v>
      </c>
      <c r="J845" t="b">
        <v>0</v>
      </c>
      <c r="K845" t="n">
        <v>1.12025787579392</v>
      </c>
      <c r="L845" t="n">
        <v>0.8386716883867168</v>
      </c>
      <c r="M845" t="n">
        <v>1.278055599734882</v>
      </c>
      <c r="N845" t="n">
        <v>0.4684864846848649</v>
      </c>
      <c r="O845" t="n">
        <v>72881.41442566377</v>
      </c>
      <c r="P845" t="n">
        <v>147707.7110753374</v>
      </c>
      <c r="Q845">
        <f>'_live'!$C$21</f>
        <v/>
      </c>
      <c r="R845" t="inlineStr">
        <is>
          <t>shuffled: 6,373 of 10,000</t>
        </is>
      </c>
      <c r="S845" t="inlineStr">
        <is>
          <t>shuffled: 3,011 of 10,000</t>
        </is>
      </c>
      <c r="T845" t="n">
        <v>0.07454641691046614</v>
      </c>
      <c r="U845" t="n">
        <v>0.06534239251679679</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0.08351121065616678</v>
      </c>
      <c r="AI845">
        <f>IF($Y845="worse","Yes",IF($Y845="worse, not significant","Not sure",IF(OR($Y845="too few losses to test",$Y845="too few loans to test"),"Too few losses",IF($Y845="","","No"))))</f>
        <v/>
      </c>
      <c r="AJ845">
        <f>IF($AA845="yes","Yes",IF($AA845="","","No"))</f>
        <v/>
      </c>
      <c r="AK845" t="n">
        <v>0.004078766993467312</v>
      </c>
      <c r="AL845" t="n">
        <v>0.007136365795149882</v>
      </c>
      <c r="AM845">
        <f>IF(AND(ISNUMBER($AC845),ISNUMBER(IF($V845,IF($AL845="","",$AL845),IF($AK845="","",$AK845)))),IF(AND(ABS($AC845-significance_bar)&lt;=2.0*IF($V845,IF($AL845="","",$AL845),IF($AK845="","",$AK845)),OR($Y845="worse",$Y845="better",$Y845="worse, not significant",$Y845="better, not significant")),IF(ROUND($AC845,3)=ROUND(significance_bar,3),TEXT($AC845,"0.0000"),TEXT($AC845,"0.000")),""),"")</f>
        <v/>
      </c>
      <c r="AN845">
        <f>IF(AND(ISNUMBER($AC845),ISNUMBER(IF($V845,IF($AL845="","",$AL845),IF($AK845="","",$AK845)))),IF(AND(ABS($AC845-significance_bar)&lt;=2.0*IF($V845,IF($AL845="","",$AL845),IF($AK845="","",$AK845)),OR($Y845="worse",$Y845="worse, not significant")),IF(ROUND($AC845,3)=ROUND(significance_bar,3),TEXT($AC845,"0.0000"),TEXT($AC845,"0.000")),""),"")</f>
        <v/>
      </c>
      <c r="AO845">
        <f>IF(OR($AI845="",$AN845=""),$AI845,$AI845&amp;" · borderline (p "&amp;$AN845&amp;")")</f>
        <v/>
      </c>
    </row>
    <row r="846">
      <c r="A846" t="inlineStr">
        <is>
          <t>three-way</t>
        </is>
      </c>
      <c r="B846" t="inlineStr">
        <is>
          <t>ORIG_BAL x CHANNEL / SYS_FLAG</t>
        </is>
      </c>
      <c r="C846" t="inlineStr">
        <is>
          <t>26,324 - 37,950</t>
        </is>
      </c>
      <c r="D846" t="inlineStr">
        <is>
          <t>Broker / SYS_FLAG Y</t>
        </is>
      </c>
      <c r="E846" t="inlineStr">
        <is>
          <t>gco_rate</t>
        </is>
      </c>
      <c r="F846" t="inlineStr">
        <is>
          <t>GCO per booked dollar</t>
        </is>
      </c>
      <c r="G846" t="n">
        <v>248</v>
      </c>
      <c r="H846" t="n">
        <v>8129736.889999999</v>
      </c>
      <c r="I846" t="b">
        <v>0</v>
      </c>
      <c r="J846" t="b">
        <v>0</v>
      </c>
      <c r="K846" t="n">
        <v>0.9904765969454947</v>
      </c>
      <c r="L846" t="n">
        <v>0.9822017798220178</v>
      </c>
      <c r="M846" t="n">
        <v>1.121925465097013</v>
      </c>
      <c r="N846" t="n">
        <v>0.7890341400642543</v>
      </c>
      <c r="O846" t="n">
        <v>-3222.161344562308</v>
      </c>
      <c r="P846" t="n">
        <v>36419.14550706383</v>
      </c>
      <c r="Q846">
        <f>'_live'!$C$22</f>
        <v/>
      </c>
      <c r="R846" t="inlineStr">
        <is>
          <t>shuffled: 9,703 of 10,000</t>
        </is>
      </c>
      <c r="S846" t="inlineStr">
        <is>
          <t>shuffled: 6,481 of 10,000</t>
        </is>
      </c>
      <c r="T846" t="n">
        <v>0.04161775293868856</v>
      </c>
      <c r="U846" t="n">
        <v>0.03674166563254375</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0.04122141030323061</v>
      </c>
      <c r="AI846">
        <f>IF($Y846="worse","Yes",IF($Y846="worse, not significant","Not sure",IF(OR($Y846="too few losses to test",$Y846="too few loans to test"),"Too few losses",IF($Y846="","","No"))))</f>
        <v/>
      </c>
      <c r="AJ846">
        <f>IF($AA846="yes","Yes",IF($AA846="","","No"))</f>
        <v/>
      </c>
      <c r="AK846" t="n">
        <v>0.001322174101110676</v>
      </c>
      <c r="AL846" t="n">
        <v>0.005813677207764897</v>
      </c>
      <c r="AM846">
        <f>IF(AND(ISNUMBER($AC846),ISNUMBER(IF($V846,IF($AL846="","",$AL846),IF($AK846="","",$AK846)))),IF(AND(ABS($AC846-significance_bar)&lt;=2.0*IF($V846,IF($AL846="","",$AL846),IF($AK846="","",$AK846)),OR($Y846="worse",$Y846="better",$Y846="worse, not significant",$Y846="better, not significant")),IF(ROUND($AC846,3)=ROUND(significance_bar,3),TEXT($AC846,"0.0000"),TEXT($AC846,"0.000")),""),"")</f>
        <v/>
      </c>
      <c r="AN846">
        <f>IF(AND(ISNUMBER($AC846),ISNUMBER(IF($V846,IF($AL846="","",$AL846),IF($AK846="","",$AK846)))),IF(AND(ABS($AC846-significance_bar)&lt;=2.0*IF($V846,IF($AL846="","",$AL846),IF($AK846="","",$AK846)),OR($Y846="worse",$Y846="worse, not significant")),IF(ROUND($AC846,3)=ROUND(significance_bar,3),TEXT($AC846,"0.0000"),TEXT($AC846,"0.000")),""),"")</f>
        <v/>
      </c>
      <c r="AO846">
        <f>IF(OR($AI846="",$AN846=""),$AI846,$AI846&amp;" · borderline (p "&amp;$AN846&amp;")")</f>
        <v/>
      </c>
    </row>
    <row r="847">
      <c r="A847" t="inlineStr">
        <is>
          <t>three-way</t>
        </is>
      </c>
      <c r="B847" t="inlineStr">
        <is>
          <t>ORIG_BAL x CHANNEL / SYS_FLAG</t>
        </is>
      </c>
      <c r="C847" t="inlineStr">
        <is>
          <t>26,324 - 37,950</t>
        </is>
      </c>
      <c r="D847" t="inlineStr">
        <is>
          <t>Broker / SYS_FLAG Y</t>
        </is>
      </c>
      <c r="E847" t="inlineStr">
        <is>
          <t>ranr_rate</t>
        </is>
      </c>
      <c r="F847" t="inlineStr">
        <is>
          <t>Profit after losses: RANR per booked dollar</t>
        </is>
      </c>
      <c r="G847" t="n">
        <v>248</v>
      </c>
      <c r="H847" t="n">
        <v>8129736.889999999</v>
      </c>
      <c r="I847" t="b">
        <v>0</v>
      </c>
      <c r="J847" t="b">
        <v>0</v>
      </c>
      <c r="K847" t="n">
        <v>-0.006321801544047045</v>
      </c>
      <c r="L847" t="n">
        <v>0.7475021728596372</v>
      </c>
      <c r="M847" t="n">
        <v>-0.01120571039278256</v>
      </c>
      <c r="N847" t="n">
        <v>0.4786477873951736</v>
      </c>
      <c r="O847" t="n">
        <v>51394.5832238982</v>
      </c>
      <c r="P847" t="n">
        <v>91099.47715886077</v>
      </c>
      <c r="Q847">
        <f>'_live'!$C$23</f>
        <v/>
      </c>
      <c r="R847" t="inlineStr">
        <is>
          <t>shuffled: 6,343 of 10,000</t>
        </is>
      </c>
      <c r="S847" t="inlineStr">
        <is>
          <t>shuffled: 3,669 of 10,000</t>
        </is>
      </c>
      <c r="T847" t="n">
        <v>0.1281892006253967</v>
      </c>
      <c r="U847" t="n">
        <v>0.1330731094741322</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0.1218673990813496</v>
      </c>
      <c r="AI847">
        <f>IF($Y847="worse","Yes",IF($Y847="worse, not significant","Not sure",IF(OR($Y847="too few losses to test",$Y847="too few loans to test"),"Too few losses",IF($Y847="","","No"))))</f>
        <v/>
      </c>
      <c r="AJ847">
        <f>IF($AA847="yes","Yes",IF($AA847="","","No"))</f>
        <v/>
      </c>
      <c r="AK847" t="n">
        <v>0.005511288494679411</v>
      </c>
      <c r="AL847" t="n">
        <v>0.006286648523433858</v>
      </c>
      <c r="AM847">
        <f>IF(AND(ISNUMBER($AC847),ISNUMBER(IF($V847,IF($AL847="","",$AL847),IF($AK847="","",$AK847)))),IF(AND(ABS($AC847-significance_bar)&lt;=2.0*IF($V847,IF($AL847="","",$AL847),IF($AK847="","",$AK847)),OR($Y847="worse",$Y847="better",$Y847="worse, not significant",$Y847="better, not significant",AND(profit_kind="test",$Y847="in line",ISNUMBER($AB847),$AB847&lt;&gt;0))),IF(ROUND($AC847,3)=ROUND(significance_bar,3),TEXT($AC847,"0.0000"),TEXT($AC847,"0.000")),""),"")</f>
        <v/>
      </c>
      <c r="AN847">
        <f>IF(AND(ISNUMBER($AC847),ISNUMBER(IF($V847,IF($AL847="","",$AL847),IF($AK847="","",$AK847)))),IF(AND(ABS($AC847-significance_bar)&lt;=2.0*IF($V847,IF($AL847="","",$AL847),IF($AK847="","",$AK847)),OR($Y847="worse",$Y847="worse, not significant",AND(profit_kind="test",$Y847="in line",ISNUMBER($AB847),$AB847&lt;0))),IF(ROUND($AC847,3)=ROUND(significance_bar,3),TEXT($AC847,"0.0000"),TEXT($AC847,"0.000")),""),"")</f>
        <v/>
      </c>
      <c r="AO847">
        <f>IF(OR($AI847="",$AN847=""),$AI847,$AI847&amp;" · borderline (p "&amp;$AN847&amp;")")</f>
        <v/>
      </c>
    </row>
    <row r="848">
      <c r="A848" t="inlineStr">
        <is>
          <t>three-way</t>
        </is>
      </c>
      <c r="B848" t="inlineStr">
        <is>
          <t>ORIG_BAL x CHANNEL / SYS_FLAG</t>
        </is>
      </c>
      <c r="C848" t="inlineStr">
        <is>
          <t>26,324 - 37,950</t>
        </is>
      </c>
      <c r="D848" t="inlineStr">
        <is>
          <t>Broker / SYS_FLAG Y</t>
        </is>
      </c>
      <c r="E848" t="inlineStr">
        <is>
          <t>contribution_rate</t>
        </is>
      </c>
      <c r="F848" t="inlineStr">
        <is>
          <t>Contribution before losses per booked dollar</t>
        </is>
      </c>
      <c r="G848" t="n">
        <v>248</v>
      </c>
      <c r="H848" t="n">
        <v>8129736.889999999</v>
      </c>
      <c r="I848" t="b">
        <v>0</v>
      </c>
      <c r="J848" t="b">
        <v>0</v>
      </c>
      <c r="K848" t="n">
        <v>-0.006715223541291587</v>
      </c>
      <c r="L848" t="n">
        <v>0.5619872795329163</v>
      </c>
      <c r="M848" t="n">
        <v>-0.006725965722095717</v>
      </c>
      <c r="N848" t="n">
        <v>0.4777300047773</v>
      </c>
      <c r="O848" t="n">
        <v>54593.00054823468</v>
      </c>
      <c r="P848" t="n">
        <v>54680.33165179705</v>
      </c>
      <c r="Q848">
        <f>'_live'!$C$24</f>
        <v/>
      </c>
      <c r="R848" t="inlineStr">
        <is>
          <t>shuffled: 4,308 of 10,000</t>
        </is>
      </c>
      <c r="S848" t="inlineStr">
        <is>
          <t>shuffled: 4,259 of 10,000</t>
        </is>
      </c>
      <c r="T848" t="n">
        <v>0.1698040329258718</v>
      </c>
      <c r="U848" t="n">
        <v>0.1698147751066759</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0.1630888093845802</v>
      </c>
      <c r="AI848">
        <f>IF($Y848="worse","Yes",IF($Y848="worse, not significant","Not sure",IF(OR($Y848="too few losses to test",$Y848="too few loans to test"),"Too few losses",IF($Y848="","","No"))))</f>
        <v/>
      </c>
      <c r="AJ848">
        <f>IF($AA848="yes","Yes",IF($AA848="","","No"))</f>
        <v/>
      </c>
      <c r="AK848" t="n">
        <v>0.006459080305976028</v>
      </c>
      <c r="AL848" t="n">
        <v>0.005500774117837444</v>
      </c>
      <c r="AM848">
        <f>IF(AND(ISNUMBER($AC848),ISNUMBER(IF($V848,IF($AL848="","",$AL848),IF($AK848="","",$AK848)))),IF(AND(ABS($AC848-significance_bar)&lt;=2.0*IF($V848,IF($AL848="","",$AL848),IF($AK848="","",$AK848)),OR($Y848="worse",$Y848="better",$Y848="worse, not significant",$Y848="better, not significant",AND(profit_kind="test",$Y848="in line",ISNUMBER($AB848),$AB848&lt;&gt;0))),IF(ROUND($AC848,3)=ROUND(significance_bar,3),TEXT($AC848,"0.0000"),TEXT($AC848,"0.000")),""),"")</f>
        <v/>
      </c>
      <c r="AN848">
        <f>IF(AND(ISNUMBER($AC848),ISNUMBER(IF($V848,IF($AL848="","",$AL848),IF($AK848="","",$AK848)))),IF(AND(ABS($AC848-significance_bar)&lt;=2.0*IF($V848,IF($AL848="","",$AL848),IF($AK848="","",$AK848)),OR($Y848="worse",$Y848="worse, not significant",AND(profit_kind="test",$Y848="in line",ISNUMBER($AB848),$AB848&lt;0))),IF(ROUND($AC848,3)=ROUND(significance_bar,3),TEXT($AC848,"0.0000"),TEXT($AC848,"0.000")),""),"")</f>
        <v/>
      </c>
      <c r="AO848">
        <f>IF(OR($AI848="",$AN848=""),$AI848,$AI848&amp;" · borderline (p "&amp;$AN848&amp;")")</f>
        <v/>
      </c>
    </row>
    <row r="849">
      <c r="A849" t="inlineStr">
        <is>
          <t>three-way</t>
        </is>
      </c>
      <c r="B849" t="inlineStr">
        <is>
          <t>ORIG_BAL x CHANNEL / SYS_FLAG</t>
        </is>
      </c>
      <c r="C849" t="inlineStr">
        <is>
          <t>37,951 - 49,151</t>
        </is>
      </c>
      <c r="D849" t="inlineStr">
        <is>
          <t>Branch / SYS_FLAG N</t>
        </is>
      </c>
      <c r="E849" t="inlineStr">
        <is>
          <t>outcome_loans</t>
        </is>
      </c>
      <c r="F849" t="inlineStr">
        <is>
          <t>Outcome, share of loans</t>
        </is>
      </c>
      <c r="G849" t="n">
        <v>269</v>
      </c>
      <c r="H849" t="n">
        <v>269</v>
      </c>
      <c r="I849" t="b">
        <v>0</v>
      </c>
      <c r="J849" t="b">
        <v>0</v>
      </c>
      <c r="K849" t="n">
        <v>0.9099752168525405</v>
      </c>
      <c r="L849" t="n">
        <v>0.7855005659686514</v>
      </c>
      <c r="M849" t="n">
        <v>0.8174882818813641</v>
      </c>
      <c r="N849" t="n">
        <v>0.5522400726694103</v>
      </c>
      <c r="O849" t="n">
        <v>-1.879689521345405</v>
      </c>
      <c r="P849" t="n">
        <v>-4.241923365890308</v>
      </c>
      <c r="Q849">
        <f>'_live'!$C$20</f>
        <v/>
      </c>
      <c r="R849" t="inlineStr">
        <is>
          <t>z test</t>
        </is>
      </c>
      <c r="S849" t="inlineStr">
        <is>
          <t>z test</t>
        </is>
      </c>
      <c r="T849" t="n">
        <v>0.07761966364812418</v>
      </c>
      <c r="U849" t="n">
        <v>0.08640120210368145</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0.07063197026022305</v>
      </c>
      <c r="AI849">
        <f>IF($Y849="worse","Yes",IF($Y849="worse, not significant","Not sure",IF(OR($Y849="too few losses to test",$Y849="too few loans to test"),"Too few losses",IF($Y849="","","No"))))</f>
        <v/>
      </c>
      <c r="AJ849">
        <f>IF($AA849="yes","Yes",IF($AA849="","","No"))</f>
        <v/>
      </c>
      <c r="AM849">
        <f>IF(AND(ISNUMBER($AC849),ISNUMBER(IF($V849,IF($AL849="","",$AL849),IF($AK849="","",$AK849)))),IF(AND(ABS($AC849-significance_bar)&lt;=2.0*IF($V849,IF($AL849="","",$AL849),IF($AK849="","",$AK849)),OR($Y849="worse",$Y849="better",$Y849="worse, not significant",$Y849="better, not significant")),IF(ROUND($AC849,3)=ROUND(significance_bar,3),TEXT($AC849,"0.0000"),TEXT($AC849,"0.000")),""),"")</f>
        <v/>
      </c>
      <c r="AN849">
        <f>IF(AND(ISNUMBER($AC849),ISNUMBER(IF($V849,IF($AL849="","",$AL849),IF($AK849="","",$AK849)))),IF(AND(ABS($AC849-significance_bar)&lt;=2.0*IF($V849,IF($AL849="","",$AL849),IF($AK849="","",$AK849)),OR($Y849="worse",$Y849="worse, not significant")),IF(ROUND($AC849,3)=ROUND(significance_bar,3),TEXT($AC849,"0.0000"),TEXT($AC849,"0.000")),""),"")</f>
        <v/>
      </c>
      <c r="AO849">
        <f>IF(OR($AI849="",$AN849=""),$AI849,$AI849&amp;" · borderline (p "&amp;$AN849&amp;")")</f>
        <v/>
      </c>
    </row>
    <row r="850">
      <c r="A850" t="inlineStr">
        <is>
          <t>three-way</t>
        </is>
      </c>
      <c r="B850" t="inlineStr">
        <is>
          <t>ORIG_BAL x CHANNEL / SYS_FLAG</t>
        </is>
      </c>
      <c r="C850" t="inlineStr">
        <is>
          <t>37,951 - 49,151</t>
        </is>
      </c>
      <c r="D850" t="inlineStr">
        <is>
          <t>Branch / SYS_FLAG N</t>
        </is>
      </c>
      <c r="E850" t="inlineStr">
        <is>
          <t>outcome_booked</t>
        </is>
      </c>
      <c r="F850" t="inlineStr">
        <is>
          <t>Outcome, share of booked dollars</t>
        </is>
      </c>
      <c r="G850" t="n">
        <v>269</v>
      </c>
      <c r="H850" t="n">
        <v>11760549.44999999</v>
      </c>
      <c r="I850" t="b">
        <v>0</v>
      </c>
      <c r="J850" t="b">
        <v>0</v>
      </c>
      <c r="K850" t="n">
        <v>0.9410368427849544</v>
      </c>
      <c r="L850" t="n">
        <v>0.8386716883867168</v>
      </c>
      <c r="M850" t="n">
        <v>0.8246190263516815</v>
      </c>
      <c r="N850" t="n">
        <v>0.622864029386535</v>
      </c>
      <c r="O850" t="n">
        <v>-52029.08929537795</v>
      </c>
      <c r="P850" t="n">
        <v>-176604.2891049206</v>
      </c>
      <c r="Q850">
        <f>'_live'!$C$21</f>
        <v/>
      </c>
      <c r="R850" t="inlineStr">
        <is>
          <t>shuffled: 8,087 of 10,000</t>
        </is>
      </c>
      <c r="S850" t="inlineStr">
        <is>
          <t>shuffled: 4,226 of 10,000</t>
        </is>
      </c>
      <c r="T850" t="n">
        <v>0.07503050712442509</v>
      </c>
      <c r="U850" t="n">
        <v>0.08562314145151792</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0.07060647153692301</v>
      </c>
      <c r="AI850">
        <f>IF($Y850="worse","Yes",IF($Y850="worse, not significant","Not sure",IF(OR($Y850="too few losses to test",$Y850="too few loans to test"),"Too few losses",IF($Y850="","","No"))))</f>
        <v/>
      </c>
      <c r="AJ850">
        <f>IF($AA850="yes","Yes",IF($AA850="","","No"))</f>
        <v/>
      </c>
      <c r="AK850" t="n">
        <v>0.004078766993467312</v>
      </c>
      <c r="AL850" t="n">
        <v>0.007279734104403164</v>
      </c>
      <c r="AM850">
        <f>IF(AND(ISNUMBER($AC850),ISNUMBER(IF($V850,IF($AL850="","",$AL850),IF($AK850="","",$AK850)))),IF(AND(ABS($AC850-significance_bar)&lt;=2.0*IF($V850,IF($AL850="","",$AL850),IF($AK850="","",$AK850)),OR($Y850="worse",$Y850="better",$Y850="worse, not significant",$Y850="better, not significant")),IF(ROUND($AC850,3)=ROUND(significance_bar,3),TEXT($AC850,"0.0000"),TEXT($AC850,"0.000")),""),"")</f>
        <v/>
      </c>
      <c r="AN850">
        <f>IF(AND(ISNUMBER($AC850),ISNUMBER(IF($V850,IF($AL850="","",$AL850),IF($AK850="","",$AK850)))),IF(AND(ABS($AC850-significance_bar)&lt;=2.0*IF($V850,IF($AL850="","",$AL850),IF($AK850="","",$AK850)),OR($Y850="worse",$Y850="worse, not significant")),IF(ROUND($AC850,3)=ROUND(significance_bar,3),TEXT($AC850,"0.0000"),TEXT($AC850,"0.000")),""),"")</f>
        <v/>
      </c>
      <c r="AO850">
        <f>IF(OR($AI850="",$AN850=""),$AI850,$AI850&amp;" · borderline (p "&amp;$AN850&amp;")")</f>
        <v/>
      </c>
    </row>
    <row r="851">
      <c r="A851" t="inlineStr">
        <is>
          <t>three-way</t>
        </is>
      </c>
      <c r="B851" t="inlineStr">
        <is>
          <t>ORIG_BAL x CHANNEL / SYS_FLAG</t>
        </is>
      </c>
      <c r="C851" t="inlineStr">
        <is>
          <t>37,951 - 49,151</t>
        </is>
      </c>
      <c r="D851" t="inlineStr">
        <is>
          <t>Branch / SYS_FLAG N</t>
        </is>
      </c>
      <c r="E851" t="inlineStr">
        <is>
          <t>gco_rate</t>
        </is>
      </c>
      <c r="F851" t="inlineStr">
        <is>
          <t>GCO per booked dollar</t>
        </is>
      </c>
      <c r="G851" t="n">
        <v>268</v>
      </c>
      <c r="H851" t="n">
        <v>11720865.01999999</v>
      </c>
      <c r="I851" t="b">
        <v>0</v>
      </c>
      <c r="J851" t="b">
        <v>0</v>
      </c>
      <c r="K851" t="n">
        <v>0.9752716767170218</v>
      </c>
      <c r="L851" t="n">
        <v>0.9822017798220178</v>
      </c>
      <c r="M851" t="n">
        <v>0.8461380484466625</v>
      </c>
      <c r="N851" t="n">
        <v>0.7044095590440955</v>
      </c>
      <c r="O851" t="n">
        <v>-12072.31994706014</v>
      </c>
      <c r="P851" t="n">
        <v>-86578.82570450782</v>
      </c>
      <c r="Q851">
        <f>'_live'!$C$22</f>
        <v/>
      </c>
      <c r="R851" t="inlineStr">
        <is>
          <t>shuffled: 9,196 of 10,000</t>
        </is>
      </c>
      <c r="S851" t="inlineStr">
        <is>
          <t>shuffled: 4,932 of 10,000</t>
        </is>
      </c>
      <c r="T851" t="n">
        <v>0.0416520520553747</v>
      </c>
      <c r="U851" t="n">
        <v>0.04800879327117344</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0.04062206664674996</v>
      </c>
      <c r="AI851">
        <f>IF($Y851="worse","Yes",IF($Y851="worse, not significant","Not sure",IF(OR($Y851="too few losses to test",$Y851="too few loans to test"),"Too few losses",IF($Y851="","","No"))))</f>
        <v/>
      </c>
      <c r="AJ851">
        <f>IF($AA851="yes","Yes",IF($AA851="","","No"))</f>
        <v/>
      </c>
      <c r="AK851" t="n">
        <v>0.001322174101110676</v>
      </c>
      <c r="AL851" t="n">
        <v>0.006999861111400973</v>
      </c>
      <c r="AM851">
        <f>IF(AND(ISNUMBER($AC851),ISNUMBER(IF($V851,IF($AL851="","",$AL851),IF($AK851="","",$AK851)))),IF(AND(ABS($AC851-significance_bar)&lt;=2.0*IF($V851,IF($AL851="","",$AL851),IF($AK851="","",$AK851)),OR($Y851="worse",$Y851="better",$Y851="worse, not significant",$Y851="better, not significant")),IF(ROUND($AC851,3)=ROUND(significance_bar,3),TEXT($AC851,"0.0000"),TEXT($AC851,"0.000")),""),"")</f>
        <v/>
      </c>
      <c r="AN851">
        <f>IF(AND(ISNUMBER($AC851),ISNUMBER(IF($V851,IF($AL851="","",$AL851),IF($AK851="","",$AK851)))),IF(AND(ABS($AC851-significance_bar)&lt;=2.0*IF($V851,IF($AL851="","",$AL851),IF($AK851="","",$AK851)),OR($Y851="worse",$Y851="worse, not significant")),IF(ROUND($AC851,3)=ROUND(significance_bar,3),TEXT($AC851,"0.0000"),TEXT($AC851,"0.000")),""),"")</f>
        <v/>
      </c>
      <c r="AO851">
        <f>IF(OR($AI851="",$AN851=""),$AI851,$AI851&amp;" · borderline (p "&amp;$AN851&amp;")")</f>
        <v/>
      </c>
    </row>
    <row r="852">
      <c r="A852" t="inlineStr">
        <is>
          <t>three-way</t>
        </is>
      </c>
      <c r="B852" t="inlineStr">
        <is>
          <t>ORIG_BAL x CHANNEL / SYS_FLAG</t>
        </is>
      </c>
      <c r="C852" t="inlineStr">
        <is>
          <t>37,951 - 49,151</t>
        </is>
      </c>
      <c r="D852" t="inlineStr">
        <is>
          <t>Branch / SYS_FLAG N</t>
        </is>
      </c>
      <c r="E852" t="inlineStr">
        <is>
          <t>ranr_rate</t>
        </is>
      </c>
      <c r="F852" t="inlineStr">
        <is>
          <t>Profit after losses: RANR per booked dollar</t>
        </is>
      </c>
      <c r="G852" t="n">
        <v>269</v>
      </c>
      <c r="H852" t="n">
        <v>11760549.44999999</v>
      </c>
      <c r="I852" t="b">
        <v>0</v>
      </c>
      <c r="J852" t="b">
        <v>0</v>
      </c>
      <c r="K852" t="n">
        <v>-0.01626050082227441</v>
      </c>
      <c r="L852" t="n">
        <v>0.4287428400017141</v>
      </c>
      <c r="M852" t="n">
        <v>-0.0119792419606698</v>
      </c>
      <c r="N852" t="n">
        <v>0.4786477873951736</v>
      </c>
      <c r="O852" t="n">
        <v>191232.4240021238</v>
      </c>
      <c r="P852" t="n">
        <v>140882.467451972</v>
      </c>
      <c r="Q852">
        <f>'_live'!$C$23</f>
        <v/>
      </c>
      <c r="R852" t="inlineStr">
        <is>
          <t>shuffled: 2,000 of 10,000</t>
        </is>
      </c>
      <c r="S852" t="inlineStr">
        <is>
          <t>shuffled: 3,637 of 10,000</t>
        </is>
      </c>
      <c r="T852" t="n">
        <v>0.1287310640067183</v>
      </c>
      <c r="U852" t="n">
        <v>0.1244498051451137</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0.1124705631844439</v>
      </c>
      <c r="AI852">
        <f>IF($Y852="worse","Yes",IF($Y852="worse, not significant","Not sure",IF(OR($Y852="too few losses to test",$Y852="too few loans to test"),"Too few losses",IF($Y852="","","No"))))</f>
        <v/>
      </c>
      <c r="AJ852">
        <f>IF($AA852="yes","Yes",IF($AA852="","","No"))</f>
        <v/>
      </c>
      <c r="AK852" t="n">
        <v>0.00857271388939229</v>
      </c>
      <c r="AL852" t="n">
        <v>0.006286648523433858</v>
      </c>
      <c r="AM852">
        <f>IF(AND(ISNUMBER($AC852),ISNUMBER(IF($V852,IF($AL852="","",$AL852),IF($AK852="","",$AK852)))),IF(AND(ABS($AC852-significance_bar)&lt;=2.0*IF($V852,IF($AL852="","",$AL852),IF($AK852="","",$AK852)),OR($Y852="worse",$Y852="better",$Y852="worse, not significant",$Y852="better, not significant",AND(profit_kind="test",$Y852="in line",ISNUMBER($AB852),$AB852&lt;&gt;0))),IF(ROUND($AC852,3)=ROUND(significance_bar,3),TEXT($AC852,"0.0000"),TEXT($AC852,"0.000")),""),"")</f>
        <v/>
      </c>
      <c r="AN852">
        <f>IF(AND(ISNUMBER($AC852),ISNUMBER(IF($V852,IF($AL852="","",$AL852),IF($AK852="","",$AK852)))),IF(AND(ABS($AC852-significance_bar)&lt;=2.0*IF($V852,IF($AL852="","",$AL852),IF($AK852="","",$AK852)),OR($Y852="worse",$Y852="worse, not significant",AND(profit_kind="test",$Y852="in line",ISNUMBER($AB852),$AB852&lt;0))),IF(ROUND($AC852,3)=ROUND(significance_bar,3),TEXT($AC852,"0.0000"),TEXT($AC852,"0.000")),""),"")</f>
        <v/>
      </c>
      <c r="AO852">
        <f>IF(OR($AI852="",$AN852=""),$AI852,$AI852&amp;" · borderline (p "&amp;$AN852&amp;")")</f>
        <v/>
      </c>
    </row>
    <row r="853">
      <c r="A853" t="inlineStr">
        <is>
          <t>three-way</t>
        </is>
      </c>
      <c r="B853" t="inlineStr">
        <is>
          <t>ORIG_BAL x CHANNEL / SYS_FLAG</t>
        </is>
      </c>
      <c r="C853" t="inlineStr">
        <is>
          <t>37,951 - 49,151</t>
        </is>
      </c>
      <c r="D853" t="inlineStr">
        <is>
          <t>Branch / SYS_FLAG N</t>
        </is>
      </c>
      <c r="E853" t="inlineStr">
        <is>
          <t>contribution_rate</t>
        </is>
      </c>
      <c r="F853" t="inlineStr">
        <is>
          <t>Contribution before losses per booked dollar</t>
        </is>
      </c>
      <c r="G853" t="n">
        <v>268</v>
      </c>
      <c r="H853" t="n">
        <v>11720865.01999999</v>
      </c>
      <c r="I853" t="b">
        <v>0</v>
      </c>
      <c r="J853" t="b">
        <v>0</v>
      </c>
      <c r="K853" t="n">
        <v>-0.01740597683726086</v>
      </c>
      <c r="L853" t="n">
        <v>0.1368613138686131</v>
      </c>
      <c r="M853" t="n">
        <v>-0.01948145919145522</v>
      </c>
      <c r="N853" t="n">
        <v>0.0953904609539046</v>
      </c>
      <c r="O853" t="n">
        <v>204013.105050781</v>
      </c>
      <c r="P853" t="n">
        <v>228339.553575685</v>
      </c>
      <c r="Q853">
        <f>'_live'!$C$24</f>
        <v/>
      </c>
      <c r="R853" t="inlineStr">
        <is>
          <t>shuffled: 364 of 10,000</t>
        </is>
      </c>
      <c r="S853" t="inlineStr">
        <is>
          <t>shuffled: 158 of 10,000</t>
        </is>
      </c>
      <c r="T853" t="n">
        <v>0.1703831160620928</v>
      </c>
      <c r="U853" t="n">
        <v>0.1724585984162872</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0.1529771392248319</v>
      </c>
      <c r="AI853">
        <f>IF($Y853="worse","Yes",IF($Y853="worse, not significant","Not sure",IF(OR($Y853="too few losses to test",$Y853="too few loans to test"),"Too few losses",IF($Y853="","","No"))))</f>
        <v/>
      </c>
      <c r="AJ853">
        <f>IF($AA853="yes","Yes",IF($AA853="","","No"))</f>
        <v/>
      </c>
      <c r="AK853" t="n">
        <v>0.007032061630656092</v>
      </c>
      <c r="AL853" t="n">
        <v>0.007504954534721909</v>
      </c>
      <c r="AM853">
        <f>IF(AND(ISNUMBER($AC853),ISNUMBER(IF($V853,IF($AL853="","",$AL853),IF($AK853="","",$AK853)))),IF(AND(ABS($AC853-significance_bar)&lt;=2.0*IF($V853,IF($AL853="","",$AL853),IF($AK853="","",$AK853)),OR($Y853="worse",$Y853="better",$Y853="worse, not significant",$Y853="better, not significant",AND(profit_kind="test",$Y853="in line",ISNUMBER($AB853),$AB853&lt;&gt;0))),IF(ROUND($AC853,3)=ROUND(significance_bar,3),TEXT($AC853,"0.0000"),TEXT($AC853,"0.000")),""),"")</f>
        <v/>
      </c>
      <c r="AN853">
        <f>IF(AND(ISNUMBER($AC853),ISNUMBER(IF($V853,IF($AL853="","",$AL853),IF($AK853="","",$AK853)))),IF(AND(ABS($AC853-significance_bar)&lt;=2.0*IF($V853,IF($AL853="","",$AL853),IF($AK853="","",$AK853)),OR($Y853="worse",$Y853="worse, not significant",AND(profit_kind="test",$Y853="in line",ISNUMBER($AB853),$AB853&lt;0))),IF(ROUND($AC853,3)=ROUND(significance_bar,3),TEXT($AC853,"0.0000"),TEXT($AC853,"0.000")),""),"")</f>
        <v/>
      </c>
      <c r="AO853">
        <f>IF(OR($AI853="",$AN853=""),$AI853,$AI853&amp;" · borderline (p "&amp;$AN853&amp;")")</f>
        <v/>
      </c>
    </row>
    <row r="854">
      <c r="A854" t="inlineStr">
        <is>
          <t>three-way</t>
        </is>
      </c>
      <c r="B854" t="inlineStr">
        <is>
          <t>ORIG_BAL x CHANNEL / SYS_FLAG</t>
        </is>
      </c>
      <c r="C854" t="inlineStr">
        <is>
          <t>(blank)</t>
        </is>
      </c>
      <c r="D854" t="inlineStr">
        <is>
          <t>Branch / SYS_FLAG Y</t>
        </is>
      </c>
      <c r="E854" t="inlineStr">
        <is>
          <t>outcome_loans</t>
        </is>
      </c>
      <c r="F854" t="inlineStr">
        <is>
          <t>Outcome, share of loans</t>
        </is>
      </c>
      <c r="G854" t="n">
        <v>1</v>
      </c>
      <c r="H854" t="n">
        <v>1</v>
      </c>
      <c r="I854" t="b">
        <v>1</v>
      </c>
      <c r="J854" t="b">
        <v>1</v>
      </c>
      <c r="K854" t="n">
        <v>0</v>
      </c>
      <c r="O854" t="n">
        <v>-0.07739434858714679</v>
      </c>
      <c r="Q854">
        <f>'_live'!$C$20</f>
        <v/>
      </c>
      <c r="T854" t="n">
        <v>0.07739434858714679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c r="AM854">
        <f>IF(AND(ISNUMBER($AC854),ISNUMBER(IF($V854,IF($AL854="","",$AL854),IF($AK854="","",$AK854)))),IF(AND(ABS($AC854-significance_bar)&lt;=2.0*IF($V854,IF($AL854="","",$AL854),IF($AK854="","",$AK854)),OR($Y854="worse",$Y854="better",$Y854="worse, not significant",$Y854="better, not significant")),IF(ROUND($AC854,3)=ROUND(significance_bar,3),TEXT($AC854,"0.0000"),TEXT($AC854,"0.000")),""),"")</f>
        <v/>
      </c>
      <c r="AN854">
        <f>IF(AND(ISNUMBER($AC854),ISNUMBER(IF($V854,IF($AL854="","",$AL854),IF($AK854="","",$AK854)))),IF(AND(ABS($AC854-significance_bar)&lt;=2.0*IF($V854,IF($AL854="","",$AL854),IF($AK854="","",$AK854)),OR($Y854="worse",$Y854="worse, not significant")),IF(ROUND($AC854,3)=ROUND(significance_bar,3),TEXT($AC854,"0.0000"),TEXT($AC854,"0.000")),""),"")</f>
        <v/>
      </c>
      <c r="AO854">
        <f>IF(OR($AI854="",$AN854=""),$AI854,$AI854&amp;" · borderline (p "&amp;$AN854&amp;")")</f>
        <v/>
      </c>
    </row>
    <row r="855">
      <c r="A855" t="inlineStr">
        <is>
          <t>three-way</t>
        </is>
      </c>
      <c r="B855" t="inlineStr">
        <is>
          <t>ORIG_BAL x CHANNEL / SYS_FLAG</t>
        </is>
      </c>
      <c r="C855" t="inlineStr">
        <is>
          <t>(blank)</t>
        </is>
      </c>
      <c r="D855" t="inlineStr">
        <is>
          <t>Branch / SYS_FLAG Y</t>
        </is>
      </c>
      <c r="E855" t="inlineStr">
        <is>
          <t>outcome_booked</t>
        </is>
      </c>
      <c r="F855" t="inlineStr">
        <is>
          <t>Outcome, share of booked dollars</t>
        </is>
      </c>
      <c r="G855" t="n">
        <v>0</v>
      </c>
      <c r="H855" t="n">
        <v>0</v>
      </c>
      <c r="I855" t="b">
        <v>1</v>
      </c>
      <c r="J855" t="b">
        <v>1</v>
      </c>
      <c r="O855" t="n">
        <v>0</v>
      </c>
      <c r="Q855">
        <f>'_live'!$C$21</f>
        <v/>
      </c>
      <c r="R855" t="inlineStr"/>
      <c r="S855" t="inlineStr"/>
      <c r="T855" t="n">
        <v>0.07482886857347235</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I855">
        <f>IF($Y855="worse","Yes",IF($Y855="worse, not significant","Not sure",IF(OR($Y855="too few losses to test",$Y855="too few loans to test"),"Too few losses",IF($Y855="","","No"))))</f>
        <v/>
      </c>
      <c r="AJ855">
        <f>IF($AA855="yes","Yes",IF($AA855="","","No"))</f>
        <v/>
      </c>
      <c r="AM855">
        <f>IF(AND(ISNUMBER($AC855),ISNUMBER(IF($V855,IF($AL855="","",$AL855),IF($AK855="","",$AK855)))),IF(AND(ABS($AC855-significance_bar)&lt;=2.0*IF($V855,IF($AL855="","",$AL855),IF($AK855="","",$AK855)),OR($Y855="worse",$Y855="better",$Y855="worse, not significant",$Y855="better, not significant")),IF(ROUND($AC855,3)=ROUND(significance_bar,3),TEXT($AC855,"0.0000"),TEXT($AC855,"0.000")),""),"")</f>
        <v/>
      </c>
      <c r="AN855">
        <f>IF(AND(ISNUMBER($AC855),ISNUMBER(IF($V855,IF($AL855="","",$AL855),IF($AK855="","",$AK855)))),IF(AND(ABS($AC855-significance_bar)&lt;=2.0*IF($V855,IF($AL855="","",$AL855),IF($AK855="","",$AK855)),OR($Y855="worse",$Y855="worse, not significant")),IF(ROUND($AC855,3)=ROUND(significance_bar,3),TEXT($AC855,"0.0000"),TEXT($AC855,"0.000")),""),"")</f>
        <v/>
      </c>
      <c r="AO855">
        <f>IF(OR($AI855="",$AN855=""),$AI855,$AI855&amp;" · borderline (p "&amp;$AN855&amp;")")</f>
        <v/>
      </c>
    </row>
    <row r="856">
      <c r="A856" t="inlineStr">
        <is>
          <t>three-way</t>
        </is>
      </c>
      <c r="B856" t="inlineStr">
        <is>
          <t>ORIG_BAL x CHANNEL / SYS_FLAG</t>
        </is>
      </c>
      <c r="C856" t="inlineStr">
        <is>
          <t>(blank)</t>
        </is>
      </c>
      <c r="D856" t="inlineStr">
        <is>
          <t>Branch / SYS_FLAG Y</t>
        </is>
      </c>
      <c r="E856" t="inlineStr">
        <is>
          <t>gco_rate</t>
        </is>
      </c>
      <c r="F856" t="inlineStr">
        <is>
          <t>GCO per booked dollar</t>
        </is>
      </c>
      <c r="G856" t="n">
        <v>0</v>
      </c>
      <c r="H856" t="n">
        <v>0</v>
      </c>
      <c r="I856" t="b">
        <v>1</v>
      </c>
      <c r="J856" t="b">
        <v>1</v>
      </c>
      <c r="O856" t="n">
        <v>0</v>
      </c>
      <c r="Q856">
        <f>'_live'!$C$22</f>
        <v/>
      </c>
      <c r="R856" t="inlineStr"/>
      <c r="S856" t="inlineStr"/>
      <c r="T856" t="n">
        <v>0.04160526533333565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I856">
        <f>IF($Y856="worse","Yes",IF($Y856="worse, not significant","Not sure",IF(OR($Y856="too few losses to test",$Y856="too few loans to test"),"Too few losses",IF($Y856="","","No"))))</f>
        <v/>
      </c>
      <c r="AJ856">
        <f>IF($AA856="yes","Yes",IF($AA856="","","No"))</f>
        <v/>
      </c>
      <c r="AM856">
        <f>IF(AND(ISNUMBER($AC856),ISNUMBER(IF($V856,IF($AL856="","",$AL856),IF($AK856="","",$AK856)))),IF(AND(ABS($AC856-significance_bar)&lt;=2.0*IF($V856,IF($AL856="","",$AL856),IF($AK856="","",$AK856)),OR($Y856="worse",$Y856="better",$Y856="worse, not significant",$Y856="better, not significant")),IF(ROUND($AC856,3)=ROUND(significance_bar,3),TEXT($AC856,"0.0000"),TEXT($AC856,"0.000")),""),"")</f>
        <v/>
      </c>
      <c r="AN856">
        <f>IF(AND(ISNUMBER($AC856),ISNUMBER(IF($V856,IF($AL856="","",$AL856),IF($AK856="","",$AK856)))),IF(AND(ABS($AC856-significance_bar)&lt;=2.0*IF($V856,IF($AL856="","",$AL856),IF($AK856="","",$AK856)),OR($Y856="worse",$Y856="worse, not significant")),IF(ROUND($AC856,3)=ROUND(significance_bar,3),TEXT($AC856,"0.0000"),TEXT($AC856,"0.000")),""),"")</f>
        <v/>
      </c>
      <c r="AO856">
        <f>IF(OR($AI856="",$AN856=""),$AI856,$AI856&amp;" · borderline (p "&amp;$AN856&amp;")")</f>
        <v/>
      </c>
    </row>
    <row r="857">
      <c r="A857" t="inlineStr">
        <is>
          <t>three-way</t>
        </is>
      </c>
      <c r="B857" t="inlineStr">
        <is>
          <t>ORIG_BAL x CHANNEL / SYS_FLAG</t>
        </is>
      </c>
      <c r="C857" t="inlineStr">
        <is>
          <t>(blank)</t>
        </is>
      </c>
      <c r="D857" t="inlineStr">
        <is>
          <t>Branch / SYS_FLAG Y</t>
        </is>
      </c>
      <c r="E857" t="inlineStr">
        <is>
          <t>ranr_rate</t>
        </is>
      </c>
      <c r="F857" t="inlineStr">
        <is>
          <t>Profit after losses: RANR per booked dollar</t>
        </is>
      </c>
      <c r="G857" t="n">
        <v>0</v>
      </c>
      <c r="H857" t="n">
        <v>0</v>
      </c>
      <c r="I857" t="b">
        <v>0</v>
      </c>
      <c r="J857" t="b">
        <v>1</v>
      </c>
      <c r="O857" t="n">
        <v>0</v>
      </c>
      <c r="Q857">
        <f>'_live'!$C$23</f>
        <v/>
      </c>
      <c r="R857" t="inlineStr"/>
      <c r="S857" t="inlineStr"/>
      <c r="T857" t="n">
        <v>0.1279900496481481</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I857">
        <f>IF($Y857="worse","Yes",IF($Y857="worse, not significant","Not sure",IF(OR($Y857="too few losses to test",$Y857="too few loans to test"),"Too few losses",IF($Y857="","","No"))))</f>
        <v/>
      </c>
      <c r="AJ857">
        <f>IF($AA857="yes","Yes",IF($AA857="","","No"))</f>
        <v/>
      </c>
      <c r="AM857">
        <f>IF(AND(ISNUMBER($AC857),ISNUMBER(IF($V857,IF($AL857="","",$AL857),IF($AK857="","",$AK857)))),IF(AND(ABS($AC857-significance_bar)&lt;=2.0*IF($V857,IF($AL857="","",$AL857),IF($AK857="","",$AK857)),OR($Y857="worse",$Y857="better",$Y857="worse, not significant",$Y857="better, not significant",AND(profit_kind="test",$Y857="in line",ISNUMBER($AB857),$AB857&lt;&gt;0))),IF(ROUND($AC857,3)=ROUND(significance_bar,3),TEXT($AC857,"0.0000"),TEXT($AC857,"0.000")),""),"")</f>
        <v/>
      </c>
      <c r="AN857">
        <f>IF(AND(ISNUMBER($AC857),ISNUMBER(IF($V857,IF($AL857="","",$AL857),IF($AK857="","",$AK857)))),IF(AND(ABS($AC857-significance_bar)&lt;=2.0*IF($V857,IF($AL857="","",$AL857),IF($AK857="","",$AK857)),OR($Y857="worse",$Y857="worse, not significant",AND(profit_kind="test",$Y857="in line",ISNUMBER($AB857),$AB857&lt;0))),IF(ROUND($AC857,3)=ROUND(significance_bar,3),TEXT($AC857,"0.0000"),TEXT($AC857,"0.000")),""),"")</f>
        <v/>
      </c>
      <c r="AO857">
        <f>IF(OR($AI857="",$AN857=""),$AI857,$AI857&amp;" · borderline (p "&amp;$AN857&amp;")")</f>
        <v/>
      </c>
    </row>
    <row r="858">
      <c r="A858" t="inlineStr">
        <is>
          <t>three-way</t>
        </is>
      </c>
      <c r="B858" t="inlineStr">
        <is>
          <t>ORIG_BAL x CHANNEL / SYS_FLAG</t>
        </is>
      </c>
      <c r="C858" t="inlineStr">
        <is>
          <t>(blank)</t>
        </is>
      </c>
      <c r="D858" t="inlineStr">
        <is>
          <t>Branch / SYS_FLAG Y</t>
        </is>
      </c>
      <c r="E858" t="inlineStr">
        <is>
          <t>contribution_rate</t>
        </is>
      </c>
      <c r="F858" t="inlineStr">
        <is>
          <t>Contribution before losses per booked dollar</t>
        </is>
      </c>
      <c r="G858" t="n">
        <v>0</v>
      </c>
      <c r="H858" t="n">
        <v>0</v>
      </c>
      <c r="I858" t="b">
        <v>0</v>
      </c>
      <c r="J858" t="b">
        <v>1</v>
      </c>
      <c r="O858" t="n">
        <v>0</v>
      </c>
      <c r="Q858">
        <f>'_live'!$C$24</f>
        <v/>
      </c>
      <c r="R858" t="inlineStr"/>
      <c r="S858" t="inlineStr"/>
      <c r="T858" t="n">
        <v>0.1695924557349815</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I858">
        <f>IF($Y858="worse","Yes",IF($Y858="worse, not significant","Not sure",IF(OR($Y858="too few losses to test",$Y858="too few loans to test"),"Too few losses",IF($Y858="","","No"))))</f>
        <v/>
      </c>
      <c r="AJ858">
        <f>IF($AA858="yes","Yes",IF($AA858="","","No"))</f>
        <v/>
      </c>
      <c r="AM858">
        <f>IF(AND(ISNUMBER($AC858),ISNUMBER(IF($V858,IF($AL858="","",$AL858),IF($AK858="","",$AK858)))),IF(AND(ABS($AC858-significance_bar)&lt;=2.0*IF($V858,IF($AL858="","",$AL858),IF($AK858="","",$AK858)),OR($Y858="worse",$Y858="better",$Y858="worse, not significant",$Y858="better, not significant",AND(profit_kind="test",$Y858="in line",ISNUMBER($AB858),$AB858&lt;&gt;0))),IF(ROUND($AC858,3)=ROUND(significance_bar,3),TEXT($AC858,"0.0000"),TEXT($AC858,"0.000")),""),"")</f>
        <v/>
      </c>
      <c r="AN858">
        <f>IF(AND(ISNUMBER($AC858),ISNUMBER(IF($V858,IF($AL858="","",$AL858),IF($AK858="","",$AK858)))),IF(AND(ABS($AC858-significance_bar)&lt;=2.0*IF($V858,IF($AL858="","",$AL858),IF($AK858="","",$AK858)),OR($Y858="worse",$Y858="worse, not significant",AND(profit_kind="test",$Y858="in line",ISNUMBER($AB858),$AB858&lt;0))),IF(ROUND($AC858,3)=ROUND(significance_bar,3),TEXT($AC858,"0.0000"),TEXT($AC858,"0.000")),""),"")</f>
        <v/>
      </c>
      <c r="AO858">
        <f>IF(OR($AI858="",$AN858=""),$AI858,$AI858&amp;" · borderline (p "&amp;$AN858&amp;")")</f>
        <v/>
      </c>
    </row>
    <row r="859">
      <c r="A859" t="inlineStr">
        <is>
          <t>three-way</t>
        </is>
      </c>
      <c r="B859" t="inlineStr">
        <is>
          <t>ORIG_BAL x CHANNEL / SYS_FLAG</t>
        </is>
      </c>
      <c r="C859" t="inlineStr">
        <is>
          <t>26,324 - 37,950</t>
        </is>
      </c>
      <c r="D859" t="inlineStr">
        <is>
          <t>Branch / SYS_FLAG N</t>
        </is>
      </c>
      <c r="E859" t="inlineStr">
        <is>
          <t>outcome_loans</t>
        </is>
      </c>
      <c r="F859" t="inlineStr">
        <is>
          <t>Outcome, share of loans</t>
        </is>
      </c>
      <c r="G859" t="n">
        <v>281</v>
      </c>
      <c r="H859" t="n">
        <v>281</v>
      </c>
      <c r="I859" t="b">
        <v>0</v>
      </c>
      <c r="J859" t="b">
        <v>0</v>
      </c>
      <c r="K859" t="n">
        <v>0.6355813064321637</v>
      </c>
      <c r="L859" t="n">
        <v>0.2437463165666249</v>
      </c>
      <c r="M859" t="n">
        <v>0.6834964412811388</v>
      </c>
      <c r="N859" t="n">
        <v>0.3089623893661799</v>
      </c>
      <c r="O859" t="n">
        <v>-8.027079554288676</v>
      </c>
      <c r="P859" t="n">
        <v>-6.482915717539861</v>
      </c>
      <c r="Q859">
        <f>'_live'!$C$20</f>
        <v/>
      </c>
      <c r="R859" t="inlineStr">
        <is>
          <t>z test</t>
        </is>
      </c>
      <c r="S859" t="inlineStr">
        <is>
          <t>z test</t>
        </is>
      </c>
      <c r="T859" t="n">
        <v>0.07838818346721949</v>
      </c>
      <c r="U859" t="n">
        <v>0.07289293849658314</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0.0498220640569395</v>
      </c>
      <c r="AI859">
        <f>IF($Y859="worse","Yes",IF($Y859="worse, not significant","Not sure",IF(OR($Y859="too few losses to test",$Y859="too few loans to test"),"Too few losses",IF($Y859="","","No"))))</f>
        <v/>
      </c>
      <c r="AJ859">
        <f>IF($AA859="yes","Yes",IF($AA859="","","No"))</f>
        <v/>
      </c>
      <c r="AM859">
        <f>IF(AND(ISNUMBER($AC859),ISNUMBER(IF($V859,IF($AL859="","",$AL859),IF($AK859="","",$AK859)))),IF(AND(ABS($AC859-significance_bar)&lt;=2.0*IF($V859,IF($AL859="","",$AL859),IF($AK859="","",$AK859)),OR($Y859="worse",$Y859="better",$Y859="worse, not significant",$Y859="better, not significant")),IF(ROUND($AC859,3)=ROUND(significance_bar,3),TEXT($AC859,"0.0000"),TEXT($AC859,"0.000")),""),"")</f>
        <v/>
      </c>
      <c r="AN859">
        <f>IF(AND(ISNUMBER($AC859),ISNUMBER(IF($V859,IF($AL859="","",$AL859),IF($AK859="","",$AK859)))),IF(AND(ABS($AC859-significance_bar)&lt;=2.0*IF($V859,IF($AL859="","",$AL859),IF($AK859="","",$AK859)),OR($Y859="worse",$Y859="worse, not significant")),IF(ROUND($AC859,3)=ROUND(significance_bar,3),TEXT($AC859,"0.0000"),TEXT($AC859,"0.000")),""),"")</f>
        <v/>
      </c>
      <c r="AO859">
        <f>IF(OR($AI859="",$AN859=""),$AI859,$AI859&amp;" · borderline (p "&amp;$AN859&amp;")")</f>
        <v/>
      </c>
    </row>
    <row r="860">
      <c r="A860" t="inlineStr">
        <is>
          <t>three-way</t>
        </is>
      </c>
      <c r="B860" t="inlineStr">
        <is>
          <t>ORIG_BAL x CHANNEL / SYS_FLAG</t>
        </is>
      </c>
      <c r="C860" t="inlineStr">
        <is>
          <t>26,324 - 37,950</t>
        </is>
      </c>
      <c r="D860" t="inlineStr">
        <is>
          <t>Branch / SYS_FLAG N</t>
        </is>
      </c>
      <c r="E860" t="inlineStr">
        <is>
          <t>outcome_booked</t>
        </is>
      </c>
      <c r="F860" t="inlineStr">
        <is>
          <t>Outcome, share of booked dollars</t>
        </is>
      </c>
      <c r="G860" t="n">
        <v>281</v>
      </c>
      <c r="H860" t="n">
        <v>8960422.870000003</v>
      </c>
      <c r="I860" t="b">
        <v>0</v>
      </c>
      <c r="J860" t="b">
        <v>0</v>
      </c>
      <c r="K860" t="n">
        <v>0.6631269528011647</v>
      </c>
      <c r="L860" t="n">
        <v>0.362963703629637</v>
      </c>
      <c r="M860" t="n">
        <v>0.6970494253319716</v>
      </c>
      <c r="N860" t="n">
        <v>0.3570576275705762</v>
      </c>
      <c r="O860" t="n">
        <v>-228546.4077499388</v>
      </c>
      <c r="P860" t="n">
        <v>-195529.829625182</v>
      </c>
      <c r="Q860">
        <f>'_live'!$C$21</f>
        <v/>
      </c>
      <c r="R860" t="inlineStr">
        <is>
          <t>shuffled: 1,476 of 10,000</t>
        </is>
      </c>
      <c r="S860" t="inlineStr">
        <is>
          <t>shuffled: 1,912 of 10,000</t>
        </is>
      </c>
      <c r="T860" t="n">
        <v>0.07571459936577063</v>
      </c>
      <c r="U860" t="n">
        <v>0.07202988731548356</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0.05020839155998448</v>
      </c>
      <c r="AI860">
        <f>IF($Y860="worse","Yes",IF($Y860="worse, not significant","Not sure",IF(OR($Y860="too few losses to test",$Y860="too few loans to test"),"Too few losses",IF($Y860="","","No"))))</f>
        <v/>
      </c>
      <c r="AJ860">
        <f>IF($AA860="yes","Yes",IF($AA860="","","No"))</f>
        <v/>
      </c>
      <c r="AK860" t="n">
        <v>0.007708338064114283</v>
      </c>
      <c r="AL860" t="n">
        <v>0.007341780588241162</v>
      </c>
      <c r="AM860">
        <f>IF(AND(ISNUMBER($AC860),ISNUMBER(IF($V860,IF($AL860="","",$AL860),IF($AK860="","",$AK860)))),IF(AND(ABS($AC860-significance_bar)&lt;=2.0*IF($V860,IF($AL860="","",$AL860),IF($AK860="","",$AK860)),OR($Y860="worse",$Y860="better",$Y860="worse, not significant",$Y860="better, not significant")),IF(ROUND($AC860,3)=ROUND(significance_bar,3),TEXT($AC860,"0.0000"),TEXT($AC860,"0.000")),""),"")</f>
        <v/>
      </c>
      <c r="AN860">
        <f>IF(AND(ISNUMBER($AC860),ISNUMBER(IF($V860,IF($AL860="","",$AL860),IF($AK860="","",$AK860)))),IF(AND(ABS($AC860-significance_bar)&lt;=2.0*IF($V860,IF($AL860="","",$AL860),IF($AK860="","",$AK860)),OR($Y860="worse",$Y860="worse, not significant")),IF(ROUND($AC860,3)=ROUND(significance_bar,3),TEXT($AC860,"0.0000"),TEXT($AC860,"0.000")),""),"")</f>
        <v/>
      </c>
      <c r="AO860">
        <f>IF(OR($AI860="",$AN860=""),$AI860,$AI860&amp;" · borderline (p "&amp;$AN860&amp;")")</f>
        <v/>
      </c>
    </row>
    <row r="861">
      <c r="A861" t="inlineStr">
        <is>
          <t>three-way</t>
        </is>
      </c>
      <c r="B861" t="inlineStr">
        <is>
          <t>ORIG_BAL x CHANNEL / SYS_FLAG</t>
        </is>
      </c>
      <c r="C861" t="inlineStr">
        <is>
          <t>26,324 - 37,950</t>
        </is>
      </c>
      <c r="D861" t="inlineStr">
        <is>
          <t>Branch / SYS_FLAG N</t>
        </is>
      </c>
      <c r="E861" t="inlineStr">
        <is>
          <t>gco_rate</t>
        </is>
      </c>
      <c r="F861" t="inlineStr">
        <is>
          <t>GCO per booked dollar</t>
        </is>
      </c>
      <c r="G861" t="n">
        <v>282</v>
      </c>
      <c r="H861" t="n">
        <v>8997410.880000003</v>
      </c>
      <c r="I861" t="b">
        <v>0</v>
      </c>
      <c r="J861" t="b">
        <v>0</v>
      </c>
      <c r="K861" t="n">
        <v>0.6603071849497636</v>
      </c>
      <c r="L861" t="n">
        <v>0.4330233643302336</v>
      </c>
      <c r="M861" t="n">
        <v>0.7038369148504119</v>
      </c>
      <c r="N861" t="n">
        <v>0.3725377462253774</v>
      </c>
      <c r="O861" t="n">
        <v>-128684.7689155019</v>
      </c>
      <c r="P861" t="n">
        <v>-105255.7168576085</v>
      </c>
      <c r="Q861">
        <f>'_live'!$C$22</f>
        <v/>
      </c>
      <c r="R861" t="inlineStr">
        <is>
          <t>shuffled: 1,581 of 10,000</t>
        </is>
      </c>
      <c r="S861" t="inlineStr">
        <is>
          <t>shuffled: 2,128 of 10,000</t>
        </is>
      </c>
      <c r="T861" t="n">
        <v>0.04210398791029779</v>
      </c>
      <c r="U861" t="n">
        <v>0.03950001079172772</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0.02780156573220761</v>
      </c>
      <c r="AI861">
        <f>IF($Y861="worse","Yes",IF($Y861="worse, not significant","Not sure",IF(OR($Y861="too few losses to test",$Y861="too few loans to test"),"Too few losses",IF($Y861="","","No"))))</f>
        <v/>
      </c>
      <c r="AJ861">
        <f>IF($AA861="yes","Yes",IF($AA861="","","No"))</f>
        <v/>
      </c>
      <c r="AK861" t="n">
        <v>0.009071265711288608</v>
      </c>
      <c r="AL861" t="n">
        <v>0.007163495540109779</v>
      </c>
      <c r="AM861">
        <f>IF(AND(ISNUMBER($AC861),ISNUMBER(IF($V861,IF($AL861="","",$AL861),IF($AK861="","",$AK861)))),IF(AND(ABS($AC861-significance_bar)&lt;=2.0*IF($V861,IF($AL861="","",$AL861),IF($AK861="","",$AK861)),OR($Y861="worse",$Y861="better",$Y861="worse, not significant",$Y861="better, not significant")),IF(ROUND($AC861,3)=ROUND(significance_bar,3),TEXT($AC861,"0.0000"),TEXT($AC861,"0.000")),""),"")</f>
        <v/>
      </c>
      <c r="AN861">
        <f>IF(AND(ISNUMBER($AC861),ISNUMBER(IF($V861,IF($AL861="","",$AL861),IF($AK861="","",$AK861)))),IF(AND(ABS($AC861-significance_bar)&lt;=2.0*IF($V861,IF($AL861="","",$AL861),IF($AK861="","",$AK861)),OR($Y861="worse",$Y861="worse, not significant")),IF(ROUND($AC861,3)=ROUND(significance_bar,3),TEXT($AC861,"0.0000"),TEXT($AC861,"0.000")),""),"")</f>
        <v/>
      </c>
      <c r="AO861">
        <f>IF(OR($AI861="",$AN861=""),$AI861,$AI861&amp;" · borderline (p "&amp;$AN861&amp;")")</f>
        <v/>
      </c>
    </row>
    <row r="862">
      <c r="A862" t="inlineStr">
        <is>
          <t>three-way</t>
        </is>
      </c>
      <c r="B862" t="inlineStr">
        <is>
          <t>ORIG_BAL x CHANNEL / SYS_FLAG</t>
        </is>
      </c>
      <c r="C862" t="inlineStr">
        <is>
          <t>26,324 - 37,950</t>
        </is>
      </c>
      <c r="D862" t="inlineStr">
        <is>
          <t>Branch / SYS_FLAG N</t>
        </is>
      </c>
      <c r="E862" t="inlineStr">
        <is>
          <t>ranr_rate</t>
        </is>
      </c>
      <c r="F862" t="inlineStr">
        <is>
          <t>Profit after losses: RANR per booked dollar</t>
        </is>
      </c>
      <c r="G862" t="n">
        <v>282</v>
      </c>
      <c r="H862" t="n">
        <v>8997410.880000003</v>
      </c>
      <c r="I862" t="b">
        <v>0</v>
      </c>
      <c r="J862" t="b">
        <v>0</v>
      </c>
      <c r="K862" t="n">
        <v>0.006617441220660325</v>
      </c>
      <c r="L862" t="n">
        <v>0.7374262573742625</v>
      </c>
      <c r="M862" t="n">
        <v>0.003730894799131551</v>
      </c>
      <c r="N862" t="n">
        <v>0.7556244375562444</v>
      </c>
      <c r="O862" t="n">
        <v>-59539.8376365297</v>
      </c>
      <c r="P862" t="n">
        <v>-33568.39345784159</v>
      </c>
      <c r="Q862">
        <f>'_live'!$C$23</f>
        <v/>
      </c>
      <c r="R862" t="inlineStr">
        <is>
          <t>shuffled: 5,899 of 10,000</t>
        </is>
      </c>
      <c r="S862" t="inlineStr">
        <is>
          <t>shuffled: 7,556 of 10,000</t>
        </is>
      </c>
      <c r="T862" t="n">
        <v>0.1277593362906941</v>
      </c>
      <c r="U862" t="n">
        <v>0.1306458827122228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0.1343767775113544</v>
      </c>
      <c r="AI862">
        <f>IF($Y862="worse","Yes",IF($Y862="worse, not significant","Not sure",IF(OR($Y862="too few losses to test",$Y862="too few loans to test"),"Too few losses",IF($Y862="","","No"))))</f>
        <v/>
      </c>
      <c r="AJ862">
        <f>IF($AA862="yes","Yes",IF($AA862="","","No"))</f>
        <v/>
      </c>
      <c r="AK862" t="n">
        <v>0.006148051208739368</v>
      </c>
      <c r="AL862" t="n">
        <v>0.0042971635636086</v>
      </c>
      <c r="AM862">
        <f>IF(AND(ISNUMBER($AC862),ISNUMBER(IF($V862,IF($AL862="","",$AL862),IF($AK862="","",$AK862)))),IF(AND(ABS($AC862-significance_bar)&lt;=2.0*IF($V862,IF($AL862="","",$AL862),IF($AK862="","",$AK862)),OR($Y862="worse",$Y862="better",$Y862="worse, not significant",$Y862="better, not significant",AND(profit_kind="test",$Y862="in line",ISNUMBER($AB862),$AB862&lt;&gt;0))),IF(ROUND($AC862,3)=ROUND(significance_bar,3),TEXT($AC862,"0.0000"),TEXT($AC862,"0.000")),""),"")</f>
        <v/>
      </c>
      <c r="AN862">
        <f>IF(AND(ISNUMBER($AC862),ISNUMBER(IF($V862,IF($AL862="","",$AL862),IF($AK862="","",$AK862)))),IF(AND(ABS($AC862-significance_bar)&lt;=2.0*IF($V862,IF($AL862="","",$AL862),IF($AK862="","",$AK862)),OR($Y862="worse",$Y862="worse, not significant",AND(profit_kind="test",$Y862="in line",ISNUMBER($AB862),$AB862&lt;0))),IF(ROUND($AC862,3)=ROUND(significance_bar,3),TEXT($AC862,"0.0000"),TEXT($AC862,"0.000")),""),"")</f>
        <v/>
      </c>
      <c r="AO862">
        <f>IF(OR($AI862="",$AN862=""),$AI862,$AI862&amp;" · borderline (p "&amp;$AN862&amp;")")</f>
        <v/>
      </c>
    </row>
    <row r="863">
      <c r="A863" t="inlineStr">
        <is>
          <t>three-way</t>
        </is>
      </c>
      <c r="B863" t="inlineStr">
        <is>
          <t>ORIG_BAL x CHANNEL / SYS_FLAG</t>
        </is>
      </c>
      <c r="C863" t="inlineStr">
        <is>
          <t>26,324 - 37,950</t>
        </is>
      </c>
      <c r="D863" t="inlineStr">
        <is>
          <t>Branch / SYS_FLAG N</t>
        </is>
      </c>
      <c r="E863" t="inlineStr">
        <is>
          <t>contribution_rate</t>
        </is>
      </c>
      <c r="F863" t="inlineStr">
        <is>
          <t>Contribution before losses per booked dollar</t>
        </is>
      </c>
      <c r="G863" t="n">
        <v>282</v>
      </c>
      <c r="H863" t="n">
        <v>8997410.880000003</v>
      </c>
      <c r="I863" t="b">
        <v>0</v>
      </c>
      <c r="J863" t="b">
        <v>0</v>
      </c>
      <c r="K863" t="n">
        <v>-0.007681981642042424</v>
      </c>
      <c r="L863" t="n">
        <v>0.479380633365235</v>
      </c>
      <c r="M863" t="n">
        <v>-0.007967550260388562</v>
      </c>
      <c r="N863" t="n">
        <v>0.4053344665533447</v>
      </c>
      <c r="O863" t="n">
        <v>69117.94520607288</v>
      </c>
      <c r="P863" t="n">
        <v>71687.32339976681</v>
      </c>
      <c r="Q863">
        <f>'_live'!$C$24</f>
        <v/>
      </c>
      <c r="R863" t="inlineStr">
        <is>
          <t>shuffled: 3,355 of 10,000</t>
        </is>
      </c>
      <c r="S863" t="inlineStr">
        <is>
          <t>shuffled: 3,242 of 10,000</t>
        </is>
      </c>
      <c r="T863" t="n">
        <v>0.1698603248856044</v>
      </c>
      <c r="U863" t="n">
        <v>0.1701458935039505</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0.162178343243562</v>
      </c>
      <c r="AI863">
        <f>IF($Y863="worse","Yes",IF($Y863="worse, not significant","Not sure",IF(OR($Y863="too few losses to test",$Y863="too few loans to test"),"Too few losses",IF($Y863="","","No"))))</f>
        <v/>
      </c>
      <c r="AJ863">
        <f>IF($AA863="yes","Yes",IF($AA863="","","No"))</f>
        <v/>
      </c>
      <c r="AK863" t="n">
        <v>0.006745544341195869</v>
      </c>
      <c r="AL863" t="n">
        <v>0.005851256731810666</v>
      </c>
      <c r="AM863">
        <f>IF(AND(ISNUMBER($AC863),ISNUMBER(IF($V863,IF($AL863="","",$AL863),IF($AK863="","",$AK863)))),IF(AND(ABS($AC863-significance_bar)&lt;=2.0*IF($V863,IF($AL863="","",$AL863),IF($AK863="","",$AK863)),OR($Y863="worse",$Y863="better",$Y863="worse, not significant",$Y863="better, not significant",AND(profit_kind="test",$Y863="in line",ISNUMBER($AB863),$AB863&lt;&gt;0))),IF(ROUND($AC863,3)=ROUND(significance_bar,3),TEXT($AC863,"0.0000"),TEXT($AC863,"0.000")),""),"")</f>
        <v/>
      </c>
      <c r="AN863">
        <f>IF(AND(ISNUMBER($AC863),ISNUMBER(IF($V863,IF($AL863="","",$AL863),IF($AK863="","",$AK863)))),IF(AND(ABS($AC863-significance_bar)&lt;=2.0*IF($V863,IF($AL863="","",$AL863),IF($AK863="","",$AK863)),OR($Y863="worse",$Y863="worse, not significant",AND(profit_kind="test",$Y863="in line",ISNUMBER($AB863),$AB863&lt;0))),IF(ROUND($AC863,3)=ROUND(significance_bar,3),TEXT($AC863,"0.0000"),TEXT($AC863,"0.000")),""),"")</f>
        <v/>
      </c>
      <c r="AO863">
        <f>IF(OR($AI863="",$AN863=""),$AI863,$AI863&amp;" · borderline (p "&amp;$AN863&amp;")")</f>
        <v/>
      </c>
    </row>
    <row r="864">
      <c r="A864" t="inlineStr">
        <is>
          <t>three-way</t>
        </is>
      </c>
      <c r="B864" t="inlineStr">
        <is>
          <t>ORIG_BAL x CHANNEL / SYS_FLAG</t>
        </is>
      </c>
      <c r="C864" t="inlineStr">
        <is>
          <t>26,324 - 37,950</t>
        </is>
      </c>
      <c r="D864" t="inlineStr">
        <is>
          <t>Branch / SYS_FLAG Y</t>
        </is>
      </c>
      <c r="E864" t="inlineStr">
        <is>
          <t>outcome_loans</t>
        </is>
      </c>
      <c r="F864" t="inlineStr">
        <is>
          <t>Outcome, share of loans</t>
        </is>
      </c>
      <c r="G864" t="n">
        <v>236</v>
      </c>
      <c r="H864" t="n">
        <v>236</v>
      </c>
      <c r="I864" t="b">
        <v>0</v>
      </c>
      <c r="J864" t="b">
        <v>0</v>
      </c>
      <c r="K864" t="n">
        <v>1.041645480225988</v>
      </c>
      <c r="L864" t="n">
        <v>0.8973066416828898</v>
      </c>
      <c r="M864" t="n">
        <v>1.204972993108586</v>
      </c>
      <c r="N864" t="n">
        <v>0.5906343643372495</v>
      </c>
      <c r="O864" t="n">
        <v>0.7596290094035787</v>
      </c>
      <c r="P864" t="n">
        <v>3.232011747430247</v>
      </c>
      <c r="Q864">
        <f>'_live'!$C$20</f>
        <v/>
      </c>
      <c r="R864" t="inlineStr">
        <is>
          <t>z test</t>
        </is>
      </c>
      <c r="S864" t="inlineStr">
        <is>
          <t>z test</t>
        </is>
      </c>
      <c r="T864" t="n">
        <v>0.07728970758727297</v>
      </c>
      <c r="U864" t="n">
        <v>0.06681350954478708</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0.08050847457627118</v>
      </c>
      <c r="AI864">
        <f>IF($Y864="worse","Yes",IF($Y864="worse, not significant","Not sure",IF(OR($Y864="too few losses to test",$Y864="too few loans to test"),"Too few losses",IF($Y864="","","No"))))</f>
        <v/>
      </c>
      <c r="AJ864">
        <f>IF($AA864="yes","Yes",IF($AA864="","","No"))</f>
        <v/>
      </c>
      <c r="AM864">
        <f>IF(AND(ISNUMBER($AC864),ISNUMBER(IF($V864,IF($AL864="","",$AL864),IF($AK864="","",$AK864)))),IF(AND(ABS($AC864-significance_bar)&lt;=2.0*IF($V864,IF($AL864="","",$AL864),IF($AK864="","",$AK864)),OR($Y864="worse",$Y864="better",$Y864="worse, not significant",$Y864="better, not significant")),IF(ROUND($AC864,3)=ROUND(significance_bar,3),TEXT($AC864,"0.0000"),TEXT($AC864,"0.000")),""),"")</f>
        <v/>
      </c>
      <c r="AN864">
        <f>IF(AND(ISNUMBER($AC864),ISNUMBER(IF($V864,IF($AL864="","",$AL864),IF($AK864="","",$AK864)))),IF(AND(ABS($AC864-significance_bar)&lt;=2.0*IF($V864,IF($AL864="","",$AL864),IF($AK864="","",$AK864)),OR($Y864="worse",$Y864="worse, not significant")),IF(ROUND($AC864,3)=ROUND(significance_bar,3),TEXT($AC864,"0.0000"),TEXT($AC864,"0.000")),""),"")</f>
        <v/>
      </c>
      <c r="AO864">
        <f>IF(OR($AI864="",$AN864=""),$AI864,$AI864&amp;" · borderline (p "&amp;$AN864&amp;")")</f>
        <v/>
      </c>
    </row>
    <row r="865">
      <c r="A865" t="inlineStr">
        <is>
          <t>three-way</t>
        </is>
      </c>
      <c r="B865" t="inlineStr">
        <is>
          <t>ORIG_BAL x CHANNEL / SYS_FLAG</t>
        </is>
      </c>
      <c r="C865" t="inlineStr">
        <is>
          <t>26,324 - 37,950</t>
        </is>
      </c>
      <c r="D865" t="inlineStr">
        <is>
          <t>Branch / SYS_FLAG Y</t>
        </is>
      </c>
      <c r="E865" t="inlineStr">
        <is>
          <t>outcome_booked</t>
        </is>
      </c>
      <c r="F865" t="inlineStr">
        <is>
          <t>Outcome, share of booked dollars</t>
        </is>
      </c>
      <c r="G865" t="n">
        <v>236</v>
      </c>
      <c r="H865" t="n">
        <v>7589959.149999998</v>
      </c>
      <c r="I865" t="b">
        <v>0</v>
      </c>
      <c r="J865" t="b">
        <v>0</v>
      </c>
      <c r="K865" t="n">
        <v>1.027055622856676</v>
      </c>
      <c r="L865" t="n">
        <v>0.9116088391160885</v>
      </c>
      <c r="M865" t="n">
        <v>1.150745468830766</v>
      </c>
      <c r="N865" t="n">
        <v>0.7688564476885644</v>
      </c>
      <c r="O865" t="n">
        <v>15353.96913542517</v>
      </c>
      <c r="P865" t="n">
        <v>76352.29308182176</v>
      </c>
      <c r="Q865">
        <f>'_live'!$C$21</f>
        <v/>
      </c>
      <c r="R865" t="inlineStr">
        <is>
          <t>shuffled: 9,116 of 10,000</t>
        </is>
      </c>
      <c r="S865" t="inlineStr">
        <is>
          <t>shuffled: 5,766 of 10,000</t>
        </is>
      </c>
      <c r="T865" t="n">
        <v>0.07476936432056751</v>
      </c>
      <c r="U865" t="n">
        <v>0.06673265124466161</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0.07679229604285816</v>
      </c>
      <c r="AI865">
        <f>IF($Y865="worse","Yes",IF($Y865="worse, not significant","Not sure",IF(OR($Y865="too few losses to test",$Y865="too few loans to test"),"Too few losses",IF($Y865="","","No"))))</f>
        <v/>
      </c>
      <c r="AJ865">
        <f>IF($AA865="yes","Yes",IF($AA865="","","No"))</f>
        <v/>
      </c>
      <c r="AK865" t="n">
        <v>0.002838629309393991</v>
      </c>
      <c r="AL865" t="n">
        <v>0.006587880486917936</v>
      </c>
      <c r="AM865">
        <f>IF(AND(ISNUMBER($AC865),ISNUMBER(IF($V865,IF($AL865="","",$AL865),IF($AK865="","",$AK865)))),IF(AND(ABS($AC865-significance_bar)&lt;=2.0*IF($V865,IF($AL865="","",$AL865),IF($AK865="","",$AK865)),OR($Y865="worse",$Y865="better",$Y865="worse, not significant",$Y865="better, not significant")),IF(ROUND($AC865,3)=ROUND(significance_bar,3),TEXT($AC865,"0.0000"),TEXT($AC865,"0.000")),""),"")</f>
        <v/>
      </c>
      <c r="AN865">
        <f>IF(AND(ISNUMBER($AC865),ISNUMBER(IF($V865,IF($AL865="","",$AL865),IF($AK865="","",$AK865)))),IF(AND(ABS($AC865-significance_bar)&lt;=2.0*IF($V865,IF($AL865="","",$AL865),IF($AK865="","",$AK865)),OR($Y865="worse",$Y865="worse, not significant")),IF(ROUND($AC865,3)=ROUND(significance_bar,3),TEXT($AC865,"0.0000"),TEXT($AC865,"0.000")),""),"")</f>
        <v/>
      </c>
      <c r="AO865">
        <f>IF(OR($AI865="",$AN865=""),$AI865,$AI865&amp;" · borderline (p "&amp;$AN865&amp;")")</f>
        <v/>
      </c>
    </row>
    <row r="866">
      <c r="A866" t="inlineStr">
        <is>
          <t>three-way</t>
        </is>
      </c>
      <c r="B866" t="inlineStr">
        <is>
          <t>ORIG_BAL x CHANNEL / SYS_FLAG</t>
        </is>
      </c>
      <c r="C866" t="inlineStr">
        <is>
          <t>26,324 - 37,950</t>
        </is>
      </c>
      <c r="D866" t="inlineStr">
        <is>
          <t>Branch / SYS_FLAG Y</t>
        </is>
      </c>
      <c r="E866" t="inlineStr">
        <is>
          <t>gco_rate</t>
        </is>
      </c>
      <c r="F866" t="inlineStr">
        <is>
          <t>GCO per booked dollar</t>
        </is>
      </c>
      <c r="G866" t="n">
        <v>236</v>
      </c>
      <c r="H866" t="n">
        <v>7589959.149999998</v>
      </c>
      <c r="I866" t="b">
        <v>0</v>
      </c>
      <c r="J866" t="b">
        <v>0</v>
      </c>
      <c r="K866" t="n">
        <v>1.057939370786628</v>
      </c>
      <c r="L866" t="n">
        <v>0.9822017798220178</v>
      </c>
      <c r="M866" t="n">
        <v>1.209650086485404</v>
      </c>
      <c r="N866" t="n">
        <v>0.7044095590440955</v>
      </c>
      <c r="O866" t="n">
        <v>18265.09656335379</v>
      </c>
      <c r="P866" t="n">
        <v>57802.18593246752</v>
      </c>
      <c r="Q866">
        <f>'_live'!$C$22</f>
        <v/>
      </c>
      <c r="R866" t="inlineStr">
        <is>
          <t>shuffled: 8,223 of 10,000</t>
        </is>
      </c>
      <c r="S866" t="inlineStr">
        <is>
          <t>shuffled: 4,547 of 10,000</t>
        </is>
      </c>
      <c r="T866" t="n">
        <v>0.0415344782766909</v>
      </c>
      <c r="U866" t="n">
        <v>0.03632534755704615</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0.04394095981399322</v>
      </c>
      <c r="AI866">
        <f>IF($Y866="worse","Yes",IF($Y866="worse, not significant","Not sure",IF(OR($Y866="too few losses to test",$Y866="too few loans to test"),"Too few losses",IF($Y866="","","No"))))</f>
        <v/>
      </c>
      <c r="AJ866">
        <f>IF($AA866="yes","Yes",IF($AA866="","","No"))</f>
        <v/>
      </c>
      <c r="AK866" t="n">
        <v>0.001322174101110676</v>
      </c>
      <c r="AL866" t="n">
        <v>0.006999861111400973</v>
      </c>
      <c r="AM866">
        <f>IF(AND(ISNUMBER($AC866),ISNUMBER(IF($V866,IF($AL866="","",$AL866),IF($AK866="","",$AK866)))),IF(AND(ABS($AC866-significance_bar)&lt;=2.0*IF($V866,IF($AL866="","",$AL866),IF($AK866="","",$AK866)),OR($Y866="worse",$Y866="better",$Y866="worse, not significant",$Y866="better, not significant")),IF(ROUND($AC866,3)=ROUND(significance_bar,3),TEXT($AC866,"0.0000"),TEXT($AC866,"0.000")),""),"")</f>
        <v/>
      </c>
      <c r="AN866">
        <f>IF(AND(ISNUMBER($AC866),ISNUMBER(IF($V866,IF($AL866="","",$AL866),IF($AK866="","",$AK866)))),IF(AND(ABS($AC866-significance_bar)&lt;=2.0*IF($V866,IF($AL866="","",$AL866),IF($AK866="","",$AK866)),OR($Y866="worse",$Y866="worse, not significant")),IF(ROUND($AC866,3)=ROUND(significance_bar,3),TEXT($AC866,"0.0000"),TEXT($AC866,"0.000")),""),"")</f>
        <v/>
      </c>
      <c r="AO866">
        <f>IF(OR($AI866="",$AN866=""),$AI866,$AI866&amp;" · borderline (p "&amp;$AN866&amp;")")</f>
        <v/>
      </c>
    </row>
    <row r="867">
      <c r="A867" t="inlineStr">
        <is>
          <t>three-way</t>
        </is>
      </c>
      <c r="B867" t="inlineStr">
        <is>
          <t>ORIG_BAL x CHANNEL / SYS_FLAG</t>
        </is>
      </c>
      <c r="C867" t="inlineStr">
        <is>
          <t>26,324 - 37,950</t>
        </is>
      </c>
      <c r="D867" t="inlineStr">
        <is>
          <t>Branch / SYS_FLAG Y</t>
        </is>
      </c>
      <c r="E867" t="inlineStr">
        <is>
          <t>ranr_rate</t>
        </is>
      </c>
      <c r="F867" t="inlineStr">
        <is>
          <t>Profit after losses: RANR per booked dollar</t>
        </is>
      </c>
      <c r="G867" t="n">
        <v>236</v>
      </c>
      <c r="H867" t="n">
        <v>7589959.149999998</v>
      </c>
      <c r="I867" t="b">
        <v>0</v>
      </c>
      <c r="J867" t="b">
        <v>0</v>
      </c>
      <c r="K867" t="n">
        <v>-0.01439304102746682</v>
      </c>
      <c r="L867" t="n">
        <v>0.555944405559444</v>
      </c>
      <c r="M867" t="n">
        <v>-0.0202752646199003</v>
      </c>
      <c r="N867" t="n">
        <v>0.2337623380519091</v>
      </c>
      <c r="O867" t="n">
        <v>109242.5934427471</v>
      </c>
      <c r="P867" t="n">
        <v>153888.4302204835</v>
      </c>
      <c r="Q867">
        <f>'_live'!$C$23</f>
        <v/>
      </c>
      <c r="R867" t="inlineStr">
        <is>
          <t>shuffled: 2,779 of 10,000</t>
        </is>
      </c>
      <c r="S867" t="inlineStr">
        <is>
          <t>shuffled: 1,090 of 10,000</t>
        </is>
      </c>
      <c r="T867" t="n">
        <v>0.1284133582514403</v>
      </c>
      <c r="U867" t="n">
        <v>0.1342955818438738</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0.1140203172239735</v>
      </c>
      <c r="AI867">
        <f>IF($Y867="worse","Yes",IF($Y867="worse, not significant","Not sure",IF(OR($Y867="too few losses to test",$Y867="too few loans to test"),"Too few losses",IF($Y867="","","No"))))</f>
        <v/>
      </c>
      <c r="AJ867">
        <f>IF($AA867="yes","Yes",IF($AA867="","","No"))</f>
        <v/>
      </c>
      <c r="AK867" t="n">
        <v>0.008959992349584035</v>
      </c>
      <c r="AL867" t="n">
        <v>0.0066803777223599</v>
      </c>
      <c r="AM867">
        <f>IF(AND(ISNUMBER($AC867),ISNUMBER(IF($V867,IF($AL867="","",$AL867),IF($AK867="","",$AK867)))),IF(AND(ABS($AC867-significance_bar)&lt;=2.0*IF($V867,IF($AL867="","",$AL867),IF($AK867="","",$AK867)),OR($Y867="worse",$Y867="better",$Y867="worse, not significant",$Y867="better, not significant",AND(profit_kind="test",$Y867="in line",ISNUMBER($AB867),$AB867&lt;&gt;0))),IF(ROUND($AC867,3)=ROUND(significance_bar,3),TEXT($AC867,"0.0000"),TEXT($AC867,"0.000")),""),"")</f>
        <v/>
      </c>
      <c r="AN867">
        <f>IF(AND(ISNUMBER($AC867),ISNUMBER(IF($V867,IF($AL867="","",$AL867),IF($AK867="","",$AK867)))),IF(AND(ABS($AC867-significance_bar)&lt;=2.0*IF($V867,IF($AL867="","",$AL867),IF($AK867="","",$AK867)),OR($Y867="worse",$Y867="worse, not significant",AND(profit_kind="test",$Y867="in line",ISNUMBER($AB867),$AB867&lt;0))),IF(ROUND($AC867,3)=ROUND(significance_bar,3),TEXT($AC867,"0.0000"),TEXT($AC867,"0.000")),""),"")</f>
        <v/>
      </c>
      <c r="AO867">
        <f>IF(OR($AI867="",$AN867=""),$AI867,$AI867&amp;" · borderline (p "&amp;$AN867&amp;")")</f>
        <v/>
      </c>
    </row>
    <row r="868">
      <c r="A868" t="inlineStr">
        <is>
          <t>three-way</t>
        </is>
      </c>
      <c r="B868" t="inlineStr">
        <is>
          <t>ORIG_BAL x CHANNEL / SYS_FLAG</t>
        </is>
      </c>
      <c r="C868" t="inlineStr">
        <is>
          <t>26,324 - 37,950</t>
        </is>
      </c>
      <c r="D868" t="inlineStr">
        <is>
          <t>Branch / SYS_FLAG Y</t>
        </is>
      </c>
      <c r="E868" t="inlineStr">
        <is>
          <t>contribution_rate</t>
        </is>
      </c>
      <c r="F868" t="inlineStr">
        <is>
          <t>Contribution before losses per booked dollar</t>
        </is>
      </c>
      <c r="G868" t="n">
        <v>236</v>
      </c>
      <c r="H868" t="n">
        <v>7589959.149999998</v>
      </c>
      <c r="I868" t="b">
        <v>0</v>
      </c>
      <c r="J868" t="b">
        <v>0</v>
      </c>
      <c r="K868" t="n">
        <v>-0.01198368066680963</v>
      </c>
      <c r="L868" t="n">
        <v>0.3228624505970455</v>
      </c>
      <c r="M868" t="n">
        <v>-0.01265965236295316</v>
      </c>
      <c r="N868" t="n">
        <v>0.3046838173325525</v>
      </c>
      <c r="O868" t="n">
        <v>90955.64672772982</v>
      </c>
      <c r="P868" t="n">
        <v>96086.24428801541</v>
      </c>
      <c r="Q868">
        <f>'_live'!$C$24</f>
        <v/>
      </c>
      <c r="R868" t="inlineStr">
        <is>
          <t>shuffled: 1,729 of 10,000</t>
        </is>
      </c>
      <c r="S868" t="inlineStr">
        <is>
          <t>shuffled: 1,421 of 10,000</t>
        </is>
      </c>
      <c r="T868" t="n">
        <v>0.1699449577047764</v>
      </c>
      <c r="U868" t="n">
        <v>0.1706209294009199</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0.1579612770379667</v>
      </c>
      <c r="AI868">
        <f>IF($Y868="worse","Yes",IF($Y868="worse, not significant","Not sure",IF(OR($Y868="too few losses to test",$Y868="too few loans to test"),"Too few losses",IF($Y868="","","No"))))</f>
        <v/>
      </c>
      <c r="AJ868">
        <f>IF($AA868="yes","Yes",IF($AA868="","","No"))</f>
        <v/>
      </c>
      <c r="AK868" t="n">
        <v>0.00636822310167167</v>
      </c>
      <c r="AL868" t="n">
        <v>0.007483726783760246</v>
      </c>
      <c r="AM868">
        <f>IF(AND(ISNUMBER($AC868),ISNUMBER(IF($V868,IF($AL868="","",$AL868),IF($AK868="","",$AK868)))),IF(AND(ABS($AC868-significance_bar)&lt;=2.0*IF($V868,IF($AL868="","",$AL868),IF($AK868="","",$AK868)),OR($Y868="worse",$Y868="better",$Y868="worse, not significant",$Y868="better, not significant",AND(profit_kind="test",$Y868="in line",ISNUMBER($AB868),$AB868&lt;&gt;0))),IF(ROUND($AC868,3)=ROUND(significance_bar,3),TEXT($AC868,"0.0000"),TEXT($AC868,"0.000")),""),"")</f>
        <v/>
      </c>
      <c r="AN868">
        <f>IF(AND(ISNUMBER($AC868),ISNUMBER(IF($V868,IF($AL868="","",$AL868),IF($AK868="","",$AK868)))),IF(AND(ABS($AC868-significance_bar)&lt;=2.0*IF($V868,IF($AL868="","",$AL868),IF($AK868="","",$AK868)),OR($Y868="worse",$Y868="worse, not significant",AND(profit_kind="test",$Y868="in line",ISNUMBER($AB868),$AB868&lt;0))),IF(ROUND($AC868,3)=ROUND(significance_bar,3),TEXT($AC868,"0.0000"),TEXT($AC868,"0.000")),""),"")</f>
        <v/>
      </c>
      <c r="AO868">
        <f>IF(OR($AI868="",$AN868=""),$AI868,$AI868&amp;" · borderline (p "&amp;$AN868&amp;")")</f>
        <v/>
      </c>
    </row>
    <row r="869">
      <c r="A869" t="inlineStr">
        <is>
          <t>three-way</t>
        </is>
      </c>
      <c r="B869" t="inlineStr">
        <is>
          <t>ORIG_BAL x CHANNEL / SYS_FLAG</t>
        </is>
      </c>
      <c r="C869" t="inlineStr">
        <is>
          <t>37,951 - 49,151</t>
        </is>
      </c>
      <c r="D869" t="inlineStr">
        <is>
          <t>Branch / SYS_FLAG Y</t>
        </is>
      </c>
      <c r="E869" t="inlineStr">
        <is>
          <t>outcome_loans</t>
        </is>
      </c>
      <c r="F869" t="inlineStr">
        <is>
          <t>Outcome, share of loans</t>
        </is>
      </c>
      <c r="G869" t="n">
        <v>257</v>
      </c>
      <c r="H869" t="n">
        <v>257</v>
      </c>
      <c r="I869" t="b">
        <v>0</v>
      </c>
      <c r="J869" t="b">
        <v>0</v>
      </c>
      <c r="K869" t="n">
        <v>1.162523176559685</v>
      </c>
      <c r="L869" t="n">
        <v>0.6782122212982824</v>
      </c>
      <c r="M869" t="n">
        <v>1.082798752059452</v>
      </c>
      <c r="N869" t="n">
        <v>0.8987489474994704</v>
      </c>
      <c r="O869" t="n">
        <v>3.215448204598296</v>
      </c>
      <c r="P869" t="n">
        <v>1.758749069247951</v>
      </c>
      <c r="Q869">
        <f>'_live'!$C$20</f>
        <v/>
      </c>
      <c r="R869" t="inlineStr">
        <is>
          <t>z test</t>
        </is>
      </c>
      <c r="S869" t="inlineStr">
        <is>
          <t>z test</t>
        </is>
      </c>
      <c r="T869" t="n">
        <v>0.07698269181090157</v>
      </c>
      <c r="U869" t="n">
        <v>0.08265078183172003</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0.08949416342412451</v>
      </c>
      <c r="AI869">
        <f>IF($Y869="worse","Yes",IF($Y869="worse, not significant","Not sure",IF(OR($Y869="too few losses to test",$Y869="too few loans to test"),"Too few losses",IF($Y869="","","No"))))</f>
        <v/>
      </c>
      <c r="AJ869">
        <f>IF($AA869="yes","Yes",IF($AA869="","","No"))</f>
        <v/>
      </c>
      <c r="AM869">
        <f>IF(AND(ISNUMBER($AC869),ISNUMBER(IF($V869,IF($AL869="","",$AL869),IF($AK869="","",$AK869)))),IF(AND(ABS($AC869-significance_bar)&lt;=2.0*IF($V869,IF($AL869="","",$AL869),IF($AK869="","",$AK869)),OR($Y869="worse",$Y869="better",$Y869="worse, not significant",$Y869="better, not significant")),IF(ROUND($AC869,3)=ROUND(significance_bar,3),TEXT($AC869,"0.0000"),TEXT($AC869,"0.000")),""),"")</f>
        <v/>
      </c>
      <c r="AN869">
        <f>IF(AND(ISNUMBER($AC869),ISNUMBER(IF($V869,IF($AL869="","",$AL869),IF($AK869="","",$AK869)))),IF(AND(ABS($AC869-significance_bar)&lt;=2.0*IF($V869,IF($AL869="","",$AL869),IF($AK869="","",$AK869)),OR($Y869="worse",$Y869="worse, not significant")),IF(ROUND($AC869,3)=ROUND(significance_bar,3),TEXT($AC869,"0.0000"),TEXT($AC869,"0.000")),""),"")</f>
        <v/>
      </c>
      <c r="AO869">
        <f>IF(OR($AI869="",$AN869=""),$AI869,$AI869&amp;" · borderline (p "&amp;$AN869&amp;")")</f>
        <v/>
      </c>
    </row>
    <row r="870">
      <c r="A870" t="inlineStr">
        <is>
          <t>three-way</t>
        </is>
      </c>
      <c r="B870" t="inlineStr">
        <is>
          <t>ORIG_BAL x CHANNEL / SYS_FLAG</t>
        </is>
      </c>
      <c r="C870" t="inlineStr">
        <is>
          <t>37,951 - 49,151</t>
        </is>
      </c>
      <c r="D870" t="inlineStr">
        <is>
          <t>Branch / SYS_FLAG Y</t>
        </is>
      </c>
      <c r="E870" t="inlineStr">
        <is>
          <t>outcome_booked</t>
        </is>
      </c>
      <c r="F870" t="inlineStr">
        <is>
          <t>Outcome, share of booked dollars</t>
        </is>
      </c>
      <c r="G870" t="n">
        <v>257</v>
      </c>
      <c r="H870" t="n">
        <v>11195501.51</v>
      </c>
      <c r="I870" t="b">
        <v>0</v>
      </c>
      <c r="J870" t="b">
        <v>0</v>
      </c>
      <c r="K870" t="n">
        <v>1.158969818120893</v>
      </c>
      <c r="L870" t="n">
        <v>0.8179603092322347</v>
      </c>
      <c r="M870" t="n">
        <v>1.04391121631503</v>
      </c>
      <c r="N870" t="n">
        <v>0.9031250721081737</v>
      </c>
      <c r="O870" t="n">
        <v>132264.1631187387</v>
      </c>
      <c r="P870" t="n">
        <v>40561.26959916449</v>
      </c>
      <c r="Q870">
        <f>'_live'!$C$21</f>
        <v/>
      </c>
      <c r="R870" t="inlineStr">
        <is>
          <t>shuffled: 5,287 of 10,000</t>
        </is>
      </c>
      <c r="S870" t="inlineStr">
        <is>
          <t>shuffled: 8,357 of 10,000</t>
        </is>
      </c>
      <c r="T870" t="n">
        <v>0.07431627927861013</v>
      </c>
      <c r="U870" t="n">
        <v>0.08250732757043196</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0.08613032467895225</v>
      </c>
      <c r="AI870">
        <f>IF($Y870="worse","Yes",IF($Y870="worse, not significant","Not sure",IF(OR($Y870="too few losses to test",$Y870="too few loans to test"),"Too few losses",IF($Y870="","","No"))))</f>
        <v/>
      </c>
      <c r="AJ870">
        <f>IF($AA870="yes","Yes",IF($AA870="","","No"))</f>
        <v/>
      </c>
      <c r="AK870" t="n">
        <v>0.007323633832145582</v>
      </c>
      <c r="AL870" t="n">
        <v>0.003961834620863371</v>
      </c>
      <c r="AM870">
        <f>IF(AND(ISNUMBER($AC870),ISNUMBER(IF($V870,IF($AL870="","",$AL870),IF($AK870="","",$AK870)))),IF(AND(ABS($AC870-significance_bar)&lt;=2.0*IF($V870,IF($AL870="","",$AL870),IF($AK870="","",$AK870)),OR($Y870="worse",$Y870="better",$Y870="worse, not significant",$Y870="better, not significant")),IF(ROUND($AC870,3)=ROUND(significance_bar,3),TEXT($AC870,"0.0000"),TEXT($AC870,"0.000")),""),"")</f>
        <v/>
      </c>
      <c r="AN870">
        <f>IF(AND(ISNUMBER($AC870),ISNUMBER(IF($V870,IF($AL870="","",$AL870),IF($AK870="","",$AK870)))),IF(AND(ABS($AC870-significance_bar)&lt;=2.0*IF($V870,IF($AL870="","",$AL870),IF($AK870="","",$AK870)),OR($Y870="worse",$Y870="worse, not significant")),IF(ROUND($AC870,3)=ROUND(significance_bar,3),TEXT($AC870,"0.0000"),TEXT($AC870,"0.000")),""),"")</f>
        <v/>
      </c>
      <c r="AO870">
        <f>IF(OR($AI870="",$AN870=""),$AI870,$AI870&amp;" · borderline (p "&amp;$AN870&amp;")")</f>
        <v/>
      </c>
    </row>
    <row r="871">
      <c r="A871" t="inlineStr">
        <is>
          <t>three-way</t>
        </is>
      </c>
      <c r="B871" t="inlineStr">
        <is>
          <t>ORIG_BAL x CHANNEL / SYS_FLAG</t>
        </is>
      </c>
      <c r="C871" t="inlineStr">
        <is>
          <t>37,951 - 49,151</t>
        </is>
      </c>
      <c r="D871" t="inlineStr">
        <is>
          <t>Branch / SYS_FLAG Y</t>
        </is>
      </c>
      <c r="E871" t="inlineStr">
        <is>
          <t>gco_rate</t>
        </is>
      </c>
      <c r="F871" t="inlineStr">
        <is>
          <t>GCO per booked dollar</t>
        </is>
      </c>
      <c r="G871" t="n">
        <v>257</v>
      </c>
      <c r="H871" t="n">
        <v>11195501.51</v>
      </c>
      <c r="I871" t="b">
        <v>0</v>
      </c>
      <c r="J871" t="b">
        <v>0</v>
      </c>
      <c r="K871" t="n">
        <v>1.123014087474663</v>
      </c>
      <c r="L871" t="n">
        <v>0.9594198474889354</v>
      </c>
      <c r="M871" t="n">
        <v>0.9926038513658585</v>
      </c>
      <c r="N871" t="n">
        <v>0.9753024697530247</v>
      </c>
      <c r="O871" t="n">
        <v>56994.75041239365</v>
      </c>
      <c r="P871" t="n">
        <v>-3876.991825606732</v>
      </c>
      <c r="Q871">
        <f>'_live'!$C$22</f>
        <v/>
      </c>
      <c r="R871" t="inlineStr">
        <is>
          <t>shuffled: 6,428 of 10,000</t>
        </is>
      </c>
      <c r="S871" t="inlineStr">
        <is>
          <t>shuffled: 9,753 of 10,000</t>
        </is>
      </c>
      <c r="T871" t="n">
        <v>0.04138438007209973</v>
      </c>
      <c r="U871" t="n">
        <v>0.04682154089813587</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0.04647524182237373</v>
      </c>
      <c r="AI871">
        <f>IF($Y871="worse","Yes",IF($Y871="worse, not significant","Not sure",IF(OR($Y871="too few losses to test",$Y871="too few loans to test"),"Too few losses",IF($Y871="","","No"))))</f>
        <v/>
      </c>
      <c r="AJ871">
        <f>IF($AA871="yes","Yes",IF($AA871="","","No"))</f>
        <v/>
      </c>
      <c r="AK871" t="n">
        <v>0.007024211249345495</v>
      </c>
      <c r="AL871" t="n">
        <v>0.001552016824866117</v>
      </c>
      <c r="AM871">
        <f>IF(AND(ISNUMBER($AC871),ISNUMBER(IF($V871,IF($AL871="","",$AL871),IF($AK871="","",$AK871)))),IF(AND(ABS($AC871-significance_bar)&lt;=2.0*IF($V871,IF($AL871="","",$AL871),IF($AK871="","",$AK871)),OR($Y871="worse",$Y871="better",$Y871="worse, not significant",$Y871="better, not significant")),IF(ROUND($AC871,3)=ROUND(significance_bar,3),TEXT($AC871,"0.0000"),TEXT($AC871,"0.000")),""),"")</f>
        <v/>
      </c>
      <c r="AN871">
        <f>IF(AND(ISNUMBER($AC871),ISNUMBER(IF($V871,IF($AL871="","",$AL871),IF($AK871="","",$AK871)))),IF(AND(ABS($AC871-significance_bar)&lt;=2.0*IF($V871,IF($AL871="","",$AL871),IF($AK871="","",$AK871)),OR($Y871="worse",$Y871="worse, not significant")),IF(ROUND($AC871,3)=ROUND(significance_bar,3),TEXT($AC871,"0.0000"),TEXT($AC871,"0.000")),""),"")</f>
        <v/>
      </c>
      <c r="AO871">
        <f>IF(OR($AI871="",$AN871=""),$AI871,$AI871&amp;" · borderline (p "&amp;$AN871&amp;")")</f>
        <v/>
      </c>
    </row>
    <row r="872">
      <c r="A872" t="inlineStr">
        <is>
          <t>three-way</t>
        </is>
      </c>
      <c r="B872" t="inlineStr">
        <is>
          <t>ORIG_BAL x CHANNEL / SYS_FLAG</t>
        </is>
      </c>
      <c r="C872" t="inlineStr">
        <is>
          <t>37,951 - 49,151</t>
        </is>
      </c>
      <c r="D872" t="inlineStr">
        <is>
          <t>Branch / SYS_FLAG Y</t>
        </is>
      </c>
      <c r="E872" t="inlineStr">
        <is>
          <t>ranr_rate</t>
        </is>
      </c>
      <c r="F872" t="inlineStr">
        <is>
          <t>Profit after losses: RANR per booked dollar</t>
        </is>
      </c>
      <c r="G872" t="n">
        <v>257</v>
      </c>
      <c r="H872" t="n">
        <v>11195501.51</v>
      </c>
      <c r="I872" t="b">
        <v>0</v>
      </c>
      <c r="J872" t="b">
        <v>0</v>
      </c>
      <c r="K872" t="n">
        <v>-0.02155837439505322</v>
      </c>
      <c r="L872" t="n">
        <v>0.2312076484659226</v>
      </c>
      <c r="M872" t="n">
        <v>-0.0179438605627862</v>
      </c>
      <c r="N872" t="n">
        <v>0.3054694530546945</v>
      </c>
      <c r="O872" t="n">
        <v>241356.8130929635</v>
      </c>
      <c r="P872" t="n">
        <v>200890.5180259023</v>
      </c>
      <c r="Q872">
        <f>'_live'!$C$23</f>
        <v/>
      </c>
      <c r="R872" t="inlineStr">
        <is>
          <t>shuffled: 1,001 of 10,000</t>
        </is>
      </c>
      <c r="S872" t="inlineStr">
        <is>
          <t>shuffled: 1,832 of 10,000</t>
        </is>
      </c>
      <c r="T872" t="n">
        <v>0.1289252930566542</v>
      </c>
      <c r="U872" t="n">
        <v>0.1253107792243872</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0.107366918661601</v>
      </c>
      <c r="AI872">
        <f>IF($Y872="worse","Yes",IF($Y872="worse, not significant","Not sure",IF(OR($Y872="too few losses to test",$Y872="too few loans to test"),"Too few losses",IF($Y872="","","No"))))</f>
        <v/>
      </c>
      <c r="AJ872">
        <f>IF($AA872="yes","Yes",IF($AA872="","","No"))</f>
        <v/>
      </c>
      <c r="AK872" t="n">
        <v>0.006928918639551884</v>
      </c>
      <c r="AL872" t="n">
        <v>0.006448287899447599</v>
      </c>
      <c r="AM872">
        <f>IF(AND(ISNUMBER($AC872),ISNUMBER(IF($V872,IF($AL872="","",$AL872),IF($AK872="","",$AK872)))),IF(AND(ABS($AC872-significance_bar)&lt;=2.0*IF($V872,IF($AL872="","",$AL872),IF($AK872="","",$AK872)),OR($Y872="worse",$Y872="better",$Y872="worse, not significant",$Y872="better, not significant",AND(profit_kind="test",$Y872="in line",ISNUMBER($AB872),$AB872&lt;&gt;0))),IF(ROUND($AC872,3)=ROUND(significance_bar,3),TEXT($AC872,"0.0000"),TEXT($AC872,"0.000")),""),"")</f>
        <v/>
      </c>
      <c r="AN872">
        <f>IF(AND(ISNUMBER($AC872),ISNUMBER(IF($V872,IF($AL872="","",$AL872),IF($AK872="","",$AK872)))),IF(AND(ABS($AC872-significance_bar)&lt;=2.0*IF($V872,IF($AL872="","",$AL872),IF($AK872="","",$AK872)),OR($Y872="worse",$Y872="worse, not significant",AND(profit_kind="test",$Y872="in line",ISNUMBER($AB872),$AB872&lt;0))),IF(ROUND($AC872,3)=ROUND(significance_bar,3),TEXT($AC872,"0.0000"),TEXT($AC872,"0.000")),""),"")</f>
        <v/>
      </c>
      <c r="AO872">
        <f>IF(OR($AI872="",$AN872=""),$AI872,$AI872&amp;" · borderline (p "&amp;$AN872&amp;")")</f>
        <v/>
      </c>
    </row>
    <row r="873">
      <c r="A873" t="inlineStr">
        <is>
          <t>three-way</t>
        </is>
      </c>
      <c r="B873" t="inlineStr">
        <is>
          <t>ORIG_BAL x CHANNEL / SYS_FLAG</t>
        </is>
      </c>
      <c r="C873" t="inlineStr">
        <is>
          <t>37,951 - 49,151</t>
        </is>
      </c>
      <c r="D873" t="inlineStr">
        <is>
          <t>Branch / SYS_FLAG Y</t>
        </is>
      </c>
      <c r="E873" t="inlineStr">
        <is>
          <t>contribution_rate</t>
        </is>
      </c>
      <c r="F873" t="inlineStr">
        <is>
          <t>Contribution before losses per booked dollar</t>
        </is>
      </c>
      <c r="G873" t="n">
        <v>257</v>
      </c>
      <c r="H873" t="n">
        <v>11195501.51</v>
      </c>
      <c r="I873" t="b">
        <v>0</v>
      </c>
      <c r="J873" t="b">
        <v>0</v>
      </c>
      <c r="K873" t="n">
        <v>-0.01646467407581084</v>
      </c>
      <c r="L873" t="n">
        <v>0.1691830816918308</v>
      </c>
      <c r="M873" t="n">
        <v>-0.0182757214834065</v>
      </c>
      <c r="N873" t="n">
        <v>0.1174168297455969</v>
      </c>
      <c r="O873" t="n">
        <v>184330.2834773981</v>
      </c>
      <c r="P873" t="n">
        <v>204605.8674638169</v>
      </c>
      <c r="Q873">
        <f>'_live'!$C$24</f>
        <v/>
      </c>
      <c r="R873" t="inlineStr">
        <is>
          <t>shuffled: 563 of 10,000</t>
        </is>
      </c>
      <c r="S873" t="inlineStr">
        <is>
          <t>shuffled: 273 of 10,000</t>
        </is>
      </c>
      <c r="T873" t="n">
        <v>0.1703068345597853</v>
      </c>
      <c r="U873" t="n">
        <v>0.172117881967381</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0.1538421604839745</v>
      </c>
      <c r="AI873">
        <f>IF($Y873="worse","Yes",IF($Y873="worse, not significant","Not sure",IF(OR($Y873="too few losses to test",$Y873="too few loans to test"),"Too few losses",IF($Y873="","","No"))))</f>
        <v/>
      </c>
      <c r="AJ873">
        <f>IF($AA873="yes","Yes",IF($AA873="","","No"))</f>
        <v/>
      </c>
      <c r="AK873" t="n">
        <v>0.006920450346218429</v>
      </c>
      <c r="AL873" t="n">
        <v>0.006995915041768876</v>
      </c>
      <c r="AM873">
        <f>IF(AND(ISNUMBER($AC873),ISNUMBER(IF($V873,IF($AL873="","",$AL873),IF($AK873="","",$AK873)))),IF(AND(ABS($AC873-significance_bar)&lt;=2.0*IF($V873,IF($AL873="","",$AL873),IF($AK873="","",$AK873)),OR($Y873="worse",$Y873="better",$Y873="worse, not significant",$Y873="better, not significant",AND(profit_kind="test",$Y873="in line",ISNUMBER($AB873),$AB873&lt;&gt;0))),IF(ROUND($AC873,3)=ROUND(significance_bar,3),TEXT($AC873,"0.0000"),TEXT($AC873,"0.000")),""),"")</f>
        <v/>
      </c>
      <c r="AN873">
        <f>IF(AND(ISNUMBER($AC873),ISNUMBER(IF($V873,IF($AL873="","",$AL873),IF($AK873="","",$AK873)))),IF(AND(ABS($AC873-significance_bar)&lt;=2.0*IF($V873,IF($AL873="","",$AL873),IF($AK873="","",$AK873)),OR($Y873="worse",$Y873="worse, not significant",AND(profit_kind="test",$Y873="in line",ISNUMBER($AB873),$AB873&lt;0))),IF(ROUND($AC873,3)=ROUND(significance_bar,3),TEXT($AC873,"0.0000"),TEXT($AC873,"0.000")),""),"")</f>
        <v/>
      </c>
      <c r="AO873">
        <f>IF(OR($AI873="",$AN873=""),$AI873,$AI873&amp;" · borderline (p "&amp;$AN873&amp;")")</f>
        <v/>
      </c>
    </row>
    <row r="874">
      <c r="A874" t="inlineStr">
        <is>
          <t>three-way</t>
        </is>
      </c>
      <c r="B874" t="inlineStr">
        <is>
          <t>ORIG_BAL x CHANNEL / SYS_FLAG</t>
        </is>
      </c>
      <c r="C874" t="inlineStr">
        <is>
          <t>15,449 - 26,323</t>
        </is>
      </c>
      <c r="D874" t="inlineStr">
        <is>
          <t>Broker / SYS_FLAG N</t>
        </is>
      </c>
      <c r="E874" t="inlineStr">
        <is>
          <t>outcome_loans</t>
        </is>
      </c>
      <c r="F874" t="inlineStr">
        <is>
          <t>Outcome, share of loans</t>
        </is>
      </c>
      <c r="G874" t="n">
        <v>293</v>
      </c>
      <c r="H874" t="n">
        <v>293</v>
      </c>
      <c r="I874" t="b">
        <v>0</v>
      </c>
      <c r="J874" t="b">
        <v>0</v>
      </c>
      <c r="K874" t="n">
        <v>1.246039858399312</v>
      </c>
      <c r="L874" t="n">
        <v>0.4394822434143357</v>
      </c>
      <c r="M874" t="n">
        <v>1.032239866865992</v>
      </c>
      <c r="N874" t="n">
        <v>0.9230174669468612</v>
      </c>
      <c r="O874" t="n">
        <v>5.528808720477549</v>
      </c>
      <c r="P874" t="n">
        <v>0.8745218056618178</v>
      </c>
      <c r="Q874">
        <f>'_live'!$C$20</f>
        <v/>
      </c>
      <c r="R874" t="inlineStr">
        <is>
          <t>z test</t>
        </is>
      </c>
      <c r="S874" t="inlineStr">
        <is>
          <t>z test</t>
        </is>
      </c>
      <c r="T874" t="n">
        <v>0.07669348559563977</v>
      </c>
      <c r="U874" t="n">
        <v>0.09257842387146137</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0.09556313993174062</v>
      </c>
      <c r="AI874">
        <f>IF($Y874="worse","Yes",IF($Y874="worse, not significant","Not sure",IF(OR($Y874="too few losses to test",$Y874="too few loans to test"),"Too few losses",IF($Y874="","","No"))))</f>
        <v/>
      </c>
      <c r="AJ874">
        <f>IF($AA874="yes","Yes",IF($AA874="","","No"))</f>
        <v/>
      </c>
      <c r="AM874">
        <f>IF(AND(ISNUMBER($AC874),ISNUMBER(IF($V874,IF($AL874="","",$AL874),IF($AK874="","",$AK874)))),IF(AND(ABS($AC874-significance_bar)&lt;=2.0*IF($V874,IF($AL874="","",$AL874),IF($AK874="","",$AK874)),OR($Y874="worse",$Y874="better",$Y874="worse, not significant",$Y874="better, not significant")),IF(ROUND($AC874,3)=ROUND(significance_bar,3),TEXT($AC874,"0.0000"),TEXT($AC874,"0.000")),""),"")</f>
        <v/>
      </c>
      <c r="AN874">
        <f>IF(AND(ISNUMBER($AC874),ISNUMBER(IF($V874,IF($AL874="","",$AL874),IF($AK874="","",$AK874)))),IF(AND(ABS($AC874-significance_bar)&lt;=2.0*IF($V874,IF($AL874="","",$AL874),IF($AK874="","",$AK874)),OR($Y874="worse",$Y874="worse, not significant")),IF(ROUND($AC874,3)=ROUND(significance_bar,3),TEXT($AC874,"0.0000"),TEXT($AC874,"0.000")),""),"")</f>
        <v/>
      </c>
      <c r="AO874">
        <f>IF(OR($AI874="",$AN874=""),$AI874,$AI874&amp;" · borderline (p "&amp;$AN874&amp;")")</f>
        <v/>
      </c>
    </row>
    <row r="875">
      <c r="A875" t="inlineStr">
        <is>
          <t>three-way</t>
        </is>
      </c>
      <c r="B875" t="inlineStr">
        <is>
          <t>ORIG_BAL x CHANNEL / SYS_FLAG</t>
        </is>
      </c>
      <c r="C875" t="inlineStr">
        <is>
          <t>15,449 - 26,323</t>
        </is>
      </c>
      <c r="D875" t="inlineStr">
        <is>
          <t>Broker / SYS_FLAG N</t>
        </is>
      </c>
      <c r="E875" t="inlineStr">
        <is>
          <t>outcome_booked</t>
        </is>
      </c>
      <c r="F875" t="inlineStr">
        <is>
          <t>Outcome, share of booked dollars</t>
        </is>
      </c>
      <c r="G875" t="n">
        <v>293</v>
      </c>
      <c r="H875" t="n">
        <v>6112147.650000003</v>
      </c>
      <c r="I875" t="b">
        <v>0</v>
      </c>
      <c r="J875" t="b">
        <v>0</v>
      </c>
      <c r="K875" t="n">
        <v>1.319592905536388</v>
      </c>
      <c r="L875" t="n">
        <v>0.362963703629637</v>
      </c>
      <c r="M875" t="n">
        <v>1.055673858115572</v>
      </c>
      <c r="N875" t="n">
        <v>0.9031250721081737</v>
      </c>
      <c r="O875" t="n">
        <v>145072.3843555076</v>
      </c>
      <c r="P875" t="n">
        <v>31589.96480697731</v>
      </c>
      <c r="Q875">
        <f>'_live'!$C$21</f>
        <v/>
      </c>
      <c r="R875" t="inlineStr">
        <is>
          <t>shuffled: 1,689 of 10,000</t>
        </is>
      </c>
      <c r="S875" t="inlineStr">
        <is>
          <t>shuffled: 7,857 of 10,000</t>
        </is>
      </c>
      <c r="T875" t="n">
        <v>0.07426664106265364</v>
      </c>
      <c r="U875" t="n">
        <v>0.09283334233475564</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0.0980017326642951</v>
      </c>
      <c r="AI875">
        <f>IF($Y875="worse","Yes",IF($Y875="worse, not significant","Not sure",IF(OR($Y875="too few losses to test",$Y875="too few loans to test"),"Too few losses",IF($Y875="","","No"))))</f>
        <v/>
      </c>
      <c r="AJ875">
        <f>IF($AA875="yes","Yes",IF($AA875="","","No"))</f>
        <v/>
      </c>
      <c r="AK875" t="n">
        <v>0.007708338064114283</v>
      </c>
      <c r="AL875" t="n">
        <v>0.003961834620863371</v>
      </c>
      <c r="AM875">
        <f>IF(AND(ISNUMBER($AC875),ISNUMBER(IF($V875,IF($AL875="","",$AL875),IF($AK875="","",$AK875)))),IF(AND(ABS($AC875-significance_bar)&lt;=2.0*IF($V875,IF($AL875="","",$AL875),IF($AK875="","",$AK875)),OR($Y875="worse",$Y875="better",$Y875="worse, not significant",$Y875="better, not significant")),IF(ROUND($AC875,3)=ROUND(significance_bar,3),TEXT($AC875,"0.0000"),TEXT($AC875,"0.000")),""),"")</f>
        <v/>
      </c>
      <c r="AN875">
        <f>IF(AND(ISNUMBER($AC875),ISNUMBER(IF($V875,IF($AL875="","",$AL875),IF($AK875="","",$AK875)))),IF(AND(ABS($AC875-significance_bar)&lt;=2.0*IF($V875,IF($AL875="","",$AL875),IF($AK875="","",$AK875)),OR($Y875="worse",$Y875="worse, not significant")),IF(ROUND($AC875,3)=ROUND(significance_bar,3),TEXT($AC875,"0.0000"),TEXT($AC875,"0.000")),""),"")</f>
        <v/>
      </c>
      <c r="AO875">
        <f>IF(OR($AI875="",$AN875=""),$AI875,$AI875&amp;" · borderline (p "&amp;$AN875&amp;")")</f>
        <v/>
      </c>
    </row>
    <row r="876">
      <c r="A876" t="inlineStr">
        <is>
          <t>three-way</t>
        </is>
      </c>
      <c r="B876" t="inlineStr">
        <is>
          <t>ORIG_BAL x CHANNEL / SYS_FLAG</t>
        </is>
      </c>
      <c r="C876" t="inlineStr">
        <is>
          <t>15,449 - 26,323</t>
        </is>
      </c>
      <c r="D876" t="inlineStr">
        <is>
          <t>Broker / SYS_FLAG N</t>
        </is>
      </c>
      <c r="E876" t="inlineStr">
        <is>
          <t>gco_rate</t>
        </is>
      </c>
      <c r="F876" t="inlineStr">
        <is>
          <t>GCO per booked dollar</t>
        </is>
      </c>
      <c r="G876" t="n">
        <v>293</v>
      </c>
      <c r="H876" t="n">
        <v>6112147.650000003</v>
      </c>
      <c r="I876" t="b">
        <v>0</v>
      </c>
      <c r="J876" t="b">
        <v>0</v>
      </c>
      <c r="K876" t="n">
        <v>1.442064351555421</v>
      </c>
      <c r="L876" t="n">
        <v>0.26997300269973</v>
      </c>
      <c r="M876" t="n">
        <v>1.146947250565406</v>
      </c>
      <c r="N876" t="n">
        <v>0.7044095590440955</v>
      </c>
      <c r="O876" t="n">
        <v>111250.9003577795</v>
      </c>
      <c r="P876" t="n">
        <v>46496.54691730283</v>
      </c>
      <c r="Q876">
        <f>'_live'!$C$22</f>
        <v/>
      </c>
      <c r="R876" t="inlineStr">
        <is>
          <t>shuffled: 674 of 10,000</t>
        </is>
      </c>
      <c r="S876" t="inlineStr">
        <is>
          <t>shuffled: 5,031 of 10,000</t>
        </is>
      </c>
      <c r="T876" t="n">
        <v>0.04117410835816773</v>
      </c>
      <c r="U876" t="n">
        <v>0.05176847831591518</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0.05937571387039377</v>
      </c>
      <c r="AI876">
        <f>IF($Y876="worse","Yes",IF($Y876="worse, not significant","Not sure",IF(OR($Y876="too few losses to test",$Y876="too few loans to test"),"Too few losses",IF($Y876="","","No"))))</f>
        <v/>
      </c>
      <c r="AJ876">
        <f>IF($AA876="yes","Yes",IF($AA876="","","No"))</f>
        <v/>
      </c>
      <c r="AK876" t="n">
        <v>0.01003497179175015</v>
      </c>
      <c r="AL876" t="n">
        <v>0.006999861111400973</v>
      </c>
      <c r="AM876">
        <f>IF(AND(ISNUMBER($AC876),ISNUMBER(IF($V876,IF($AL876="","",$AL876),IF($AK876="","",$AK876)))),IF(AND(ABS($AC876-significance_bar)&lt;=2.0*IF($V876,IF($AL876="","",$AL876),IF($AK876="","",$AK876)),OR($Y876="worse",$Y876="better",$Y876="worse, not significant",$Y876="better, not significant")),IF(ROUND($AC876,3)=ROUND(significance_bar,3),TEXT($AC876,"0.0000"),TEXT($AC876,"0.000")),""),"")</f>
        <v/>
      </c>
      <c r="AN876">
        <f>IF(AND(ISNUMBER($AC876),ISNUMBER(IF($V876,IF($AL876="","",$AL876),IF($AK876="","",$AK876)))),IF(AND(ABS($AC876-significance_bar)&lt;=2.0*IF($V876,IF($AL876="","",$AL876),IF($AK876="","",$AK876)),OR($Y876="worse",$Y876="worse, not significant")),IF(ROUND($AC876,3)=ROUND(significance_bar,3),TEXT($AC876,"0.0000"),TEXT($AC876,"0.000")),""),"")</f>
        <v/>
      </c>
      <c r="AO876">
        <f>IF(OR($AI876="",$AN876=""),$AI876,$AI876&amp;" · borderline (p "&amp;$AN876&amp;")")</f>
        <v/>
      </c>
    </row>
    <row r="877">
      <c r="A877" t="inlineStr">
        <is>
          <t>three-way</t>
        </is>
      </c>
      <c r="B877" t="inlineStr">
        <is>
          <t>ORIG_BAL x CHANNEL / SYS_FLAG</t>
        </is>
      </c>
      <c r="C877" t="inlineStr">
        <is>
          <t>15,449 - 26,323</t>
        </is>
      </c>
      <c r="D877" t="inlineStr">
        <is>
          <t>Broker / SYS_FLAG N</t>
        </is>
      </c>
      <c r="E877" t="inlineStr">
        <is>
          <t>ranr_rate</t>
        </is>
      </c>
      <c r="F877" t="inlineStr">
        <is>
          <t>Profit after losses: RANR per booked dollar</t>
        </is>
      </c>
      <c r="G877" t="n">
        <v>293</v>
      </c>
      <c r="H877" t="n">
        <v>6112147.650000003</v>
      </c>
      <c r="I877" t="b">
        <v>0</v>
      </c>
      <c r="J877" t="b">
        <v>0</v>
      </c>
      <c r="K877" t="n">
        <v>-0.02892458337311646</v>
      </c>
      <c r="L877" t="n">
        <v>0.06411858814118587</v>
      </c>
      <c r="M877" t="n">
        <v>-0.02363266834521195</v>
      </c>
      <c r="N877" t="n">
        <v>0.190071901900719</v>
      </c>
      <c r="O877" t="n">
        <v>176791.324291223</v>
      </c>
      <c r="P877" t="n">
        <v>144446.3582894168</v>
      </c>
      <c r="Q877">
        <f>'_live'!$C$23</f>
        <v/>
      </c>
      <c r="R877" t="inlineStr">
        <is>
          <t>shuffled: 170 of 10,000</t>
        </is>
      </c>
      <c r="S877" t="inlineStr">
        <is>
          <t>shuffled: 696 of 10,000</t>
        </is>
      </c>
      <c r="T877" t="n">
        <v>0.1286751055974937</v>
      </c>
      <c r="U877" t="n">
        <v>0.1233831905695892</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0.09975052222437722</v>
      </c>
      <c r="AI877">
        <f>IF($Y877="worse","Yes",IF($Y877="worse, not significant","Not sure",IF(OR($Y877="too few losses to test",$Y877="too few loans to test"),"Too few losses",IF($Y877="","","No"))))</f>
        <v/>
      </c>
      <c r="AJ877">
        <f>IF($AA877="yes","Yes",IF($AA877="","","No"))</f>
        <v/>
      </c>
      <c r="AK877" t="n">
        <v>0.004861414528552652</v>
      </c>
      <c r="AL877" t="n">
        <v>0.006944426444153121</v>
      </c>
      <c r="AM877">
        <f>IF(AND(ISNUMBER($AC877),ISNUMBER(IF($V877,IF($AL877="","",$AL877),IF($AK877="","",$AK877)))),IF(AND(ABS($AC877-significance_bar)&lt;=2.0*IF($V877,IF($AL877="","",$AL877),IF($AK877="","",$AK877)),OR($Y877="worse",$Y877="better",$Y877="worse, not significant",$Y877="better, not significant",AND(profit_kind="test",$Y877="in line",ISNUMBER($AB877),$AB877&lt;&gt;0))),IF(ROUND($AC877,3)=ROUND(significance_bar,3),TEXT($AC877,"0.0000"),TEXT($AC877,"0.000")),""),"")</f>
        <v/>
      </c>
      <c r="AN877">
        <f>IF(AND(ISNUMBER($AC877),ISNUMBER(IF($V877,IF($AL877="","",$AL877),IF($AK877="","",$AK877)))),IF(AND(ABS($AC877-significance_bar)&lt;=2.0*IF($V877,IF($AL877="","",$AL877),IF($AK877="","",$AK877)),OR($Y877="worse",$Y877="worse, not significant",AND(profit_kind="test",$Y877="in line",ISNUMBER($AB877),$AB877&lt;0))),IF(ROUND($AC877,3)=ROUND(significance_bar,3),TEXT($AC877,"0.0000"),TEXT($AC877,"0.000")),""),"")</f>
        <v/>
      </c>
      <c r="AO877">
        <f>IF(OR($AI877="",$AN877=""),$AI877,$AI877&amp;" · borderline (p "&amp;$AN877&amp;")")</f>
        <v/>
      </c>
    </row>
    <row r="878">
      <c r="A878" t="inlineStr">
        <is>
          <t>three-way</t>
        </is>
      </c>
      <c r="B878" t="inlineStr">
        <is>
          <t>ORIG_BAL x CHANNEL / SYS_FLAG</t>
        </is>
      </c>
      <c r="C878" t="inlineStr">
        <is>
          <t>15,449 - 26,323</t>
        </is>
      </c>
      <c r="D878" t="inlineStr">
        <is>
          <t>Broker / SYS_FLAG N</t>
        </is>
      </c>
      <c r="E878" t="inlineStr">
        <is>
          <t>contribution_rate</t>
        </is>
      </c>
      <c r="F878" t="inlineStr">
        <is>
          <t>Contribution before losses per booked dollar</t>
        </is>
      </c>
      <c r="G878" t="n">
        <v>293</v>
      </c>
      <c r="H878" t="n">
        <v>6112147.650000003</v>
      </c>
      <c r="I878" t="b">
        <v>0</v>
      </c>
      <c r="J878" t="b">
        <v>0</v>
      </c>
      <c r="K878" t="n">
        <v>-0.01072015715856325</v>
      </c>
      <c r="L878" t="n">
        <v>0.3228624505970455</v>
      </c>
      <c r="M878" t="n">
        <v>-0.01602543279073329</v>
      </c>
      <c r="N878" t="n">
        <v>0.1433856614338566</v>
      </c>
      <c r="O878" t="n">
        <v>65523.18338434317</v>
      </c>
      <c r="P878" t="n">
        <v>97949.81137211353</v>
      </c>
      <c r="Q878">
        <f>'_live'!$C$24</f>
        <v/>
      </c>
      <c r="R878" t="inlineStr">
        <is>
          <t>shuffled: 1,748 of 10,000</t>
        </is>
      </c>
      <c r="S878" t="inlineStr">
        <is>
          <t>shuffled: 466 of 10,000</t>
        </is>
      </c>
      <c r="T878" t="n">
        <v>0.1698463932533343</v>
      </c>
      <c r="U878" t="n">
        <v>0.1751516688855043</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0.159126236094771</v>
      </c>
      <c r="AI878">
        <f>IF($Y878="worse","Yes",IF($Y878="worse, not significant","Not sure",IF(OR($Y878="too few losses to test",$Y878="too few loans to test"),"Too few losses",IF($Y878="","","No"))))</f>
        <v/>
      </c>
      <c r="AJ878">
        <f>IF($AA878="yes","Yes",IF($AA878="","","No"))</f>
        <v/>
      </c>
      <c r="AK878" t="n">
        <v>0.00636822310167167</v>
      </c>
      <c r="AL878" t="n">
        <v>0.006399980753070631</v>
      </c>
      <c r="AM878">
        <f>IF(AND(ISNUMBER($AC878),ISNUMBER(IF($V878,IF($AL878="","",$AL878),IF($AK878="","",$AK878)))),IF(AND(ABS($AC878-significance_bar)&lt;=2.0*IF($V878,IF($AL878="","",$AL878),IF($AK878="","",$AK878)),OR($Y878="worse",$Y878="better",$Y878="worse, not significant",$Y878="better, not significant",AND(profit_kind="test",$Y878="in line",ISNUMBER($AB878),$AB878&lt;&gt;0))),IF(ROUND($AC878,3)=ROUND(significance_bar,3),TEXT($AC878,"0.0000"),TEXT($AC878,"0.000")),""),"")</f>
        <v/>
      </c>
      <c r="AN878">
        <f>IF(AND(ISNUMBER($AC878),ISNUMBER(IF($V878,IF($AL878="","",$AL878),IF($AK878="","",$AK878)))),IF(AND(ABS($AC878-significance_bar)&lt;=2.0*IF($V878,IF($AL878="","",$AL878),IF($AK878="","",$AK878)),OR($Y878="worse",$Y878="worse, not significant",AND(profit_kind="test",$Y878="in line",ISNUMBER($AB878),$AB878&lt;0))),IF(ROUND($AC878,3)=ROUND(significance_bar,3),TEXT($AC878,"0.0000"),TEXT($AC878,"0.000")),""),"")</f>
        <v/>
      </c>
      <c r="AO878">
        <f>IF(OR($AI878="",$AN878=""),$AI878,$AI878&amp;" · borderline (p "&amp;$AN878&amp;")")</f>
        <v/>
      </c>
    </row>
    <row r="879">
      <c r="A879" t="inlineStr">
        <is>
          <t>three-way</t>
        </is>
      </c>
      <c r="B879" t="inlineStr">
        <is>
          <t>ORIG_BAL x CHANNEL / SYS_FLAG</t>
        </is>
      </c>
      <c r="C879" t="inlineStr">
        <is>
          <t>15,449 - 26,323</t>
        </is>
      </c>
      <c r="D879" t="inlineStr">
        <is>
          <t>Online / SYS_FLAG N</t>
        </is>
      </c>
      <c r="E879" t="inlineStr">
        <is>
          <t>outcome_loans</t>
        </is>
      </c>
      <c r="F879" t="inlineStr">
        <is>
          <t>Outcome, share of loans</t>
        </is>
      </c>
      <c r="G879" t="n">
        <v>300</v>
      </c>
      <c r="H879" t="n">
        <v>300</v>
      </c>
      <c r="I879" t="b">
        <v>0</v>
      </c>
      <c r="J879" t="b">
        <v>0</v>
      </c>
      <c r="K879" t="n">
        <v>1.215860124083474</v>
      </c>
      <c r="L879" t="n">
        <v>0.5106577122371279</v>
      </c>
      <c r="M879" t="n">
        <v>1.002754820936639</v>
      </c>
      <c r="N879" t="n">
        <v>0.989009253934942</v>
      </c>
      <c r="O879" t="n">
        <v>4.971035199376541</v>
      </c>
      <c r="P879" t="n">
        <v>0.0769230769230802</v>
      </c>
      <c r="Q879">
        <f>'_live'!$C$20</f>
        <v/>
      </c>
      <c r="R879" t="inlineStr">
        <is>
          <t>z test</t>
        </is>
      </c>
      <c r="S879" t="inlineStr">
        <is>
          <t>z test</t>
        </is>
      </c>
      <c r="T879" t="n">
        <v>0.07676321600207819</v>
      </c>
      <c r="U879" t="n">
        <v>0.09307692307692307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0.09333333333333334</v>
      </c>
      <c r="AI879">
        <f>IF($Y879="worse","Yes",IF($Y879="worse, not significant","Not sure",IF(OR($Y879="too few losses to test",$Y879="too few loans to test"),"Too few losses",IF($Y879="","","No"))))</f>
        <v/>
      </c>
      <c r="AJ879">
        <f>IF($AA879="yes","Yes",IF($AA879="","","No"))</f>
        <v/>
      </c>
      <c r="AM879">
        <f>IF(AND(ISNUMBER($AC879),ISNUMBER(IF($V879,IF($AL879="","",$AL879),IF($AK879="","",$AK879)))),IF(AND(ABS($AC879-significance_bar)&lt;=2.0*IF($V879,IF($AL879="","",$AL879),IF($AK879="","",$AK879)),OR($Y879="worse",$Y879="better",$Y879="worse, not significant",$Y879="better, not significant")),IF(ROUND($AC879,3)=ROUND(significance_bar,3),TEXT($AC879,"0.0000"),TEXT($AC879,"0.000")),""),"")</f>
        <v/>
      </c>
      <c r="AN879">
        <f>IF(AND(ISNUMBER($AC879),ISNUMBER(IF($V879,IF($AL879="","",$AL879),IF($AK879="","",$AK879)))),IF(AND(ABS($AC879-significance_bar)&lt;=2.0*IF($V879,IF($AL879="","",$AL879),IF($AK879="","",$AK879)),OR($Y879="worse",$Y879="worse, not significant")),IF(ROUND($AC879,3)=ROUND(significance_bar,3),TEXT($AC879,"0.0000"),TEXT($AC879,"0.000")),""),"")</f>
        <v/>
      </c>
      <c r="AO879">
        <f>IF(OR($AI879="",$AN879=""),$AI879,$AI879&amp;" · borderline (p "&amp;$AN879&amp;")")</f>
        <v/>
      </c>
    </row>
    <row r="880">
      <c r="A880" t="inlineStr">
        <is>
          <t>three-way</t>
        </is>
      </c>
      <c r="B880" t="inlineStr">
        <is>
          <t>ORIG_BAL x CHANNEL / SYS_FLAG</t>
        </is>
      </c>
      <c r="C880" t="inlineStr">
        <is>
          <t>15,449 - 26,323</t>
        </is>
      </c>
      <c r="D880" t="inlineStr">
        <is>
          <t>Online / SYS_FLAG N</t>
        </is>
      </c>
      <c r="E880" t="inlineStr">
        <is>
          <t>outcome_booked</t>
        </is>
      </c>
      <c r="F880" t="inlineStr">
        <is>
          <t>Outcome, share of booked dollars</t>
        </is>
      </c>
      <c r="G880" t="n">
        <v>300</v>
      </c>
      <c r="H880" t="n">
        <v>6256047.950000001</v>
      </c>
      <c r="I880" t="b">
        <v>0</v>
      </c>
      <c r="J880" t="b">
        <v>0</v>
      </c>
      <c r="K880" t="n">
        <v>1.304732792630595</v>
      </c>
      <c r="L880" t="n">
        <v>0.362963703629637</v>
      </c>
      <c r="M880" t="n">
        <v>1.041474420110449</v>
      </c>
      <c r="N880" t="n">
        <v>0.9031250721081737</v>
      </c>
      <c r="O880" t="n">
        <v>141609.2169222083</v>
      </c>
      <c r="P880" t="n">
        <v>24144.91174820834</v>
      </c>
      <c r="Q880">
        <f>'_live'!$C$21</f>
        <v/>
      </c>
      <c r="R880" t="inlineStr">
        <is>
          <t>shuffled: 1,814 of 10,000</t>
        </is>
      </c>
      <c r="S880" t="inlineStr">
        <is>
          <t>shuffled: 8,386 of 10,000</t>
        </is>
      </c>
      <c r="T880" t="n">
        <v>0.07428006255575324</v>
      </c>
      <c r="U880" t="n">
        <v>0.09305618225828843</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0.09691563345514322</v>
      </c>
      <c r="AI880">
        <f>IF($Y880="worse","Yes",IF($Y880="worse, not significant","Not sure",IF(OR($Y880="too few losses to test",$Y880="too few loans to test"),"Too few losses",IF($Y880="","","No"))))</f>
        <v/>
      </c>
      <c r="AJ880">
        <f>IF($AA880="yes","Yes",IF($AA880="","","No"))</f>
        <v/>
      </c>
      <c r="AK880" t="n">
        <v>0.007708338064114283</v>
      </c>
      <c r="AL880" t="n">
        <v>0.003961834620863371</v>
      </c>
      <c r="AM880">
        <f>IF(AND(ISNUMBER($AC880),ISNUMBER(IF($V880,IF($AL880="","",$AL880),IF($AK880="","",$AK880)))),IF(AND(ABS($AC880-significance_bar)&lt;=2.0*IF($V880,IF($AL880="","",$AL880),IF($AK880="","",$AK880)),OR($Y880="worse",$Y880="better",$Y880="worse, not significant",$Y880="better, not significant")),IF(ROUND($AC880,3)=ROUND(significance_bar,3),TEXT($AC880,"0.0000"),TEXT($AC880,"0.000")),""),"")</f>
        <v/>
      </c>
      <c r="AN880">
        <f>IF(AND(ISNUMBER($AC880),ISNUMBER(IF($V880,IF($AL880="","",$AL880),IF($AK880="","",$AK880)))),IF(AND(ABS($AC880-significance_bar)&lt;=2.0*IF($V880,IF($AL880="","",$AL880),IF($AK880="","",$AK880)),OR($Y880="worse",$Y880="worse, not significant")),IF(ROUND($AC880,3)=ROUND(significance_bar,3),TEXT($AC880,"0.0000"),TEXT($AC880,"0.000")),""),"")</f>
        <v/>
      </c>
      <c r="AO880">
        <f>IF(OR($AI880="",$AN880=""),$AI880,$AI880&amp;" · borderline (p "&amp;$AN880&amp;")")</f>
        <v/>
      </c>
    </row>
    <row r="881">
      <c r="A881" t="inlineStr">
        <is>
          <t>three-way</t>
        </is>
      </c>
      <c r="B881" t="inlineStr">
        <is>
          <t>ORIG_BAL x CHANNEL / SYS_FLAG</t>
        </is>
      </c>
      <c r="C881" t="inlineStr">
        <is>
          <t>15,449 - 26,323</t>
        </is>
      </c>
      <c r="D881" t="inlineStr">
        <is>
          <t>Online / SYS_FLAG N</t>
        </is>
      </c>
      <c r="E881" t="inlineStr">
        <is>
          <t>gco_rate</t>
        </is>
      </c>
      <c r="F881" t="inlineStr">
        <is>
          <t>GCO per booked dollar</t>
        </is>
      </c>
      <c r="G881" t="n">
        <v>300</v>
      </c>
      <c r="H881" t="n">
        <v>6256047.950000001</v>
      </c>
      <c r="I881" t="b">
        <v>0</v>
      </c>
      <c r="J881" t="b">
        <v>0</v>
      </c>
      <c r="K881" t="n">
        <v>1.217995700067283</v>
      </c>
      <c r="L881" t="n">
        <v>0.6169265426398536</v>
      </c>
      <c r="M881" t="n">
        <v>0.9370652563834073</v>
      </c>
      <c r="N881" t="n">
        <v>0.8150415727658002</v>
      </c>
      <c r="O881" t="n">
        <v>56442.58636977844</v>
      </c>
      <c r="P881" t="n">
        <v>-21179.97121382633</v>
      </c>
      <c r="Q881">
        <f>'_live'!$C$22</f>
        <v/>
      </c>
      <c r="R881" t="inlineStr">
        <is>
          <t>shuffled: 3,546 of 10,000</t>
        </is>
      </c>
      <c r="S881" t="inlineStr">
        <is>
          <t>shuffled: 7,568 of 10,000</t>
        </is>
      </c>
      <c r="T881" t="n">
        <v>0.0413865200042499</v>
      </c>
      <c r="U881" t="n">
        <v>0.05379412272788388</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0.05040860340592498</v>
      </c>
      <c r="AI881">
        <f>IF($Y881="worse","Yes",IF($Y881="worse, not significant","Not sure",IF(OR($Y881="too few losses to test",$Y881="too few loans to test"),"Too few losses",IF($Y881="","","No"))))</f>
        <v/>
      </c>
      <c r="AJ881">
        <f>IF($AA881="yes","Yes",IF($AA881="","","No"))</f>
        <v/>
      </c>
      <c r="AK881" t="n">
        <v>0.007971925404260264</v>
      </c>
      <c r="AL881" t="n">
        <v>0.004620003387732743</v>
      </c>
      <c r="AM881">
        <f>IF(AND(ISNUMBER($AC881),ISNUMBER(IF($V881,IF($AL881="","",$AL881),IF($AK881="","",$AK881)))),IF(AND(ABS($AC881-significance_bar)&lt;=2.0*IF($V881,IF($AL881="","",$AL881),IF($AK881="","",$AK881)),OR($Y881="worse",$Y881="better",$Y881="worse, not significant",$Y881="better, not significant")),IF(ROUND($AC881,3)=ROUND(significance_bar,3),TEXT($AC881,"0.0000"),TEXT($AC881,"0.000")),""),"")</f>
        <v/>
      </c>
      <c r="AN881">
        <f>IF(AND(ISNUMBER($AC881),ISNUMBER(IF($V881,IF($AL881="","",$AL881),IF($AK881="","",$AK881)))),IF(AND(ABS($AC881-significance_bar)&lt;=2.0*IF($V881,IF($AL881="","",$AL881),IF($AK881="","",$AK881)),OR($Y881="worse",$Y881="worse, not significant")),IF(ROUND($AC881,3)=ROUND(significance_bar,3),TEXT($AC881,"0.0000"),TEXT($AC881,"0.000")),""),"")</f>
        <v/>
      </c>
      <c r="AO881">
        <f>IF(OR($AI881="",$AN881=""),$AI881,$AI881&amp;" · borderline (p "&amp;$AN881&amp;")")</f>
        <v/>
      </c>
    </row>
    <row r="882">
      <c r="A882" t="inlineStr">
        <is>
          <t>three-way</t>
        </is>
      </c>
      <c r="B882" t="inlineStr">
        <is>
          <t>ORIG_BAL x CHANNEL / SYS_FLAG</t>
        </is>
      </c>
      <c r="C882" t="inlineStr">
        <is>
          <t>15,449 - 26,323</t>
        </is>
      </c>
      <c r="D882" t="inlineStr">
        <is>
          <t>Online / SYS_FLAG N</t>
        </is>
      </c>
      <c r="E882" t="inlineStr">
        <is>
          <t>ranr_rate</t>
        </is>
      </c>
      <c r="F882" t="inlineStr">
        <is>
          <t>Profit after losses: RANR per booked dollar</t>
        </is>
      </c>
      <c r="G882" t="n">
        <v>300</v>
      </c>
      <c r="H882" t="n">
        <v>6256047.950000001</v>
      </c>
      <c r="I882" t="b">
        <v>0</v>
      </c>
      <c r="J882" t="b">
        <v>0</v>
      </c>
      <c r="K882" t="n">
        <v>0.01116809746291855</v>
      </c>
      <c r="L882" t="n">
        <v>0.617055941464677</v>
      </c>
      <c r="M882" t="n">
        <v>0.02439584294620145</v>
      </c>
      <c r="N882" t="n">
        <v>0.1811818818118188</v>
      </c>
      <c r="O882" t="n">
        <v>-69868.15323829185</v>
      </c>
      <c r="P882" t="n">
        <v>-152621.5632521056</v>
      </c>
      <c r="Q882">
        <f>'_live'!$C$23</f>
        <v/>
      </c>
      <c r="R882" t="inlineStr">
        <is>
          <t>shuffled: 3,496 of 10,000</t>
        </is>
      </c>
      <c r="S882" t="inlineStr">
        <is>
          <t>shuffled: 603 of 10,000</t>
        </is>
      </c>
      <c r="T882" t="n">
        <v>0.127719314677201</v>
      </c>
      <c r="U882" t="n">
        <v>0.1144915691939181</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0.1388874121401195</v>
      </c>
      <c r="AI882">
        <f>IF($Y882="worse","Yes",IF($Y882="worse, not significant","Not sure",IF(OR($Y882="too few losses to test",$Y882="too few loans to test"),"Too few losses",IF($Y882="","","No"))))</f>
        <v/>
      </c>
      <c r="AJ882">
        <f>IF($AA882="yes","Yes",IF($AA882="","","No"))</f>
        <v/>
      </c>
      <c r="AK882" t="n">
        <v>0.008415249341206051</v>
      </c>
      <c r="AL882" t="n">
        <v>0.007146459061231544</v>
      </c>
      <c r="AM882">
        <f>IF(AND(ISNUMBER($AC882),ISNUMBER(IF($V882,IF($AL882="","",$AL882),IF($AK882="","",$AK882)))),IF(AND(ABS($AC882-significance_bar)&lt;=2.0*IF($V882,IF($AL882="","",$AL882),IF($AK882="","",$AK882)),OR($Y882="worse",$Y882="better",$Y882="worse, not significant",$Y882="better, not significant",AND(profit_kind="test",$Y882="in line",ISNUMBER($AB882),$AB882&lt;&gt;0))),IF(ROUND($AC882,3)=ROUND(significance_bar,3),TEXT($AC882,"0.0000"),TEXT($AC882,"0.000")),""),"")</f>
        <v/>
      </c>
      <c r="AN882">
        <f>IF(AND(ISNUMBER($AC882),ISNUMBER(IF($V882,IF($AL882="","",$AL882),IF($AK882="","",$AK882)))),IF(AND(ABS($AC882-significance_bar)&lt;=2.0*IF($V882,IF($AL882="","",$AL882),IF($AK882="","",$AK882)),OR($Y882="worse",$Y882="worse, not significant",AND(profit_kind="test",$Y882="in line",ISNUMBER($AB882),$AB882&lt;0))),IF(ROUND($AC882,3)=ROUND(significance_bar,3),TEXT($AC882,"0.0000"),TEXT($AC882,"0.000")),""),"")</f>
        <v/>
      </c>
      <c r="AO882">
        <f>IF(OR($AI882="",$AN882=""),$AI882,$AI882&amp;" · borderline (p "&amp;$AN882&amp;")")</f>
        <v/>
      </c>
    </row>
    <row r="883">
      <c r="A883" t="inlineStr">
        <is>
          <t>three-way</t>
        </is>
      </c>
      <c r="B883" t="inlineStr">
        <is>
          <t>ORIG_BAL x CHANNEL / SYS_FLAG</t>
        </is>
      </c>
      <c r="C883" t="inlineStr">
        <is>
          <t>15,449 - 26,323</t>
        </is>
      </c>
      <c r="D883" t="inlineStr">
        <is>
          <t>Online / SYS_FLAG N</t>
        </is>
      </c>
      <c r="E883" t="inlineStr">
        <is>
          <t>contribution_rate</t>
        </is>
      </c>
      <c r="F883" t="inlineStr">
        <is>
          <t>Contribution before losses per booked dollar</t>
        </is>
      </c>
      <c r="G883" t="n">
        <v>300</v>
      </c>
      <c r="H883" t="n">
        <v>6256047.950000001</v>
      </c>
      <c r="I883" t="b">
        <v>0</v>
      </c>
      <c r="J883" t="b">
        <v>0</v>
      </c>
      <c r="K883" t="n">
        <v>0.02019315383091003</v>
      </c>
      <c r="L883" t="n">
        <v>0.052994700529947</v>
      </c>
      <c r="M883" t="n">
        <v>0.02101032362424252</v>
      </c>
      <c r="N883" t="n">
        <v>0.05474452554744525</v>
      </c>
      <c r="O883" t="n">
        <v>-126329.3386278993</v>
      </c>
      <c r="P883" t="n">
        <v>-131441.5920382789</v>
      </c>
      <c r="Q883">
        <f>'_live'!$C$24</f>
        <v/>
      </c>
      <c r="R883" t="inlineStr">
        <is>
          <t>shuffled: 105 of 10,000</t>
        </is>
      </c>
      <c r="S883" t="inlineStr">
        <is>
          <t>shuffled: 72 of 10,000</t>
        </is>
      </c>
      <c r="T883" t="n">
        <v>0.1691028617151344</v>
      </c>
      <c r="U883" t="n">
        <v>0.1682856919218019</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0.1892960155460444</v>
      </c>
      <c r="AI883">
        <f>IF($Y883="worse","Yes",IF($Y883="worse, not significant","Not sure",IF(OR($Y883="too few losses to test",$Y883="too few loans to test"),"Too few losses",IF($Y883="","","No"))))</f>
        <v/>
      </c>
      <c r="AJ883">
        <f>IF($AA883="yes","Yes",IF($AA883="","","No"))</f>
        <v/>
      </c>
      <c r="AK883" t="n">
        <v>0.005120205702561922</v>
      </c>
      <c r="AL883" t="n">
        <v>0.006384253899465657</v>
      </c>
      <c r="AM883">
        <f>IF(AND(ISNUMBER($AC883),ISNUMBER(IF($V883,IF($AL883="","",$AL883),IF($AK883="","",$AK883)))),IF(AND(ABS($AC883-significance_bar)&lt;=2.0*IF($V883,IF($AL883="","",$AL883),IF($AK883="","",$AK883)),OR($Y883="worse",$Y883="better",$Y883="worse, not significant",$Y883="better, not significant",AND(profit_kind="test",$Y883="in line",ISNUMBER($AB883),$AB883&lt;&gt;0))),IF(ROUND($AC883,3)=ROUND(significance_bar,3),TEXT($AC883,"0.0000"),TEXT($AC883,"0.000")),""),"")</f>
        <v/>
      </c>
      <c r="AN883">
        <f>IF(AND(ISNUMBER($AC883),ISNUMBER(IF($V883,IF($AL883="","",$AL883),IF($AK883="","",$AK883)))),IF(AND(ABS($AC883-significance_bar)&lt;=2.0*IF($V883,IF($AL883="","",$AL883),IF($AK883="","",$AK883)),OR($Y883="worse",$Y883="worse, not significant",AND(profit_kind="test",$Y883="in line",ISNUMBER($AB883),$AB883&lt;0))),IF(ROUND($AC883,3)=ROUND(significance_bar,3),TEXT($AC883,"0.0000"),TEXT($AC883,"0.000")),""),"")</f>
        <v/>
      </c>
      <c r="AO883">
        <f>IF(OR($AI883="",$AN883=""),$AI883,$AI883&amp;" · borderline (p "&amp;$AN883&amp;")")</f>
        <v/>
      </c>
    </row>
    <row r="884">
      <c r="A884" t="inlineStr">
        <is>
          <t>three-way</t>
        </is>
      </c>
      <c r="B884" t="inlineStr">
        <is>
          <t>ORIG_BAL x CHANNEL / SYS_FLAG</t>
        </is>
      </c>
      <c r="C884" t="inlineStr">
        <is>
          <t>37,951 - 49,151</t>
        </is>
      </c>
      <c r="D884" t="inlineStr">
        <is>
          <t>Broker / SYS_FLAG N</t>
        </is>
      </c>
      <c r="E884" t="inlineStr">
        <is>
          <t>outcome_loans</t>
        </is>
      </c>
      <c r="F884" t="inlineStr">
        <is>
          <t>Outcome, share of loans</t>
        </is>
      </c>
      <c r="G884" t="n">
        <v>282</v>
      </c>
      <c r="H884" t="n">
        <v>282</v>
      </c>
      <c r="I884" t="b">
        <v>0</v>
      </c>
      <c r="J884" t="b">
        <v>0</v>
      </c>
      <c r="K884" t="n">
        <v>0.6332454135162067</v>
      </c>
      <c r="L884" t="n">
        <v>0.2437463165666249</v>
      </c>
      <c r="M884" t="n">
        <v>0.5452718676122932</v>
      </c>
      <c r="N884" t="n">
        <v>0.07114532450519041</v>
      </c>
      <c r="O884" t="n">
        <v>-8.108332253466372</v>
      </c>
      <c r="P884" t="n">
        <v>-11.6752655538695</v>
      </c>
      <c r="Q884">
        <f>'_live'!$C$20</f>
        <v/>
      </c>
      <c r="R884" t="inlineStr">
        <is>
          <t>z test</t>
        </is>
      </c>
      <c r="S884" t="inlineStr">
        <is>
          <t>z test</t>
        </is>
      </c>
      <c r="T884" t="n">
        <v>0.07839834132434884</v>
      </c>
      <c r="U884" t="n">
        <v>0.09104704097116843</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0.04964539007092199</v>
      </c>
      <c r="AI884">
        <f>IF($Y884="worse","Yes",IF($Y884="worse, not significant","Not sure",IF(OR($Y884="too few losses to test",$Y884="too few loans to test"),"Too few losses",IF($Y884="","","No"))))</f>
        <v/>
      </c>
      <c r="AJ884">
        <f>IF($AA884="yes","Yes",IF($AA884="","","No"))</f>
        <v/>
      </c>
      <c r="AM884">
        <f>IF(AND(ISNUMBER($AC884),ISNUMBER(IF($V884,IF($AL884="","",$AL884),IF($AK884="","",$AK884)))),IF(AND(ABS($AC884-significance_bar)&lt;=2.0*IF($V884,IF($AL884="","",$AL884),IF($AK884="","",$AK884)),OR($Y884="worse",$Y884="better",$Y884="worse, not significant",$Y884="better, not significant")),IF(ROUND($AC884,3)=ROUND(significance_bar,3),TEXT($AC884,"0.0000"),TEXT($AC884,"0.000")),""),"")</f>
        <v/>
      </c>
      <c r="AN884">
        <f>IF(AND(ISNUMBER($AC884),ISNUMBER(IF($V884,IF($AL884="","",$AL884),IF($AK884="","",$AK884)))),IF(AND(ABS($AC884-significance_bar)&lt;=2.0*IF($V884,IF($AL884="","",$AL884),IF($AK884="","",$AK884)),OR($Y884="worse",$Y884="worse, not significant")),IF(ROUND($AC884,3)=ROUND(significance_bar,3),TEXT($AC884,"0.0000"),TEXT($AC884,"0.000")),""),"")</f>
        <v/>
      </c>
      <c r="AO884">
        <f>IF(OR($AI884="",$AN884=""),$AI884,$AI884&amp;" · borderline (p "&amp;$AN884&amp;")")</f>
        <v/>
      </c>
    </row>
    <row r="885">
      <c r="A885" t="inlineStr">
        <is>
          <t>three-way</t>
        </is>
      </c>
      <c r="B885" t="inlineStr">
        <is>
          <t>ORIG_BAL x CHANNEL / SYS_FLAG</t>
        </is>
      </c>
      <c r="C885" t="inlineStr">
        <is>
          <t>37,951 - 49,151</t>
        </is>
      </c>
      <c r="D885" t="inlineStr">
        <is>
          <t>Broker / SYS_FLAG N</t>
        </is>
      </c>
      <c r="E885" t="inlineStr">
        <is>
          <t>outcome_booked</t>
        </is>
      </c>
      <c r="F885" t="inlineStr">
        <is>
          <t>Outcome, share of booked dollars</t>
        </is>
      </c>
      <c r="G885" t="n">
        <v>282</v>
      </c>
      <c r="H885" t="n">
        <v>12242725.38000001</v>
      </c>
      <c r="I885" t="b">
        <v>0</v>
      </c>
      <c r="J885" t="b">
        <v>0</v>
      </c>
      <c r="K885" t="n">
        <v>0.6751232065342381</v>
      </c>
      <c r="L885" t="n">
        <v>0.362963703629637</v>
      </c>
      <c r="M885" t="n">
        <v>0.5709885995395644</v>
      </c>
      <c r="N885" t="n">
        <v>0.09705696097056962</v>
      </c>
      <c r="O885" t="n">
        <v>-302282.1189454013</v>
      </c>
      <c r="P885" t="n">
        <v>-471974.136433129</v>
      </c>
      <c r="Q885">
        <f>'_live'!$C$21</f>
        <v/>
      </c>
      <c r="R885" t="inlineStr">
        <is>
          <t>shuffled: 1,600 of 10,000</t>
        </is>
      </c>
      <c r="S885" t="inlineStr">
        <is>
          <t>shuffled: 311 of 10,000</t>
        </is>
      </c>
      <c r="T885" t="n">
        <v>0.07600036185287695</v>
      </c>
      <c r="U885" t="n">
        <v>0.08986100253709424</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0.05130960799187668</v>
      </c>
      <c r="AI885">
        <f>IF($Y885="worse","Yes",IF($Y885="worse, not significant","Not sure",IF(OR($Y885="too few losses to test",$Y885="too few loans to test"),"Too few losses",IF($Y885="","","No"))))</f>
        <v/>
      </c>
      <c r="AJ885">
        <f>IF($AA885="yes","Yes",IF($AA885="","","No"))</f>
        <v/>
      </c>
      <c r="AK885" t="n">
        <v>0.007708338064114283</v>
      </c>
      <c r="AL885" t="n">
        <v>0.005408649887110219</v>
      </c>
      <c r="AM885">
        <f>IF(AND(ISNUMBER($AC885),ISNUMBER(IF($V885,IF($AL885="","",$AL885),IF($AK885="","",$AK885)))),IF(AND(ABS($AC885-significance_bar)&lt;=2.0*IF($V885,IF($AL885="","",$AL885),IF($AK885="","",$AK885)),OR($Y885="worse",$Y885="better",$Y885="worse, not significant",$Y885="better, not significant")),IF(ROUND($AC885,3)=ROUND(significance_bar,3),TEXT($AC885,"0.0000"),TEXT($AC885,"0.000")),""),"")</f>
        <v/>
      </c>
      <c r="AN885">
        <f>IF(AND(ISNUMBER($AC885),ISNUMBER(IF($V885,IF($AL885="","",$AL885),IF($AK885="","",$AK885)))),IF(AND(ABS($AC885-significance_bar)&lt;=2.0*IF($V885,IF($AL885="","",$AL885),IF($AK885="","",$AK885)),OR($Y885="worse",$Y885="worse, not significant")),IF(ROUND($AC885,3)=ROUND(significance_bar,3),TEXT($AC885,"0.0000"),TEXT($AC885,"0.000")),""),"")</f>
        <v/>
      </c>
      <c r="AO885">
        <f>IF(OR($AI885="",$AN885=""),$AI885,$AI885&amp;" · borderline (p "&amp;$AN885&amp;")")</f>
        <v/>
      </c>
    </row>
    <row r="886">
      <c r="A886" t="inlineStr">
        <is>
          <t>three-way</t>
        </is>
      </c>
      <c r="B886" t="inlineStr">
        <is>
          <t>ORIG_BAL x CHANNEL / SYS_FLAG</t>
        </is>
      </c>
      <c r="C886" t="inlineStr">
        <is>
          <t>37,951 - 49,151</t>
        </is>
      </c>
      <c r="D886" t="inlineStr">
        <is>
          <t>Broker / SYS_FLAG N</t>
        </is>
      </c>
      <c r="E886" t="inlineStr">
        <is>
          <t>gco_rate</t>
        </is>
      </c>
      <c r="F886" t="inlineStr">
        <is>
          <t>GCO per booked dollar</t>
        </is>
      </c>
      <c r="G886" t="n">
        <v>282</v>
      </c>
      <c r="H886" t="n">
        <v>12242725.38000001</v>
      </c>
      <c r="I886" t="b">
        <v>0</v>
      </c>
      <c r="J886" t="b">
        <v>0</v>
      </c>
      <c r="K886" t="n">
        <v>0.7362571628448117</v>
      </c>
      <c r="L886" t="n">
        <v>0.5045095490450955</v>
      </c>
      <c r="M886" t="n">
        <v>0.6188808882850518</v>
      </c>
      <c r="N886" t="n">
        <v>0.183254401832544</v>
      </c>
      <c r="O886" t="n">
        <v>-136042.9562955854</v>
      </c>
      <c r="P886" t="n">
        <v>-233872.1866680214</v>
      </c>
      <c r="Q886">
        <f>'_live'!$C$22</f>
        <v/>
      </c>
      <c r="R886" t="inlineStr">
        <is>
          <t>shuffled: 2,702 of 10,000</t>
        </is>
      </c>
      <c r="S886" t="inlineStr">
        <is>
          <t>shuffled: 719 of 10,000</t>
        </is>
      </c>
      <c r="T886" t="n">
        <v>0.04213250483738164</v>
      </c>
      <c r="U886" t="n">
        <v>0.05012330977140818</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0.03102035847511591</v>
      </c>
      <c r="AI886">
        <f>IF($Y886="worse","Yes",IF($Y886="worse, not significant","Not sure",IF(OR($Y886="too few losses to test",$Y886="too few loans to test"),"Too few losses",IF($Y886="","","No"))))</f>
        <v/>
      </c>
      <c r="AJ886">
        <f>IF($AA886="yes","Yes",IF($AA886="","","No"))</f>
        <v/>
      </c>
      <c r="AK886" t="n">
        <v>0.008289881019289878</v>
      </c>
      <c r="AL886" t="n">
        <v>0.006579388834293042</v>
      </c>
      <c r="AM886">
        <f>IF(AND(ISNUMBER($AC886),ISNUMBER(IF($V886,IF($AL886="","",$AL886),IF($AK886="","",$AK886)))),IF(AND(ABS($AC886-significance_bar)&lt;=2.0*IF($V886,IF($AL886="","",$AL886),IF($AK886="","",$AK886)),OR($Y886="worse",$Y886="better",$Y886="worse, not significant",$Y886="better, not significant")),IF(ROUND($AC886,3)=ROUND(significance_bar,3),TEXT($AC886,"0.0000"),TEXT($AC886,"0.000")),""),"")</f>
        <v/>
      </c>
      <c r="AN886">
        <f>IF(AND(ISNUMBER($AC886),ISNUMBER(IF($V886,IF($AL886="","",$AL886),IF($AK886="","",$AK886)))),IF(AND(ABS($AC886-significance_bar)&lt;=2.0*IF($V886,IF($AL886="","",$AL886),IF($AK886="","",$AK886)),OR($Y886="worse",$Y886="worse, not significant")),IF(ROUND($AC886,3)=ROUND(significance_bar,3),TEXT($AC886,"0.0000"),TEXT($AC886,"0.000")),""),"")</f>
        <v/>
      </c>
      <c r="AO886">
        <f>IF(OR($AI886="",$AN886=""),$AI886,$AI886&amp;" · borderline (p "&amp;$AN886&amp;")")</f>
        <v/>
      </c>
    </row>
    <row r="887">
      <c r="A887" t="inlineStr">
        <is>
          <t>three-way</t>
        </is>
      </c>
      <c r="B887" t="inlineStr">
        <is>
          <t>ORIG_BAL x CHANNEL / SYS_FLAG</t>
        </is>
      </c>
      <c r="C887" t="inlineStr">
        <is>
          <t>37,951 - 49,151</t>
        </is>
      </c>
      <c r="D887" t="inlineStr">
        <is>
          <t>Broker / SYS_FLAG N</t>
        </is>
      </c>
      <c r="E887" t="inlineStr">
        <is>
          <t>ranr_rate</t>
        </is>
      </c>
      <c r="F887" t="inlineStr">
        <is>
          <t>Profit after losses: RANR per booked dollar</t>
        </is>
      </c>
      <c r="G887" t="n">
        <v>282</v>
      </c>
      <c r="H887" t="n">
        <v>12242725.38000001</v>
      </c>
      <c r="I887" t="b">
        <v>0</v>
      </c>
      <c r="J887" t="b">
        <v>0</v>
      </c>
      <c r="K887" t="n">
        <v>0.008096578423759104</v>
      </c>
      <c r="L887" t="n">
        <v>0.6749325067493251</v>
      </c>
      <c r="M887" t="n">
        <v>0.01610253211148001</v>
      </c>
      <c r="N887" t="n">
        <v>0.3410185297259748</v>
      </c>
      <c r="O887" t="n">
        <v>-99124.18615971622</v>
      </c>
      <c r="P887" t="n">
        <v>-197138.8785634816</v>
      </c>
      <c r="Q887">
        <f>'_live'!$C$23</f>
        <v/>
      </c>
      <c r="R887" t="inlineStr">
        <is>
          <t>shuffled: 5,174 of 10,000</t>
        </is>
      </c>
      <c r="S887" t="inlineStr">
        <is>
          <t>shuffled: 2,159 of 10,000</t>
        </is>
      </c>
      <c r="T887" t="n">
        <v>0.1276059492760003</v>
      </c>
      <c r="U887" t="n">
        <v>0.1195999955882794</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0.1357025276997594</v>
      </c>
      <c r="AI887">
        <f>IF($Y887="worse","Yes",IF($Y887="worse, not significant","Not sure",IF(OR($Y887="too few losses to test",$Y887="too few loans to test"),"Too few losses",IF($Y887="","","No"))))</f>
        <v/>
      </c>
      <c r="AJ887">
        <f>IF($AA887="yes","Yes",IF($AA887="","","No"))</f>
        <v/>
      </c>
      <c r="AK887" t="n">
        <v>0.006517766943263425</v>
      </c>
      <c r="AL887" t="n">
        <v>0.006497358482315555</v>
      </c>
      <c r="AM887">
        <f>IF(AND(ISNUMBER($AC887),ISNUMBER(IF($V887,IF($AL887="","",$AL887),IF($AK887="","",$AK887)))),IF(AND(ABS($AC887-significance_bar)&lt;=2.0*IF($V887,IF($AL887="","",$AL887),IF($AK887="","",$AK887)),OR($Y887="worse",$Y887="better",$Y887="worse, not significant",$Y887="better, not significant",AND(profit_kind="test",$Y887="in line",ISNUMBER($AB887),$AB887&lt;&gt;0))),IF(ROUND($AC887,3)=ROUND(significance_bar,3),TEXT($AC887,"0.0000"),TEXT($AC887,"0.000")),""),"")</f>
        <v/>
      </c>
      <c r="AN887">
        <f>IF(AND(ISNUMBER($AC887),ISNUMBER(IF($V887,IF($AL887="","",$AL887),IF($AK887="","",$AK887)))),IF(AND(ABS($AC887-significance_bar)&lt;=2.0*IF($V887,IF($AL887="","",$AL887),IF($AK887="","",$AK887)),OR($Y887="worse",$Y887="worse, not significant",AND(profit_kind="test",$Y887="in line",ISNUMBER($AB887),$AB887&lt;0))),IF(ROUND($AC887,3)=ROUND(significance_bar,3),TEXT($AC887,"0.0000"),TEXT($AC887,"0.000")),""),"")</f>
        <v/>
      </c>
      <c r="AO887">
        <f>IF(OR($AI887="",$AN887=""),$AI887,$AI887&amp;" · borderline (p "&amp;$AN887&amp;")")</f>
        <v/>
      </c>
    </row>
    <row r="888">
      <c r="A888" t="inlineStr">
        <is>
          <t>three-way</t>
        </is>
      </c>
      <c r="B888" t="inlineStr">
        <is>
          <t>ORIG_BAL x CHANNEL / SYS_FLAG</t>
        </is>
      </c>
      <c r="C888" t="inlineStr">
        <is>
          <t>37,951 - 49,151</t>
        </is>
      </c>
      <c r="D888" t="inlineStr">
        <is>
          <t>Broker / SYS_FLAG N</t>
        </is>
      </c>
      <c r="E888" t="inlineStr">
        <is>
          <t>contribution_rate</t>
        </is>
      </c>
      <c r="F888" t="inlineStr">
        <is>
          <t>Contribution before losses per booked dollar</t>
        </is>
      </c>
      <c r="G888" t="n">
        <v>282</v>
      </c>
      <c r="H888" t="n">
        <v>12242725.38000001</v>
      </c>
      <c r="I888" t="b">
        <v>0</v>
      </c>
      <c r="J888" t="b">
        <v>0</v>
      </c>
      <c r="K888" t="n">
        <v>-0.003012504254946674</v>
      </c>
      <c r="L888" t="n">
        <v>0.7192280771922808</v>
      </c>
      <c r="M888" t="n">
        <v>-0.002981770504895676</v>
      </c>
      <c r="N888" t="n">
        <v>0.7119288071192881</v>
      </c>
      <c r="O888" t="n">
        <v>36881.26229939354</v>
      </c>
      <c r="P888" t="n">
        <v>36504.9974376217</v>
      </c>
      <c r="Q888">
        <f>'_live'!$C$24</f>
        <v/>
      </c>
      <c r="R888" t="inlineStr">
        <is>
          <t>shuffled: 7,192 of 10,000</t>
        </is>
      </c>
      <c r="S888" t="inlineStr">
        <is>
          <t>shuffled: 7,119 of 10,000</t>
        </is>
      </c>
      <c r="T888" t="n">
        <v>0.1697353904298221</v>
      </c>
      <c r="U888" t="n">
        <v>0.1697046566797711</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0.1667228861748754</v>
      </c>
      <c r="AI888">
        <f>IF($Y888="worse","Yes",IF($Y888="worse, not significant","Not sure",IF(OR($Y888="too few losses to test",$Y888="too few loans to test"),"Too few losses",IF($Y888="","","No"))))</f>
        <v/>
      </c>
      <c r="AJ888">
        <f>IF($AA888="yes","Yes",IF($AA888="","","No"))</f>
        <v/>
      </c>
      <c r="AK888" t="n">
        <v>0.004493762901740315</v>
      </c>
      <c r="AL888" t="n">
        <v>0.004528644175832272</v>
      </c>
      <c r="AM888">
        <f>IF(AND(ISNUMBER($AC888),ISNUMBER(IF($V888,IF($AL888="","",$AL888),IF($AK888="","",$AK888)))),IF(AND(ABS($AC888-significance_bar)&lt;=2.0*IF($V888,IF($AL888="","",$AL888),IF($AK888="","",$AK888)),OR($Y888="worse",$Y888="better",$Y888="worse, not significant",$Y888="better, not significant",AND(profit_kind="test",$Y888="in line",ISNUMBER($AB888),$AB888&lt;&gt;0))),IF(ROUND($AC888,3)=ROUND(significance_bar,3),TEXT($AC888,"0.0000"),TEXT($AC888,"0.000")),""),"")</f>
        <v/>
      </c>
      <c r="AN888">
        <f>IF(AND(ISNUMBER($AC888),ISNUMBER(IF($V888,IF($AL888="","",$AL888),IF($AK888="","",$AK888)))),IF(AND(ABS($AC888-significance_bar)&lt;=2.0*IF($V888,IF($AL888="","",$AL888),IF($AK888="","",$AK888)),OR($Y888="worse",$Y888="worse, not significant",AND(profit_kind="test",$Y888="in line",ISNUMBER($AB888),$AB888&lt;0))),IF(ROUND($AC888,3)=ROUND(significance_bar,3),TEXT($AC888,"0.0000"),TEXT($AC888,"0.000")),""),"")</f>
        <v/>
      </c>
      <c r="AO888">
        <f>IF(OR($AI888="",$AN888=""),$AI888,$AI888&amp;" · borderline (p "&amp;$AN888&amp;")")</f>
        <v/>
      </c>
    </row>
    <row r="889">
      <c r="A889" t="inlineStr">
        <is>
          <t>three-way</t>
        </is>
      </c>
      <c r="B889" t="inlineStr">
        <is>
          <t>ORIG_BAL x CHANNEL / SYS_FLAG</t>
        </is>
      </c>
      <c r="C889" t="inlineStr">
        <is>
          <t>5,005 - 15,448</t>
        </is>
      </c>
      <c r="D889" t="inlineStr">
        <is>
          <t>Broker / SYS_FLAG Y</t>
        </is>
      </c>
      <c r="E889" t="inlineStr">
        <is>
          <t>outcome_loans</t>
        </is>
      </c>
      <c r="F889" t="inlineStr">
        <is>
          <t>Outcome, share of loans</t>
        </is>
      </c>
      <c r="G889" t="n">
        <v>237</v>
      </c>
      <c r="H889" t="n">
        <v>237</v>
      </c>
      <c r="I889" t="b">
        <v>0</v>
      </c>
      <c r="J889" t="b">
        <v>0</v>
      </c>
      <c r="K889" t="n">
        <v>1.43596530549804</v>
      </c>
      <c r="L889" t="n">
        <v>0.2348537441963027</v>
      </c>
      <c r="M889" t="n">
        <v>1.541519857323068</v>
      </c>
      <c r="N889" t="n">
        <v>0.1013732936966139</v>
      </c>
      <c r="O889" t="n">
        <v>7.893712960577169</v>
      </c>
      <c r="P889" t="n">
        <v>9.133528980190757</v>
      </c>
      <c r="Q889">
        <f>'_live'!$C$20</f>
        <v/>
      </c>
      <c r="R889" t="inlineStr">
        <is>
          <t>z test</t>
        </is>
      </c>
      <c r="S889" t="inlineStr">
        <is>
          <t>z test</t>
        </is>
      </c>
      <c r="T889" t="n">
        <v>0.07639783560937903</v>
      </c>
      <c r="U889" t="n">
        <v>0.07116654438738078</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0.109704641350211</v>
      </c>
      <c r="AI889">
        <f>IF($Y889="worse","Yes",IF($Y889="worse, not significant","Not sure",IF(OR($Y889="too few losses to test",$Y889="too few loans to test"),"Too few losses",IF($Y889="","","No"))))</f>
        <v/>
      </c>
      <c r="AJ889">
        <f>IF($AA889="yes","Yes",IF($AA889="","","No"))</f>
        <v/>
      </c>
      <c r="AM889">
        <f>IF(AND(ISNUMBER($AC889),ISNUMBER(IF($V889,IF($AL889="","",$AL889),IF($AK889="","",$AK889)))),IF(AND(ABS($AC889-significance_bar)&lt;=2.0*IF($V889,IF($AL889="","",$AL889),IF($AK889="","",$AK889)),OR($Y889="worse",$Y889="better",$Y889="worse, not significant",$Y889="better, not significant")),IF(ROUND($AC889,3)=ROUND(significance_bar,3),TEXT($AC889,"0.0000"),TEXT($AC889,"0.000")),""),"")</f>
        <v/>
      </c>
      <c r="AN889">
        <f>IF(AND(ISNUMBER($AC889),ISNUMBER(IF($V889,IF($AL889="","",$AL889),IF($AK889="","",$AK889)))),IF(AND(ABS($AC889-significance_bar)&lt;=2.0*IF($V889,IF($AL889="","",$AL889),IF($AK889="","",$AK889)),OR($Y889="worse",$Y889="worse, not significant")),IF(ROUND($AC889,3)=ROUND(significance_bar,3),TEXT($AC889,"0.0000"),TEXT($AC889,"0.000")),""),"")</f>
        <v/>
      </c>
      <c r="AO889">
        <f>IF(OR($AI889="",$AN889=""),$AI889,$AI889&amp;" · borderline (p "&amp;$AN889&amp;")")</f>
        <v/>
      </c>
    </row>
    <row r="890">
      <c r="A890" t="inlineStr">
        <is>
          <t>three-way</t>
        </is>
      </c>
      <c r="B890" t="inlineStr">
        <is>
          <t>ORIG_BAL x CHANNEL / SYS_FLAG</t>
        </is>
      </c>
      <c r="C890" t="inlineStr">
        <is>
          <t>5,005 - 15,448</t>
        </is>
      </c>
      <c r="D890" t="inlineStr">
        <is>
          <t>Broker / SYS_FLAG Y</t>
        </is>
      </c>
      <c r="E890" t="inlineStr">
        <is>
          <t>outcome_booked</t>
        </is>
      </c>
      <c r="F890" t="inlineStr">
        <is>
          <t>Outcome, share of booked dollars</t>
        </is>
      </c>
      <c r="G890" t="n">
        <v>237</v>
      </c>
      <c r="H890" t="n">
        <v>2434424.000000001</v>
      </c>
      <c r="I890" t="b">
        <v>0</v>
      </c>
      <c r="J890" t="b">
        <v>0</v>
      </c>
      <c r="K890" t="n">
        <v>1.323018673949389</v>
      </c>
      <c r="L890" t="n">
        <v>0.378335499783355</v>
      </c>
      <c r="M890" t="n">
        <v>1.380509353887142</v>
      </c>
      <c r="N890" t="n">
        <v>0.3295670432956704</v>
      </c>
      <c r="O890" t="n">
        <v>58663.97770832235</v>
      </c>
      <c r="P890" t="n">
        <v>66227.11472714509</v>
      </c>
      <c r="Q890">
        <f>'_live'!$C$21</f>
        <v/>
      </c>
      <c r="R890" t="inlineStr">
        <is>
          <t>shuffled: 2,026 of 10,000</t>
        </is>
      </c>
      <c r="S890" t="inlineStr">
        <is>
          <t>shuffled: 1,534 of 10,000</t>
        </is>
      </c>
      <c r="T890" t="n">
        <v>0.07460151653601738</v>
      </c>
      <c r="U890" t="n">
        <v>0.07149477053826894</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0.0986991994820951</v>
      </c>
      <c r="AI890">
        <f>IF($Y890="worse","Yes",IF($Y890="worse, not significant","Not sure",IF(OR($Y890="too few losses to test",$Y890="too few loans to test"),"Too few losses",IF($Y890="","","No"))))</f>
        <v/>
      </c>
      <c r="AJ890">
        <f>IF($AA890="yes","Yes",IF($AA890="","","No"))</f>
        <v/>
      </c>
      <c r="AK890" t="n">
        <v>0.00750392241341781</v>
      </c>
      <c r="AL890" t="n">
        <v>0.007419701143339202</v>
      </c>
      <c r="AM890">
        <f>IF(AND(ISNUMBER($AC890),ISNUMBER(IF($V890,IF($AL890="","",$AL890),IF($AK890="","",$AK890)))),IF(AND(ABS($AC890-significance_bar)&lt;=2.0*IF($V890,IF($AL890="","",$AL890),IF($AK890="","",$AK890)),OR($Y890="worse",$Y890="better",$Y890="worse, not significant",$Y890="better, not significant")),IF(ROUND($AC890,3)=ROUND(significance_bar,3),TEXT($AC890,"0.0000"),TEXT($AC890,"0.000")),""),"")</f>
        <v/>
      </c>
      <c r="AN890">
        <f>IF(AND(ISNUMBER($AC890),ISNUMBER(IF($V890,IF($AL890="","",$AL890),IF($AK890="","",$AK890)))),IF(AND(ABS($AC890-significance_bar)&lt;=2.0*IF($V890,IF($AL890="","",$AL890),IF($AK890="","",$AK890)),OR($Y890="worse",$Y890="worse, not significant")),IF(ROUND($AC890,3)=ROUND(significance_bar,3),TEXT($AC890,"0.0000"),TEXT($AC890,"0.000")),""),"")</f>
        <v/>
      </c>
      <c r="AO890">
        <f>IF(OR($AI890="",$AN890=""),$AI890,$AI890&amp;" · borderline (p "&amp;$AN890&amp;")")</f>
        <v/>
      </c>
    </row>
    <row r="891">
      <c r="A891" t="inlineStr">
        <is>
          <t>three-way</t>
        </is>
      </c>
      <c r="B891" t="inlineStr">
        <is>
          <t>ORIG_BAL x CHANNEL / SYS_FLAG</t>
        </is>
      </c>
      <c r="C891" t="inlineStr">
        <is>
          <t>5,005 - 15,448</t>
        </is>
      </c>
      <c r="D891" t="inlineStr">
        <is>
          <t>Broker / SYS_FLAG Y</t>
        </is>
      </c>
      <c r="E891" t="inlineStr">
        <is>
          <t>gco_rate</t>
        </is>
      </c>
      <c r="F891" t="inlineStr">
        <is>
          <t>GCO per booked dollar</t>
        </is>
      </c>
      <c r="G891" t="n">
        <v>237</v>
      </c>
      <c r="H891" t="n">
        <v>2434424.000000001</v>
      </c>
      <c r="I891" t="b">
        <v>0</v>
      </c>
      <c r="J891" t="b">
        <v>0</v>
      </c>
      <c r="K891" t="n">
        <v>1.348775623307876</v>
      </c>
      <c r="L891" t="n">
        <v>0.4330233643302336</v>
      </c>
      <c r="M891" t="n">
        <v>1.440317846982329</v>
      </c>
      <c r="N891" t="n">
        <v>0.2569281533385123</v>
      </c>
      <c r="O891" t="n">
        <v>35209.82771354711</v>
      </c>
      <c r="P891" t="n">
        <v>41626.07202442622</v>
      </c>
      <c r="Q891">
        <f>'_live'!$C$22</f>
        <v/>
      </c>
      <c r="R891" t="inlineStr">
        <is>
          <t>shuffled: 1,855 of 10,000</t>
        </is>
      </c>
      <c r="S891" t="inlineStr">
        <is>
          <t>shuffled: 1,192 of 10,000</t>
        </is>
      </c>
      <c r="T891" t="n">
        <v>0.04146880834499366</v>
      </c>
      <c r="U891" t="n">
        <v>0.03883317695503074</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0.05593211782335367</v>
      </c>
      <c r="AI891">
        <f>IF($Y891="worse","Yes",IF($Y891="worse, not significant","Not sure",IF(OR($Y891="too few losses to test",$Y891="too few loans to test"),"Too few losses",IF($Y891="","","No"))))</f>
        <v/>
      </c>
      <c r="AJ891">
        <f>IF($AA891="yes","Yes",IF($AA891="","","No"))</f>
        <v/>
      </c>
      <c r="AK891" t="n">
        <v>0.009071265711288608</v>
      </c>
      <c r="AL891" t="n">
        <v>0.006981200748474517</v>
      </c>
      <c r="AM891">
        <f>IF(AND(ISNUMBER($AC891),ISNUMBER(IF($V891,IF($AL891="","",$AL891),IF($AK891="","",$AK891)))),IF(AND(ABS($AC891-significance_bar)&lt;=2.0*IF($V891,IF($AL891="","",$AL891),IF($AK891="","",$AK891)),OR($Y891="worse",$Y891="better",$Y891="worse, not significant",$Y891="better, not significant")),IF(ROUND($AC891,3)=ROUND(significance_bar,3),TEXT($AC891,"0.0000"),TEXT($AC891,"0.000")),""),"")</f>
        <v/>
      </c>
      <c r="AN891">
        <f>IF(AND(ISNUMBER($AC891),ISNUMBER(IF($V891,IF($AL891="","",$AL891),IF($AK891="","",$AK891)))),IF(AND(ABS($AC891-significance_bar)&lt;=2.0*IF($V891,IF($AL891="","",$AL891),IF($AK891="","",$AK891)),OR($Y891="worse",$Y891="worse, not significant")),IF(ROUND($AC891,3)=ROUND(significance_bar,3),TEXT($AC891,"0.0000"),TEXT($AC891,"0.000")),""),"")</f>
        <v/>
      </c>
      <c r="AO891">
        <f>IF(OR($AI891="",$AN891=""),$AI891,$AI891&amp;" · borderline (p "&amp;$AN891&amp;")")</f>
        <v/>
      </c>
    </row>
    <row r="892">
      <c r="A892" t="inlineStr">
        <is>
          <t>three-way</t>
        </is>
      </c>
      <c r="B892" t="inlineStr">
        <is>
          <t>ORIG_BAL x CHANNEL / SYS_FLAG</t>
        </is>
      </c>
      <c r="C892" t="inlineStr">
        <is>
          <t>5,005 - 15,448</t>
        </is>
      </c>
      <c r="D892" t="inlineStr">
        <is>
          <t>Broker / SYS_FLAG Y</t>
        </is>
      </c>
      <c r="E892" t="inlineStr">
        <is>
          <t>ranr_rate</t>
        </is>
      </c>
      <c r="F892" t="inlineStr">
        <is>
          <t>Profit after losses: RANR per booked dollar</t>
        </is>
      </c>
      <c r="G892" t="n">
        <v>237</v>
      </c>
      <c r="H892" t="n">
        <v>2434424.000000001</v>
      </c>
      <c r="I892" t="b">
        <v>0</v>
      </c>
      <c r="J892" t="b">
        <v>0</v>
      </c>
      <c r="K892" t="n">
        <v>-0.003418609652139942</v>
      </c>
      <c r="L892" t="n">
        <v>0.8510577513677203</v>
      </c>
      <c r="M892" t="n">
        <v>-0.02597099770100356</v>
      </c>
      <c r="N892" t="n">
        <v>0.1766073392660734</v>
      </c>
      <c r="O892" t="n">
        <v>8322.345383801148</v>
      </c>
      <c r="P892" t="n">
        <v>63224.42010726791</v>
      </c>
      <c r="Q892">
        <f>'_live'!$C$23</f>
        <v/>
      </c>
      <c r="R892" t="inlineStr">
        <is>
          <t>shuffled: 7,943 of 10,000</t>
        </is>
      </c>
      <c r="S892" t="inlineStr">
        <is>
          <t>shuffled: 470 of 10,000</t>
        </is>
      </c>
      <c r="T892" t="n">
        <v>0.1280222982454169</v>
      </c>
      <c r="U892" t="n">
        <v>0.1505746862942805</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0.1246036885932769</v>
      </c>
      <c r="AI892">
        <f>IF($Y892="worse","Yes",IF($Y892="worse, not significant","Not sure",IF(OR($Y892="too few losses to test",$Y892="too few loans to test"),"Too few losses",IF($Y892="","","No"))))</f>
        <v/>
      </c>
      <c r="AJ892">
        <f>IF($AA892="yes","Yes",IF($AA892="","","No"))</f>
        <v/>
      </c>
      <c r="AK892" t="n">
        <v>0.004330684640885878</v>
      </c>
      <c r="AL892" t="n">
        <v>0.007944100767016574</v>
      </c>
      <c r="AM892">
        <f>IF(AND(ISNUMBER($AC892),ISNUMBER(IF($V892,IF($AL892="","",$AL892),IF($AK892="","",$AK892)))),IF(AND(ABS($AC892-significance_bar)&lt;=2.0*IF($V892,IF($AL892="","",$AL892),IF($AK892="","",$AK892)),OR($Y892="worse",$Y892="better",$Y892="worse, not significant",$Y892="better, not significant",AND(profit_kind="test",$Y892="in line",ISNUMBER($AB892),$AB892&lt;&gt;0))),IF(ROUND($AC892,3)=ROUND(significance_bar,3),TEXT($AC892,"0.0000"),TEXT($AC892,"0.000")),""),"")</f>
        <v/>
      </c>
      <c r="AN892">
        <f>IF(AND(ISNUMBER($AC892),ISNUMBER(IF($V892,IF($AL892="","",$AL892),IF($AK892="","",$AK892)))),IF(AND(ABS($AC892-significance_bar)&lt;=2.0*IF($V892,IF($AL892="","",$AL892),IF($AK892="","",$AK892)),OR($Y892="worse",$Y892="worse, not significant",AND(profit_kind="test",$Y892="in line",ISNUMBER($AB892),$AB892&lt;0))),IF(ROUND($AC892,3)=ROUND(significance_bar,3),TEXT($AC892,"0.0000"),TEXT($AC892,"0.000")),""),"")</f>
        <v/>
      </c>
      <c r="AO892">
        <f>IF(OR($AI892="",$AN892=""),$AI892,$AI892&amp;" · borderline (p "&amp;$AN892&amp;")")</f>
        <v/>
      </c>
    </row>
    <row r="893">
      <c r="A893" t="inlineStr">
        <is>
          <t>three-way</t>
        </is>
      </c>
      <c r="B893" t="inlineStr">
        <is>
          <t>ORIG_BAL x CHANNEL / SYS_FLAG</t>
        </is>
      </c>
      <c r="C893" t="inlineStr">
        <is>
          <t>5,005 - 15,448</t>
        </is>
      </c>
      <c r="D893" t="inlineStr">
        <is>
          <t>Broker / SYS_FLAG Y</t>
        </is>
      </c>
      <c r="E893" t="inlineStr">
        <is>
          <t>contribution_rate</t>
        </is>
      </c>
      <c r="F893" t="inlineStr">
        <is>
          <t>Contribution before losses per booked dollar</t>
        </is>
      </c>
      <c r="G893" t="n">
        <v>237</v>
      </c>
      <c r="H893" t="n">
        <v>2434424.000000001</v>
      </c>
      <c r="I893" t="b">
        <v>0</v>
      </c>
      <c r="J893" t="b">
        <v>0</v>
      </c>
      <c r="K893" t="n">
        <v>0.01104758129876679</v>
      </c>
      <c r="L893" t="n">
        <v>0.3228624505970455</v>
      </c>
      <c r="M893" t="n">
        <v>-0.008872056832680636</v>
      </c>
      <c r="N893" t="n">
        <v>0.4010468518365554</v>
      </c>
      <c r="O893" t="n">
        <v>-26894.49705566908</v>
      </c>
      <c r="P893" t="n">
        <v>21598.34808284172</v>
      </c>
      <c r="Q893">
        <f>'_live'!$C$24</f>
        <v/>
      </c>
      <c r="R893" t="inlineStr">
        <is>
          <t>shuffled: 2,044 of 10,000</t>
        </is>
      </c>
      <c r="S893" t="inlineStr">
        <is>
          <t>shuffled: 3,065 of 10,000</t>
        </is>
      </c>
      <c r="T893" t="n">
        <v>0.1694882251178638</v>
      </c>
      <c r="U893" t="n">
        <v>0.1894078632493112</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0.1805358064166306</v>
      </c>
      <c r="AI893">
        <f>IF($Y893="worse","Yes",IF($Y893="worse, not significant","Not sure",IF(OR($Y893="too few losses to test",$Y893="too few loans to test"),"Too few losses",IF($Y893="","","No"))))</f>
        <v/>
      </c>
      <c r="AJ893">
        <f>IF($AA893="yes","Yes",IF($AA893="","","No"))</f>
        <v/>
      </c>
      <c r="AK893" t="n">
        <v>0.00636822310167167</v>
      </c>
      <c r="AL893" t="n">
        <v>0.006018853811017649</v>
      </c>
      <c r="AM893">
        <f>IF(AND(ISNUMBER($AC893),ISNUMBER(IF($V893,IF($AL893="","",$AL893),IF($AK893="","",$AK893)))),IF(AND(ABS($AC893-significance_bar)&lt;=2.0*IF($V893,IF($AL893="","",$AL893),IF($AK893="","",$AK893)),OR($Y893="worse",$Y893="better",$Y893="worse, not significant",$Y893="better, not significant",AND(profit_kind="test",$Y893="in line",ISNUMBER($AB893),$AB893&lt;&gt;0))),IF(ROUND($AC893,3)=ROUND(significance_bar,3),TEXT($AC893,"0.0000"),TEXT($AC893,"0.000")),""),"")</f>
        <v/>
      </c>
      <c r="AN893">
        <f>IF(AND(ISNUMBER($AC893),ISNUMBER(IF($V893,IF($AL893="","",$AL893),IF($AK893="","",$AK893)))),IF(AND(ABS($AC893-significance_bar)&lt;=2.0*IF($V893,IF($AL893="","",$AL893),IF($AK893="","",$AK893)),OR($Y893="worse",$Y893="worse, not significant",AND(profit_kind="test",$Y893="in line",ISNUMBER($AB893),$AB893&lt;0))),IF(ROUND($AC893,3)=ROUND(significance_bar,3),TEXT($AC893,"0.0000"),TEXT($AC893,"0.000")),""),"")</f>
        <v/>
      </c>
      <c r="AO893">
        <f>IF(OR($AI893="",$AN893=""),$AI893,$AI893&amp;" · borderline (p "&amp;$AN893&amp;")")</f>
        <v/>
      </c>
    </row>
    <row r="894">
      <c r="A894" t="inlineStr">
        <is>
          <t>three-way</t>
        </is>
      </c>
      <c r="B894" t="inlineStr">
        <is>
          <t>ORIG_BAL x CHANNEL / SYS_FLAG</t>
        </is>
      </c>
      <c r="C894" t="inlineStr">
        <is>
          <t>5,005 - 15,448</t>
        </is>
      </c>
      <c r="D894" t="inlineStr">
        <is>
          <t>Branch / SYS_FLAG N</t>
        </is>
      </c>
      <c r="E894" t="inlineStr">
        <is>
          <t>outcome_loans</t>
        </is>
      </c>
      <c r="F894" t="inlineStr">
        <is>
          <t>Outcome, share of loans</t>
        </is>
      </c>
      <c r="G894" t="n">
        <v>301</v>
      </c>
      <c r="H894" t="n">
        <v>301</v>
      </c>
      <c r="I894" t="b">
        <v>0</v>
      </c>
      <c r="J894" t="b">
        <v>0</v>
      </c>
      <c r="K894" t="n">
        <v>0.7222105716272448</v>
      </c>
      <c r="L894" t="n">
        <v>0.3584896983353595</v>
      </c>
      <c r="M894" t="n">
        <v>0.6921268726885225</v>
      </c>
      <c r="N894" t="n">
        <v>0.2808242493725803</v>
      </c>
      <c r="O894" t="n">
        <v>-6.538841257469471</v>
      </c>
      <c r="P894" t="n">
        <v>-7.561970746728253</v>
      </c>
      <c r="Q894">
        <f>'_live'!$C$20</f>
        <v/>
      </c>
      <c r="R894" t="inlineStr">
        <is>
          <t>z test</t>
        </is>
      </c>
      <c r="S894" t="inlineStr">
        <is>
          <t>z test</t>
        </is>
      </c>
      <c r="T894" t="n">
        <v>0.07820213042348662</v>
      </c>
      <c r="U894" t="n">
        <v>0.08160123171670516</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0.05647840531561462</v>
      </c>
      <c r="AI894">
        <f>IF($Y894="worse","Yes",IF($Y894="worse, not significant","Not sure",IF(OR($Y894="too few losses to test",$Y894="too few loans to test"),"Too few losses",IF($Y894="","","No"))))</f>
        <v/>
      </c>
      <c r="AJ894">
        <f>IF($AA894="yes","Yes",IF($AA894="","","No"))</f>
        <v/>
      </c>
      <c r="AM894">
        <f>IF(AND(ISNUMBER($AC894),ISNUMBER(IF($V894,IF($AL894="","",$AL894),IF($AK894="","",$AK894)))),IF(AND(ABS($AC894-significance_bar)&lt;=2.0*IF($V894,IF($AL894="","",$AL894),IF($AK894="","",$AK894)),OR($Y894="worse",$Y894="better",$Y894="worse, not significant",$Y894="better, not significant")),IF(ROUND($AC894,3)=ROUND(significance_bar,3),TEXT($AC894,"0.0000"),TEXT($AC894,"0.000")),""),"")</f>
        <v/>
      </c>
      <c r="AN894">
        <f>IF(AND(ISNUMBER($AC894),ISNUMBER(IF($V894,IF($AL894="","",$AL894),IF($AK894="","",$AK894)))),IF(AND(ABS($AC894-significance_bar)&lt;=2.0*IF($V894,IF($AL894="","",$AL894),IF($AK894="","",$AK894)),OR($Y894="worse",$Y894="worse, not significant")),IF(ROUND($AC894,3)=ROUND(significance_bar,3),TEXT($AC894,"0.0000"),TEXT($AC894,"0.000")),""),"")</f>
        <v/>
      </c>
      <c r="AO894">
        <f>IF(OR($AI894="",$AN894=""),$AI894,$AI894&amp;" · borderline (p "&amp;$AN894&amp;")")</f>
        <v/>
      </c>
    </row>
    <row r="895">
      <c r="A895" t="inlineStr">
        <is>
          <t>three-way</t>
        </is>
      </c>
      <c r="B895" t="inlineStr">
        <is>
          <t>ORIG_BAL x CHANNEL / SYS_FLAG</t>
        </is>
      </c>
      <c r="C895" t="inlineStr">
        <is>
          <t>5,005 - 15,448</t>
        </is>
      </c>
      <c r="D895" t="inlineStr">
        <is>
          <t>Branch / SYS_FLAG N</t>
        </is>
      </c>
      <c r="E895" t="inlineStr">
        <is>
          <t>outcome_booked</t>
        </is>
      </c>
      <c r="F895" t="inlineStr">
        <is>
          <t>Outcome, share of booked dollars</t>
        </is>
      </c>
      <c r="G895" t="n">
        <v>301</v>
      </c>
      <c r="H895" t="n">
        <v>3094179.669999999</v>
      </c>
      <c r="I895" t="b">
        <v>0</v>
      </c>
      <c r="J895" t="b">
        <v>0</v>
      </c>
      <c r="K895" t="n">
        <v>0.7678692878625953</v>
      </c>
      <c r="L895" t="n">
        <v>0.5414987912973408</v>
      </c>
      <c r="M895" t="n">
        <v>0.7220178946610468</v>
      </c>
      <c r="N895" t="n">
        <v>0.3688631136886312</v>
      </c>
      <c r="O895" t="n">
        <v>-53896.16882538312</v>
      </c>
      <c r="P895" t="n">
        <v>-68640.6625834466</v>
      </c>
      <c r="Q895">
        <f>'_live'!$C$21</f>
        <v/>
      </c>
      <c r="R895" t="inlineStr">
        <is>
          <t>shuffled: 3,103 of 10,000</t>
        </is>
      </c>
      <c r="S895" t="inlineStr">
        <is>
          <t>shuffled: 2,107 of 10,000</t>
        </is>
      </c>
      <c r="T895" t="n">
        <v>0.07503774298451879</v>
      </c>
      <c r="U895" t="n">
        <v>0.07980297814556019</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0.0576191782683389</v>
      </c>
      <c r="AI895">
        <f>IF($Y895="worse","Yes",IF($Y895="worse, not significant","Not sure",IF(OR($Y895="too few losses to test",$Y895="too few loans to test"),"Too few losses",IF($Y895="","","No"))))</f>
        <v/>
      </c>
      <c r="AJ895">
        <f>IF($AA895="yes","Yes",IF($AA895="","","No"))</f>
        <v/>
      </c>
      <c r="AK895" t="n">
        <v>0.007737308454238563</v>
      </c>
      <c r="AL895" t="n">
        <v>0.007137579788100673</v>
      </c>
      <c r="AM895">
        <f>IF(AND(ISNUMBER($AC895),ISNUMBER(IF($V895,IF($AL895="","",$AL895),IF($AK895="","",$AK895)))),IF(AND(ABS($AC895-significance_bar)&lt;=2.0*IF($V895,IF($AL895="","",$AL895),IF($AK895="","",$AK895)),OR($Y895="worse",$Y895="better",$Y895="worse, not significant",$Y895="better, not significant")),IF(ROUND($AC895,3)=ROUND(significance_bar,3),TEXT($AC895,"0.0000"),TEXT($AC895,"0.000")),""),"")</f>
        <v/>
      </c>
      <c r="AN895">
        <f>IF(AND(ISNUMBER($AC895),ISNUMBER(IF($V895,IF($AL895="","",$AL895),IF($AK895="","",$AK895)))),IF(AND(ABS($AC895-significance_bar)&lt;=2.0*IF($V895,IF($AL895="","",$AL895),IF($AK895="","",$AK895)),OR($Y895="worse",$Y895="worse, not significant")),IF(ROUND($AC895,3)=ROUND(significance_bar,3),TEXT($AC895,"0.0000"),TEXT($AC895,"0.000")),""),"")</f>
        <v/>
      </c>
      <c r="AO895">
        <f>IF(OR($AI895="",$AN895=""),$AI895,$AI895&amp;" · borderline (p "&amp;$AN895&amp;")")</f>
        <v/>
      </c>
    </row>
    <row r="896">
      <c r="A896" t="inlineStr">
        <is>
          <t>three-way</t>
        </is>
      </c>
      <c r="B896" t="inlineStr">
        <is>
          <t>ORIG_BAL x CHANNEL / SYS_FLAG</t>
        </is>
      </c>
      <c r="C896" t="inlineStr">
        <is>
          <t>5,005 - 15,448</t>
        </is>
      </c>
      <c r="D896" t="inlineStr">
        <is>
          <t>Branch / SYS_FLAG N</t>
        </is>
      </c>
      <c r="E896" t="inlineStr">
        <is>
          <t>gco_rate</t>
        </is>
      </c>
      <c r="F896" t="inlineStr">
        <is>
          <t>GCO per booked dollar</t>
        </is>
      </c>
      <c r="G896" t="n">
        <v>301</v>
      </c>
      <c r="H896" t="n">
        <v>3094179.669999999</v>
      </c>
      <c r="I896" t="b">
        <v>0</v>
      </c>
      <c r="J896" t="b">
        <v>0</v>
      </c>
      <c r="K896" t="n">
        <v>0.6792386678345373</v>
      </c>
      <c r="L896" t="n">
        <v>0.4330233643302336</v>
      </c>
      <c r="M896" t="n">
        <v>0.637999144427607</v>
      </c>
      <c r="N896" t="n">
        <v>0.2536079725360798</v>
      </c>
      <c r="O896" t="n">
        <v>-41452.38691920946</v>
      </c>
      <c r="P896" t="n">
        <v>-49805.7445667545</v>
      </c>
      <c r="Q896">
        <f>'_live'!$C$22</f>
        <v/>
      </c>
      <c r="R896" t="inlineStr">
        <is>
          <t>shuffled: 1,744 of 10,000</t>
        </is>
      </c>
      <c r="S896" t="inlineStr">
        <is>
          <t>shuffled: 1,086 of 10,000</t>
        </is>
      </c>
      <c r="T896" t="n">
        <v>0.04176591559054794</v>
      </c>
      <c r="U896" t="n">
        <v>0.04446561584665654</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0.02836902486661352</v>
      </c>
      <c r="AI896">
        <f>IF($Y896="worse","Yes",IF($Y896="worse, not significant","Not sure",IF(OR($Y896="too few losses to test",$Y896="too few loans to test"),"Too few losses",IF($Y896="","","No"))))</f>
        <v/>
      </c>
      <c r="AJ896">
        <f>IF($AA896="yes","Yes",IF($AA896="","","No"))</f>
        <v/>
      </c>
      <c r="AK896" t="n">
        <v>0.009071265711288608</v>
      </c>
      <c r="AL896" t="n">
        <v>0.00726247156403148</v>
      </c>
      <c r="AM896">
        <f>IF(AND(ISNUMBER($AC896),ISNUMBER(IF($V896,IF($AL896="","",$AL896),IF($AK896="","",$AK896)))),IF(AND(ABS($AC896-significance_bar)&lt;=2.0*IF($V896,IF($AL896="","",$AL896),IF($AK896="","",$AK896)),OR($Y896="worse",$Y896="better",$Y896="worse, not significant",$Y896="better, not significant")),IF(ROUND($AC896,3)=ROUND(significance_bar,3),TEXT($AC896,"0.0000"),TEXT($AC896,"0.000")),""),"")</f>
        <v/>
      </c>
      <c r="AN896">
        <f>IF(AND(ISNUMBER($AC896),ISNUMBER(IF($V896,IF($AL896="","",$AL896),IF($AK896="","",$AK896)))),IF(AND(ABS($AC896-significance_bar)&lt;=2.0*IF($V896,IF($AL896="","",$AL896),IF($AK896="","",$AK896)),OR($Y896="worse",$Y896="worse, not significant")),IF(ROUND($AC896,3)=ROUND(significance_bar,3),TEXT($AC896,"0.0000"),TEXT($AC896,"0.000")),""),"")</f>
        <v/>
      </c>
      <c r="AO896">
        <f>IF(OR($AI896="",$AN896=""),$AI896,$AI896&amp;" · borderline (p "&amp;$AN896&amp;")")</f>
        <v/>
      </c>
    </row>
    <row r="897">
      <c r="A897" t="inlineStr">
        <is>
          <t>three-way</t>
        </is>
      </c>
      <c r="B897" t="inlineStr">
        <is>
          <t>ORIG_BAL x CHANNEL / SYS_FLAG</t>
        </is>
      </c>
      <c r="C897" t="inlineStr">
        <is>
          <t>5,005 - 15,448</t>
        </is>
      </c>
      <c r="D897" t="inlineStr">
        <is>
          <t>Branch / SYS_FLAG N</t>
        </is>
      </c>
      <c r="E897" t="inlineStr">
        <is>
          <t>ranr_rate</t>
        </is>
      </c>
      <c r="F897" t="inlineStr">
        <is>
          <t>Profit after losses: RANR per booked dollar</t>
        </is>
      </c>
      <c r="G897" t="n">
        <v>301</v>
      </c>
      <c r="H897" t="n">
        <v>3094179.669999999</v>
      </c>
      <c r="I897" t="b">
        <v>0</v>
      </c>
      <c r="J897" t="b">
        <v>0</v>
      </c>
      <c r="K897" t="n">
        <v>0.02353521415127841</v>
      </c>
      <c r="L897" t="n">
        <v>0.1454854514548545</v>
      </c>
      <c r="M897" t="n">
        <v>0.005637804867833524</v>
      </c>
      <c r="N897" t="n">
        <v>0.682538888968246</v>
      </c>
      <c r="O897" t="n">
        <v>-72822.18115598196</v>
      </c>
      <c r="P897" t="n">
        <v>-17444.38120547758</v>
      </c>
      <c r="Q897">
        <f>'_live'!$C$23</f>
        <v/>
      </c>
      <c r="R897" t="inlineStr">
        <is>
          <t>shuffled: 484 of 10,000</t>
        </is>
      </c>
      <c r="S897" t="inlineStr">
        <is>
          <t>shuffled: 6,370 of 10,000</t>
        </is>
      </c>
      <c r="T897" t="n">
        <v>0.1277078679933343</v>
      </c>
      <c r="U897" t="n">
        <v>0.1456052772767791</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0.1512430821446127</v>
      </c>
      <c r="AI897">
        <f>IF($Y897="worse","Yes",IF($Y897="worse, not significant","Not sure",IF(OR($Y897="too few losses to test",$Y897="too few loans to test"),"Too few losses",IF($Y897="","","No"))))</f>
        <v/>
      </c>
      <c r="AJ897">
        <f>IF($AA897="yes","Yes",IF($AA897="","","No"))</f>
        <v/>
      </c>
      <c r="AK897" t="n">
        <v>0.006444302427567633</v>
      </c>
      <c r="AL897" t="n">
        <v>0.005152012536841157</v>
      </c>
      <c r="AM897">
        <f>IF(AND(ISNUMBER($AC897),ISNUMBER(IF($V897,IF($AL897="","",$AL897),IF($AK897="","",$AK897)))),IF(AND(ABS($AC897-significance_bar)&lt;=2.0*IF($V897,IF($AL897="","",$AL897),IF($AK897="","",$AK897)),OR($Y897="worse",$Y897="better",$Y897="worse, not significant",$Y897="better, not significant",AND(profit_kind="test",$Y897="in line",ISNUMBER($AB897),$AB897&lt;&gt;0))),IF(ROUND($AC897,3)=ROUND(significance_bar,3),TEXT($AC897,"0.0000"),TEXT($AC897,"0.000")),""),"")</f>
        <v/>
      </c>
      <c r="AN897">
        <f>IF(AND(ISNUMBER($AC897),ISNUMBER(IF($V897,IF($AL897="","",$AL897),IF($AK897="","",$AK897)))),IF(AND(ABS($AC897-significance_bar)&lt;=2.0*IF($V897,IF($AL897="","",$AL897),IF($AK897="","",$AK897)),OR($Y897="worse",$Y897="worse, not significant",AND(profit_kind="test",$Y897="in line",ISNUMBER($AB897),$AB897&lt;0))),IF(ROUND($AC897,3)=ROUND(significance_bar,3),TEXT($AC897,"0.0000"),TEXT($AC897,"0.000")),""),"")</f>
        <v/>
      </c>
      <c r="AO897">
        <f>IF(OR($AI897="",$AN897=""),$AI897,$AI897&amp;" · borderline (p "&amp;$AN897&amp;")")</f>
        <v/>
      </c>
    </row>
    <row r="898">
      <c r="A898" t="inlineStr">
        <is>
          <t>three-way</t>
        </is>
      </c>
      <c r="B898" t="inlineStr">
        <is>
          <t>ORIG_BAL x CHANNEL / SYS_FLAG</t>
        </is>
      </c>
      <c r="C898" t="inlineStr">
        <is>
          <t>5,005 - 15,448</t>
        </is>
      </c>
      <c r="D898" t="inlineStr">
        <is>
          <t>Branch / SYS_FLAG N</t>
        </is>
      </c>
      <c r="E898" t="inlineStr">
        <is>
          <t>contribution_rate</t>
        </is>
      </c>
      <c r="F898" t="inlineStr">
        <is>
          <t>Contribution before losses per booked dollar</t>
        </is>
      </c>
      <c r="G898" t="n">
        <v>301</v>
      </c>
      <c r="H898" t="n">
        <v>3094179.669999999</v>
      </c>
      <c r="I898" t="b">
        <v>0</v>
      </c>
      <c r="J898" t="b">
        <v>0</v>
      </c>
      <c r="K898" t="n">
        <v>0.01014126130280416</v>
      </c>
      <c r="L898" t="n">
        <v>0.3228624505970455</v>
      </c>
      <c r="M898" t="n">
        <v>-0.01045878611220957</v>
      </c>
      <c r="N898" t="n">
        <v>0.3657759224077592</v>
      </c>
      <c r="O898" t="n">
        <v>-31378.88455129438</v>
      </c>
      <c r="P898" t="n">
        <v>32361.36336127715</v>
      </c>
      <c r="Q898">
        <f>'_live'!$C$24</f>
        <v/>
      </c>
      <c r="R898" t="inlineStr">
        <is>
          <t>shuffled: 1,964 of 10,000</t>
        </is>
      </c>
      <c r="S898" t="inlineStr">
        <is>
          <t>shuffled: 1,950 of 10,000</t>
        </is>
      </c>
      <c r="T898" t="n">
        <v>0.169470845708422</v>
      </c>
      <c r="U898" t="n">
        <v>0.1900708931234357</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0.1796121070112261</v>
      </c>
      <c r="AI898">
        <f>IF($Y898="worse","Yes",IF($Y898="worse, not significant","Not sure",IF(OR($Y898="too few losses to test",$Y898="too few loans to test"),"Too few losses",IF($Y898="","","No"))))</f>
        <v/>
      </c>
      <c r="AJ898">
        <f>IF($AA898="yes","Yes",IF($AA898="","","No"))</f>
        <v/>
      </c>
      <c r="AK898" t="n">
        <v>0.00636822310167167</v>
      </c>
      <c r="AL898" t="n">
        <v>0.007429924825335055</v>
      </c>
      <c r="AM898">
        <f>IF(AND(ISNUMBER($AC898),ISNUMBER(IF($V898,IF($AL898="","",$AL898),IF($AK898="","",$AK898)))),IF(AND(ABS($AC898-significance_bar)&lt;=2.0*IF($V898,IF($AL898="","",$AL898),IF($AK898="","",$AK898)),OR($Y898="worse",$Y898="better",$Y898="worse, not significant",$Y898="better, not significant",AND(profit_kind="test",$Y898="in line",ISNUMBER($AB898),$AB898&lt;&gt;0))),IF(ROUND($AC898,3)=ROUND(significance_bar,3),TEXT($AC898,"0.0000"),TEXT($AC898,"0.000")),""),"")</f>
        <v/>
      </c>
      <c r="AN898">
        <f>IF(AND(ISNUMBER($AC898),ISNUMBER(IF($V898,IF($AL898="","",$AL898),IF($AK898="","",$AK898)))),IF(AND(ABS($AC898-significance_bar)&lt;=2.0*IF($V898,IF($AL898="","",$AL898),IF($AK898="","",$AK898)),OR($Y898="worse",$Y898="worse, not significant",AND(profit_kind="test",$Y898="in line",ISNUMBER($AB898),$AB898&lt;0))),IF(ROUND($AC898,3)=ROUND(significance_bar,3),TEXT($AC898,"0.0000"),TEXT($AC898,"0.000")),""),"")</f>
        <v/>
      </c>
      <c r="AO898">
        <f>IF(OR($AI898="",$AN898=""),$AI898,$AI898&amp;" · borderline (p "&amp;$AN898&amp;")")</f>
        <v/>
      </c>
    </row>
    <row r="899">
      <c r="A899" t="inlineStr">
        <is>
          <t>three-way</t>
        </is>
      </c>
      <c r="B899" t="inlineStr">
        <is>
          <t>ORIG_BAL x CHANNEL / SYS_FLAG</t>
        </is>
      </c>
      <c r="C899" t="inlineStr">
        <is>
          <t>49,152 - 59,984</t>
        </is>
      </c>
      <c r="D899" t="inlineStr">
        <is>
          <t>Online / SYS_FLAG Y</t>
        </is>
      </c>
      <c r="E899" t="inlineStr">
        <is>
          <t>outcome_loans</t>
        </is>
      </c>
      <c r="F899" t="inlineStr">
        <is>
          <t>Outcome, share of loans</t>
        </is>
      </c>
      <c r="G899" t="n">
        <v>274</v>
      </c>
      <c r="H899" t="n">
        <v>274</v>
      </c>
      <c r="I899" t="b">
        <v>0</v>
      </c>
      <c r="J899" t="b">
        <v>0</v>
      </c>
      <c r="K899" t="n">
        <v>1.285849033339909</v>
      </c>
      <c r="L899" t="n">
        <v>0.3646634651190109</v>
      </c>
      <c r="M899" t="n">
        <v>1.71926623127161</v>
      </c>
      <c r="N899" t="n">
        <v>0.05303788578062971</v>
      </c>
      <c r="O899" t="n">
        <v>6.002200647249193</v>
      </c>
      <c r="P899" t="n">
        <v>11.29562594268477</v>
      </c>
      <c r="Q899">
        <f>'_live'!$C$20</f>
        <v/>
      </c>
      <c r="R899" t="inlineStr">
        <is>
          <t>z test</t>
        </is>
      </c>
      <c r="S899" t="inlineStr">
        <is>
          <t>z test</t>
        </is>
      </c>
      <c r="T899" t="n">
        <v>0.07663430420711974</v>
      </c>
      <c r="U899" t="n">
        <v>0.05731523378582202</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0.09854014598540146</v>
      </c>
      <c r="AI899">
        <f>IF($Y899="worse","Yes",IF($Y899="worse, not significant","Not sure",IF(OR($Y899="too few losses to test",$Y899="too few loans to test"),"Too few losses",IF($Y899="","","No"))))</f>
        <v/>
      </c>
      <c r="AJ899">
        <f>IF($AA899="yes","Yes",IF($AA899="","","No"))</f>
        <v/>
      </c>
      <c r="AM899">
        <f>IF(AND(ISNUMBER($AC899),ISNUMBER(IF($V899,IF($AL899="","",$AL899),IF($AK899="","",$AK899)))),IF(AND(ABS($AC899-significance_bar)&lt;=2.0*IF($V899,IF($AL899="","",$AL899),IF($AK899="","",$AK899)),OR($Y899="worse",$Y899="better",$Y899="worse, not significant",$Y899="better, not significant")),IF(ROUND($AC899,3)=ROUND(significance_bar,3),TEXT($AC899,"0.0000"),TEXT($AC899,"0.000")),""),"")</f>
        <v/>
      </c>
      <c r="AN899">
        <f>IF(AND(ISNUMBER($AC899),ISNUMBER(IF($V899,IF($AL899="","",$AL899),IF($AK899="","",$AK899)))),IF(AND(ABS($AC899-significance_bar)&lt;=2.0*IF($V899,IF($AL899="","",$AL899),IF($AK899="","",$AK899)),OR($Y899="worse",$Y899="worse, not significant")),IF(ROUND($AC899,3)=ROUND(significance_bar,3),TEXT($AC899,"0.0000"),TEXT($AC899,"0.000")),""),"")</f>
        <v/>
      </c>
      <c r="AO899">
        <f>IF(OR($AI899="",$AN899=""),$AI899,$AI899&amp;" · borderline (p "&amp;$AN899&amp;")")</f>
        <v/>
      </c>
    </row>
    <row r="900">
      <c r="A900" t="inlineStr">
        <is>
          <t>three-way</t>
        </is>
      </c>
      <c r="B900" t="inlineStr">
        <is>
          <t>ORIG_BAL x CHANNEL / SYS_FLAG</t>
        </is>
      </c>
      <c r="C900" t="inlineStr">
        <is>
          <t>49,152 - 59,984</t>
        </is>
      </c>
      <c r="D900" t="inlineStr">
        <is>
          <t>Online / SYS_FLAG Y</t>
        </is>
      </c>
      <c r="E900" t="inlineStr">
        <is>
          <t>outcome_booked</t>
        </is>
      </c>
      <c r="F900" t="inlineStr">
        <is>
          <t>Outcome, share of booked dollars</t>
        </is>
      </c>
      <c r="G900" t="n">
        <v>274</v>
      </c>
      <c r="H900" t="n">
        <v>14879039.92000001</v>
      </c>
      <c r="I900" t="b">
        <v>0</v>
      </c>
      <c r="J900" t="b">
        <v>0</v>
      </c>
      <c r="K900" t="n">
        <v>1.329245613396753</v>
      </c>
      <c r="L900" t="n">
        <v>0.362963703629637</v>
      </c>
      <c r="M900" t="n">
        <v>1.683340468164825</v>
      </c>
      <c r="N900" t="n">
        <v>0.0575942405759424</v>
      </c>
      <c r="O900" t="n">
        <v>359746.0856013082</v>
      </c>
      <c r="P900" t="n">
        <v>589585.0899533553</v>
      </c>
      <c r="Q900">
        <f>'_live'!$C$21</f>
        <v/>
      </c>
      <c r="R900" t="inlineStr">
        <is>
          <t>shuffled: 1,741 of 10,000</t>
        </is>
      </c>
      <c r="S900" t="inlineStr">
        <is>
          <t>shuffled: 143 of 10,000</t>
        </is>
      </c>
      <c r="T900" t="n">
        <v>0.07343467389518848</v>
      </c>
      <c r="U900" t="n">
        <v>0.05798750757344863</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0.09761271814640037</v>
      </c>
      <c r="AI900">
        <f>IF($Y900="worse","Yes",IF($Y900="worse, not significant","Not sure",IF(OR($Y900="too few losses to test",$Y900="too few loans to test"),"Too few losses",IF($Y900="","","No"))))</f>
        <v/>
      </c>
      <c r="AJ900">
        <f>IF($AA900="yes","Yes",IF($AA900="","","No"))</f>
        <v/>
      </c>
      <c r="AK900" t="n">
        <v>0.007708338064114283</v>
      </c>
      <c r="AL900" t="n">
        <v>0.004765079912826752</v>
      </c>
      <c r="AM900">
        <f>IF(AND(ISNUMBER($AC900),ISNUMBER(IF($V900,IF($AL900="","",$AL900),IF($AK900="","",$AK900)))),IF(AND(ABS($AC900-significance_bar)&lt;=2.0*IF($V900,IF($AL900="","",$AL900),IF($AK900="","",$AK900)),OR($Y900="worse",$Y900="better",$Y900="worse, not significant",$Y900="better, not significant")),IF(ROUND($AC900,3)=ROUND(significance_bar,3),TEXT($AC900,"0.0000"),TEXT($AC900,"0.000")),""),"")</f>
        <v/>
      </c>
      <c r="AN900">
        <f>IF(AND(ISNUMBER($AC900),ISNUMBER(IF($V900,IF($AL900="","",$AL900),IF($AK900="","",$AK900)))),IF(AND(ABS($AC900-significance_bar)&lt;=2.0*IF($V900,IF($AL900="","",$AL900),IF($AK900="","",$AK900)),OR($Y900="worse",$Y900="worse, not significant")),IF(ROUND($AC900,3)=ROUND(significance_bar,3),TEXT($AC900,"0.0000"),TEXT($AC900,"0.000")),""),"")</f>
        <v/>
      </c>
      <c r="AO900">
        <f>IF(OR($AI900="",$AN900=""),$AI900,$AI900&amp;" · borderline (p "&amp;$AN900&amp;")")</f>
        <v/>
      </c>
    </row>
    <row r="901">
      <c r="A901" t="inlineStr">
        <is>
          <t>three-way</t>
        </is>
      </c>
      <c r="B901" t="inlineStr">
        <is>
          <t>ORIG_BAL x CHANNEL / SYS_FLAG</t>
        </is>
      </c>
      <c r="C901" t="inlineStr">
        <is>
          <t>49,152 - 59,984</t>
        </is>
      </c>
      <c r="D901" t="inlineStr">
        <is>
          <t>Online / SYS_FLAG Y</t>
        </is>
      </c>
      <c r="E901" t="inlineStr">
        <is>
          <t>gco_rate</t>
        </is>
      </c>
      <c r="F901" t="inlineStr">
        <is>
          <t>GCO per booked dollar</t>
        </is>
      </c>
      <c r="G901" t="n">
        <v>274</v>
      </c>
      <c r="H901" t="n">
        <v>14879039.92000001</v>
      </c>
      <c r="I901" t="b">
        <v>0</v>
      </c>
      <c r="J901" t="b">
        <v>0</v>
      </c>
      <c r="K901" t="n">
        <v>1.306894226771702</v>
      </c>
      <c r="L901" t="n">
        <v>0.4776753093921377</v>
      </c>
      <c r="M901" t="n">
        <v>1.675720930609563</v>
      </c>
      <c r="N901" t="n">
        <v>0.07799220077992201</v>
      </c>
      <c r="O901" t="n">
        <v>186678.1556053411</v>
      </c>
      <c r="P901" t="n">
        <v>320561.1588499304</v>
      </c>
      <c r="Q901">
        <f>'_live'!$C$22</f>
        <v/>
      </c>
      <c r="R901" t="inlineStr">
        <is>
          <t>shuffled: 2,217 of 10,000</t>
        </is>
      </c>
      <c r="S901" t="inlineStr">
        <is>
          <t>shuffled: 194 of 10,000</t>
        </is>
      </c>
      <c r="T901" t="n">
        <v>0.04088178724334376</v>
      </c>
      <c r="U901" t="n">
        <v>0.03188369301384799</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0.05342817172843498</v>
      </c>
      <c r="AI901">
        <f>IF($Y901="worse","Yes",IF($Y901="worse, not significant","Not sure",IF(OR($Y901="too few losses to test",$Y901="too few loans to test"),"Too few losses",IF($Y901="","","No"))))</f>
        <v/>
      </c>
      <c r="AJ901">
        <f>IF($AA901="yes","Yes",IF($AA901="","","No"))</f>
        <v/>
      </c>
      <c r="AK901" t="n">
        <v>0.008947990985236031</v>
      </c>
      <c r="AL901" t="n">
        <v>0.005530696337145914</v>
      </c>
      <c r="AM901">
        <f>IF(AND(ISNUMBER($AC901),ISNUMBER(IF($V901,IF($AL901="","",$AL901),IF($AK901="","",$AK901)))),IF(AND(ABS($AC901-significance_bar)&lt;=2.0*IF($V901,IF($AL901="","",$AL901),IF($AK901="","",$AK901)),OR($Y901="worse",$Y901="better",$Y901="worse, not significant",$Y901="better, not significant")),IF(ROUND($AC901,3)=ROUND(significance_bar,3),TEXT($AC901,"0.0000"),TEXT($AC901,"0.000")),""),"")</f>
        <v/>
      </c>
      <c r="AN901">
        <f>IF(AND(ISNUMBER($AC901),ISNUMBER(IF($V901,IF($AL901="","",$AL901),IF($AK901="","",$AK901)))),IF(AND(ABS($AC901-significance_bar)&lt;=2.0*IF($V901,IF($AL901="","",$AL901),IF($AK901="","",$AK901)),OR($Y901="worse",$Y901="worse, not significant")),IF(ROUND($AC901,3)=ROUND(significance_bar,3),TEXT($AC901,"0.0000"),TEXT($AC901,"0.000")),""),"")</f>
        <v/>
      </c>
      <c r="AO901">
        <f>IF(OR($AI901="",$AN901=""),$AI901,$AI901&amp;" · borderline (p "&amp;$AN901&amp;")")</f>
        <v/>
      </c>
    </row>
    <row r="902">
      <c r="A902" t="inlineStr">
        <is>
          <t>three-way</t>
        </is>
      </c>
      <c r="B902" t="inlineStr">
        <is>
          <t>ORIG_BAL x CHANNEL / SYS_FLAG</t>
        </is>
      </c>
      <c r="C902" t="inlineStr">
        <is>
          <t>49,152 - 59,984</t>
        </is>
      </c>
      <c r="D902" t="inlineStr">
        <is>
          <t>Online / SYS_FLAG Y</t>
        </is>
      </c>
      <c r="E902" t="inlineStr">
        <is>
          <t>ranr_rate</t>
        </is>
      </c>
      <c r="F902" t="inlineStr">
        <is>
          <t>Profit after losses: RANR per booked dollar</t>
        </is>
      </c>
      <c r="G902" t="n">
        <v>274</v>
      </c>
      <c r="H902" t="n">
        <v>14879039.92000001</v>
      </c>
      <c r="I902" t="b">
        <v>0</v>
      </c>
      <c r="J902" t="b">
        <v>0</v>
      </c>
      <c r="K902" t="n">
        <v>-0.008931702767233263</v>
      </c>
      <c r="L902" t="n">
        <v>0.6483442564834425</v>
      </c>
      <c r="M902" t="n">
        <v>-0.01307765040989978</v>
      </c>
      <c r="N902" t="n">
        <v>0.3710628937106289</v>
      </c>
      <c r="O902" t="n">
        <v>132895.1620272382</v>
      </c>
      <c r="P902" t="n">
        <v>194582.8825087033</v>
      </c>
      <c r="Q902">
        <f>'_live'!$C$23</f>
        <v/>
      </c>
      <c r="R902" t="inlineStr">
        <is>
          <t>shuffled: 4,754 of 10,000</t>
        </is>
      </c>
      <c r="S902" t="inlineStr">
        <is>
          <t>shuffled: 2,473 of 10,000</t>
        </is>
      </c>
      <c r="T902" t="n">
        <v>0.1285050105589903</v>
      </c>
      <c r="U902" t="n">
        <v>0.1326509582016568</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0.119573307791757</v>
      </c>
      <c r="AI902">
        <f>IF($Y902="worse","Yes",IF($Y902="worse, not significant","Not sure",IF(OR($Y902="too few losses to test",$Y902="too few loans to test"),"Too few losses",IF($Y902="","","No"))))</f>
        <v/>
      </c>
      <c r="AJ902">
        <f>IF($AA902="yes","Yes",IF($AA902="","","No"))</f>
        <v/>
      </c>
      <c r="AK902" t="n">
        <v>0.006809959833806185</v>
      </c>
      <c r="AL902" t="n">
        <v>0.006472299973556833</v>
      </c>
      <c r="AM902">
        <f>IF(AND(ISNUMBER($AC902),ISNUMBER(IF($V902,IF($AL902="","",$AL902),IF($AK902="","",$AK902)))),IF(AND(ABS($AC902-significance_bar)&lt;=2.0*IF($V902,IF($AL902="","",$AL902),IF($AK902="","",$AK902)),OR($Y902="worse",$Y902="better",$Y902="worse, not significant",$Y902="better, not significant",AND(profit_kind="test",$Y902="in line",ISNUMBER($AB902),$AB902&lt;&gt;0))),IF(ROUND($AC902,3)=ROUND(significance_bar,3),TEXT($AC902,"0.0000"),TEXT($AC902,"0.000")),""),"")</f>
        <v/>
      </c>
      <c r="AN902">
        <f>IF(AND(ISNUMBER($AC902),ISNUMBER(IF($V902,IF($AL902="","",$AL902),IF($AK902="","",$AK902)))),IF(AND(ABS($AC902-significance_bar)&lt;=2.0*IF($V902,IF($AL902="","",$AL902),IF($AK902="","",$AK902)),OR($Y902="worse",$Y902="worse, not significant",AND(profit_kind="test",$Y902="in line",ISNUMBER($AB902),$AB902&lt;0))),IF(ROUND($AC902,3)=ROUND(significance_bar,3),TEXT($AC902,"0.0000"),TEXT($AC902,"0.000")),""),"")</f>
        <v/>
      </c>
      <c r="AO902">
        <f>IF(OR($AI902="",$AN902=""),$AI902,$AI902&amp;" · borderline (p "&amp;$AN902&amp;")")</f>
        <v/>
      </c>
    </row>
    <row r="903">
      <c r="A903" t="inlineStr">
        <is>
          <t>three-way</t>
        </is>
      </c>
      <c r="B903" t="inlineStr">
        <is>
          <t>ORIG_BAL x CHANNEL / SYS_FLAG</t>
        </is>
      </c>
      <c r="C903" t="inlineStr">
        <is>
          <t>49,152 - 59,984</t>
        </is>
      </c>
      <c r="D903" t="inlineStr">
        <is>
          <t>Online / SYS_FLAG Y</t>
        </is>
      </c>
      <c r="E903" t="inlineStr">
        <is>
          <t>contribution_rate</t>
        </is>
      </c>
      <c r="F903" t="inlineStr">
        <is>
          <t>Contribution before losses per booked dollar</t>
        </is>
      </c>
      <c r="G903" t="n">
        <v>274</v>
      </c>
      <c r="H903" t="n">
        <v>14879039.92000001</v>
      </c>
      <c r="I903" t="b">
        <v>0</v>
      </c>
      <c r="J903" t="b">
        <v>0</v>
      </c>
      <c r="K903" t="n">
        <v>0.00361763188329059</v>
      </c>
      <c r="L903" t="n">
        <v>0.7192280771922808</v>
      </c>
      <c r="M903" t="n">
        <v>0.008466828304687146</v>
      </c>
      <c r="N903" t="n">
        <v>0.4010468518365554</v>
      </c>
      <c r="O903" t="n">
        <v>-53826.8892073459</v>
      </c>
      <c r="P903" t="n">
        <v>-125978.2763412264</v>
      </c>
      <c r="Q903">
        <f>'_live'!$C$24</f>
        <v/>
      </c>
      <c r="R903" t="inlineStr">
        <is>
          <t>shuffled: 6,586 of 10,000</t>
        </is>
      </c>
      <c r="S903" t="inlineStr">
        <is>
          <t>shuffled: 2,770 of 10,000</t>
        </is>
      </c>
      <c r="T903" t="n">
        <v>0.1693838476369014</v>
      </c>
      <c r="U903" t="n">
        <v>0.1645346512155048</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0.173001479520192</v>
      </c>
      <c r="AI903">
        <f>IF($Y903="worse","Yes",IF($Y903="worse, not significant","Not sure",IF(OR($Y903="too few losses to test",$Y903="too few loans to test"),"Too few losses",IF($Y903="","","No"))))</f>
        <v/>
      </c>
      <c r="AJ903">
        <f>IF($AA903="yes","Yes",IF($AA903="","","No"))</f>
        <v/>
      </c>
      <c r="AK903" t="n">
        <v>0.004493762901740315</v>
      </c>
      <c r="AL903" t="n">
        <v>0.006018853811017649</v>
      </c>
      <c r="AM903">
        <f>IF(AND(ISNUMBER($AC903),ISNUMBER(IF($V903,IF($AL903="","",$AL903),IF($AK903="","",$AK903)))),IF(AND(ABS($AC903-significance_bar)&lt;=2.0*IF($V903,IF($AL903="","",$AL903),IF($AK903="","",$AK903)),OR($Y903="worse",$Y903="better",$Y903="worse, not significant",$Y903="better, not significant",AND(profit_kind="test",$Y903="in line",ISNUMBER($AB903),$AB903&lt;&gt;0))),IF(ROUND($AC903,3)=ROUND(significance_bar,3),TEXT($AC903,"0.0000"),TEXT($AC903,"0.000")),""),"")</f>
        <v/>
      </c>
      <c r="AN903">
        <f>IF(AND(ISNUMBER($AC903),ISNUMBER(IF($V903,IF($AL903="","",$AL903),IF($AK903="","",$AK903)))),IF(AND(ABS($AC903-significance_bar)&lt;=2.0*IF($V903,IF($AL903="","",$AL903),IF($AK903="","",$AK903)),OR($Y903="worse",$Y903="worse, not significant",AND(profit_kind="test",$Y903="in line",ISNUMBER($AB903),$AB903&lt;0))),IF(ROUND($AC903,3)=ROUND(significance_bar,3),TEXT($AC903,"0.0000"),TEXT($AC903,"0.000")),""),"")</f>
        <v/>
      </c>
      <c r="AO903">
        <f>IF(OR($AI903="",$AN903=""),$AI903,$AI903&amp;" · borderline (p "&amp;$AN903&amp;")")</f>
        <v/>
      </c>
    </row>
    <row r="904">
      <c r="A904" t="inlineStr">
        <is>
          <t>three-way</t>
        </is>
      </c>
      <c r="B904" t="inlineStr">
        <is>
          <t>ORIG_BAL x CHANNEL / SYS_FLAG</t>
        </is>
      </c>
      <c r="C904" t="inlineStr">
        <is>
          <t>26,324 - 37,950</t>
        </is>
      </c>
      <c r="D904" t="inlineStr">
        <is>
          <t>Online / SYS_FLAG Y</t>
        </is>
      </c>
      <c r="E904" t="inlineStr">
        <is>
          <t>outcome_loans</t>
        </is>
      </c>
      <c r="F904" t="inlineStr">
        <is>
          <t>Outcome, share of loans</t>
        </is>
      </c>
      <c r="G904" t="n">
        <v>231</v>
      </c>
      <c r="H904" t="n">
        <v>231</v>
      </c>
      <c r="I904" t="b">
        <v>0</v>
      </c>
      <c r="J904" t="b">
        <v>0</v>
      </c>
      <c r="K904" t="n">
        <v>1.356411655571319</v>
      </c>
      <c r="L904" t="n">
        <v>0.3206074867052393</v>
      </c>
      <c r="M904" t="n">
        <v>1.651464814255512</v>
      </c>
      <c r="N904" t="n">
        <v>0.07114532450519041</v>
      </c>
      <c r="O904" t="n">
        <v>6.306256436663233</v>
      </c>
      <c r="P904" t="n">
        <v>9.467446964155084</v>
      </c>
      <c r="Q904">
        <f>'_live'!$C$20</f>
        <v/>
      </c>
      <c r="R904" t="inlineStr">
        <is>
          <t>z test</t>
        </is>
      </c>
      <c r="S904" t="inlineStr">
        <is>
          <t>z test</t>
        </is>
      </c>
      <c r="T904" t="n">
        <v>0.07659629248197734</v>
      </c>
      <c r="U904" t="n">
        <v>0.06291148500365765</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0.1038961038961039</v>
      </c>
      <c r="AI904">
        <f>IF($Y904="worse","Yes",IF($Y904="worse, not significant","Not sure",IF(OR($Y904="too few losses to test",$Y904="too few loans to test"),"Too few losses",IF($Y904="","","No"))))</f>
        <v/>
      </c>
      <c r="AJ904">
        <f>IF($AA904="yes","Yes",IF($AA904="","","No"))</f>
        <v/>
      </c>
      <c r="AM904">
        <f>IF(AND(ISNUMBER($AC904),ISNUMBER(IF($V904,IF($AL904="","",$AL904),IF($AK904="","",$AK904)))),IF(AND(ABS($AC904-significance_bar)&lt;=2.0*IF($V904,IF($AL904="","",$AL904),IF($AK904="","",$AK904)),OR($Y904="worse",$Y904="better",$Y904="worse, not significant",$Y904="better, not significant")),IF(ROUND($AC904,3)=ROUND(significance_bar,3),TEXT($AC904,"0.0000"),TEXT($AC904,"0.000")),""),"")</f>
        <v/>
      </c>
      <c r="AN904">
        <f>IF(AND(ISNUMBER($AC904),ISNUMBER(IF($V904,IF($AL904="","",$AL904),IF($AK904="","",$AK904)))),IF(AND(ABS($AC904-significance_bar)&lt;=2.0*IF($V904,IF($AL904="","",$AL904),IF($AK904="","",$AK904)),OR($Y904="worse",$Y904="worse, not significant")),IF(ROUND($AC904,3)=ROUND(significance_bar,3),TEXT($AC904,"0.0000"),TEXT($AC904,"0.000")),""),"")</f>
        <v/>
      </c>
      <c r="AO904">
        <f>IF(OR($AI904="",$AN904=""),$AI904,$AI904&amp;" · borderline (p "&amp;$AN904&amp;")")</f>
        <v/>
      </c>
    </row>
    <row r="905">
      <c r="A905" t="inlineStr">
        <is>
          <t>three-way</t>
        </is>
      </c>
      <c r="B905" t="inlineStr">
        <is>
          <t>ORIG_BAL x CHANNEL / SYS_FLAG</t>
        </is>
      </c>
      <c r="C905" t="inlineStr">
        <is>
          <t>26,324 - 37,950</t>
        </is>
      </c>
      <c r="D905" t="inlineStr">
        <is>
          <t>Online / SYS_FLAG Y</t>
        </is>
      </c>
      <c r="E905" t="inlineStr">
        <is>
          <t>outcome_booked</t>
        </is>
      </c>
      <c r="F905" t="inlineStr">
        <is>
          <t>Outcome, share of booked dollars</t>
        </is>
      </c>
      <c r="G905" t="n">
        <v>231</v>
      </c>
      <c r="H905" t="n">
        <v>7425958.390000002</v>
      </c>
      <c r="I905" t="b">
        <v>0</v>
      </c>
      <c r="J905" t="b">
        <v>0</v>
      </c>
      <c r="K905" t="n">
        <v>1.383487078733577</v>
      </c>
      <c r="L905" t="n">
        <v>0.362963703629637</v>
      </c>
      <c r="M905" t="n">
        <v>1.639906230989024</v>
      </c>
      <c r="N905" t="n">
        <v>0.09134086591340866</v>
      </c>
      <c r="O905" t="n">
        <v>210768.4488354682</v>
      </c>
      <c r="P905" t="n">
        <v>296706.6597113882</v>
      </c>
      <c r="Q905">
        <f>'_live'!$C$21</f>
        <v/>
      </c>
      <c r="R905" t="inlineStr">
        <is>
          <t>shuffled: 1,400 of 10,000</t>
        </is>
      </c>
      <c r="S905" t="inlineStr">
        <is>
          <t>shuffled: 260 of 10,000</t>
        </is>
      </c>
      <c r="T905" t="n">
        <v>0.07401203619786668</v>
      </c>
      <c r="U905" t="n">
        <v>0.06243936013875399</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0.1023946957505104</v>
      </c>
      <c r="AI905">
        <f>IF($Y905="worse","Yes",IF($Y905="worse, not significant","Not sure",IF(OR($Y905="too few losses to test",$Y905="too few loans to test"),"Too few losses",IF($Y905="","","No"))))</f>
        <v/>
      </c>
      <c r="AJ905">
        <f>IF($AA905="yes","Yes",IF($AA905="","","No"))</f>
        <v/>
      </c>
      <c r="AK905" t="n">
        <v>0.007708338064114283</v>
      </c>
      <c r="AL905" t="n">
        <v>0.005579873447589282</v>
      </c>
      <c r="AM905">
        <f>IF(AND(ISNUMBER($AC905),ISNUMBER(IF($V905,IF($AL905="","",$AL905),IF($AK905="","",$AK905)))),IF(AND(ABS($AC905-significance_bar)&lt;=2.0*IF($V905,IF($AL905="","",$AL905),IF($AK905="","",$AK905)),OR($Y905="worse",$Y905="better",$Y905="worse, not significant",$Y905="better, not significant")),IF(ROUND($AC905,3)=ROUND(significance_bar,3),TEXT($AC905,"0.0000"),TEXT($AC905,"0.000")),""),"")</f>
        <v/>
      </c>
      <c r="AN905">
        <f>IF(AND(ISNUMBER($AC905),ISNUMBER(IF($V905,IF($AL905="","",$AL905),IF($AK905="","",$AK905)))),IF(AND(ABS($AC905-significance_bar)&lt;=2.0*IF($V905,IF($AL905="","",$AL905),IF($AK905="","",$AK905)),OR($Y905="worse",$Y905="worse, not significant")),IF(ROUND($AC905,3)=ROUND(significance_bar,3),TEXT($AC905,"0.0000"),TEXT($AC905,"0.000")),""),"")</f>
        <v/>
      </c>
      <c r="AO905">
        <f>IF(OR($AI905="",$AN905=""),$AI905,$AI905&amp;" · borderline (p "&amp;$AN905&amp;")")</f>
        <v/>
      </c>
    </row>
    <row r="906">
      <c r="A906" t="inlineStr">
        <is>
          <t>three-way</t>
        </is>
      </c>
      <c r="B906" t="inlineStr">
        <is>
          <t>ORIG_BAL x CHANNEL / SYS_FLAG</t>
        </is>
      </c>
      <c r="C906" t="inlineStr">
        <is>
          <t>26,324 - 37,950</t>
        </is>
      </c>
      <c r="D906" t="inlineStr">
        <is>
          <t>Online / SYS_FLAG Y</t>
        </is>
      </c>
      <c r="E906" t="inlineStr">
        <is>
          <t>gco_rate</t>
        </is>
      </c>
      <c r="F906" t="inlineStr">
        <is>
          <t>GCO per booked dollar</t>
        </is>
      </c>
      <c r="G906" t="n">
        <v>231</v>
      </c>
      <c r="H906" t="n">
        <v>7425958.390000002</v>
      </c>
      <c r="I906" t="b">
        <v>0</v>
      </c>
      <c r="J906" t="b">
        <v>0</v>
      </c>
      <c r="K906" t="n">
        <v>1.311958162561025</v>
      </c>
      <c r="L906" t="n">
        <v>0.490950904909509</v>
      </c>
      <c r="M906" t="n">
        <v>1.561877160962331</v>
      </c>
      <c r="N906" t="n">
        <v>0.1640635936406359</v>
      </c>
      <c r="O906" t="n">
        <v>95524.64976048074</v>
      </c>
      <c r="P906" t="n">
        <v>144521.8762956091</v>
      </c>
      <c r="Q906">
        <f>'_live'!$C$22</f>
        <v/>
      </c>
      <c r="R906" t="inlineStr">
        <is>
          <t>shuffled: 2,454 of 10,000</t>
        </is>
      </c>
      <c r="S906" t="inlineStr">
        <is>
          <t>shuffled: 532 of 10,000</t>
        </is>
      </c>
      <c r="T906" t="n">
        <v>0.04123505602345816</v>
      </c>
      <c r="U906" t="n">
        <v>0.03463695461191384</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0.05409866833363711</v>
      </c>
      <c r="AI906">
        <f>IF($Y906="worse","Yes",IF($Y906="worse, not significant","Not sure",IF(OR($Y906="too few losses to test",$Y906="too few loans to test"),"Too few losses",IF($Y906="","","No"))))</f>
        <v/>
      </c>
      <c r="AJ906">
        <f>IF($AA906="yes","Yes",IF($AA906="","","No"))</f>
        <v/>
      </c>
      <c r="AK906" t="n">
        <v>0.008607374854086188</v>
      </c>
      <c r="AL906" t="n">
        <v>0.006576178217137222</v>
      </c>
      <c r="AM906">
        <f>IF(AND(ISNUMBER($AC906),ISNUMBER(IF($V906,IF($AL906="","",$AL906),IF($AK906="","",$AK906)))),IF(AND(ABS($AC906-significance_bar)&lt;=2.0*IF($V906,IF($AL906="","",$AL906),IF($AK906="","",$AK906)),OR($Y906="worse",$Y906="better",$Y906="worse, not significant",$Y906="better, not significant")),IF(ROUND($AC906,3)=ROUND(significance_bar,3),TEXT($AC906,"0.0000"),TEXT($AC906,"0.000")),""),"")</f>
        <v/>
      </c>
      <c r="AN906">
        <f>IF(AND(ISNUMBER($AC906),ISNUMBER(IF($V906,IF($AL906="","",$AL906),IF($AK906="","",$AK906)))),IF(AND(ABS($AC906-significance_bar)&lt;=2.0*IF($V906,IF($AL906="","",$AL906),IF($AK906="","",$AK906)),OR($Y906="worse",$Y906="worse, not significant")),IF(ROUND($AC906,3)=ROUND(significance_bar,3),TEXT($AC906,"0.0000"),TEXT($AC906,"0.000")),""),"")</f>
        <v/>
      </c>
      <c r="AO906">
        <f>IF(OR($AI906="",$AN906=""),$AI906,$AI906&amp;" · borderline (p "&amp;$AN906&amp;")")</f>
        <v/>
      </c>
    </row>
    <row r="907">
      <c r="A907" t="inlineStr">
        <is>
          <t>three-way</t>
        </is>
      </c>
      <c r="B907" t="inlineStr">
        <is>
          <t>ORIG_BAL x CHANNEL / SYS_FLAG</t>
        </is>
      </c>
      <c r="C907" t="inlineStr">
        <is>
          <t>26,324 - 37,950</t>
        </is>
      </c>
      <c r="D907" t="inlineStr">
        <is>
          <t>Online / SYS_FLAG Y</t>
        </is>
      </c>
      <c r="E907" t="inlineStr">
        <is>
          <t>ranr_rate</t>
        </is>
      </c>
      <c r="F907" t="inlineStr">
        <is>
          <t>Profit after losses: RANR per booked dollar</t>
        </is>
      </c>
      <c r="G907" t="n">
        <v>231</v>
      </c>
      <c r="H907" t="n">
        <v>7425958.390000002</v>
      </c>
      <c r="I907" t="b">
        <v>0</v>
      </c>
      <c r="J907" t="b">
        <v>0</v>
      </c>
      <c r="K907" t="n">
        <v>0.01153438731834311</v>
      </c>
      <c r="L907" t="n">
        <v>0.6242533641372705</v>
      </c>
      <c r="M907" t="n">
        <v>0.0092271509603985</v>
      </c>
      <c r="N907" t="n">
        <v>0.5474452554744526</v>
      </c>
      <c r="O907" t="n">
        <v>-85653.88028015965</v>
      </c>
      <c r="P907" t="n">
        <v>-68520.43909016787</v>
      </c>
      <c r="Q907">
        <f>'_live'!$C$23</f>
        <v/>
      </c>
      <c r="R907" t="inlineStr">
        <is>
          <t>shuffled: 3,953 of 10,000</t>
        </is>
      </c>
      <c r="S907" t="inlineStr">
        <is>
          <t>shuffled: 4,744 of 10,000</t>
        </is>
      </c>
      <c r="T907" t="n">
        <v>0.1276581459164141</v>
      </c>
      <c r="U907" t="n">
        <v>0.1299653822743587</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0.1391925332347572</v>
      </c>
      <c r="AI907">
        <f>IF($Y907="worse","Yes",IF($Y907="worse, not significant","Not sure",IF(OR($Y907="too few losses to test",$Y907="too few loans to test"),"Too few losses",IF($Y907="","","No"))))</f>
        <v/>
      </c>
      <c r="AJ907">
        <f>IF($AA907="yes","Yes",IF($AA907="","","No"))</f>
        <v/>
      </c>
      <c r="AK907" t="n">
        <v>0.007719915439276733</v>
      </c>
      <c r="AL907" t="n">
        <v>0.005761695017345447</v>
      </c>
      <c r="AM907">
        <f>IF(AND(ISNUMBER($AC907),ISNUMBER(IF($V907,IF($AL907="","",$AL907),IF($AK907="","",$AK907)))),IF(AND(ABS($AC907-significance_bar)&lt;=2.0*IF($V907,IF($AL907="","",$AL907),IF($AK907="","",$AK907)),OR($Y907="worse",$Y907="better",$Y907="worse, not significant",$Y907="better, not significant",AND(profit_kind="test",$Y907="in line",ISNUMBER($AB907),$AB907&lt;&gt;0))),IF(ROUND($AC907,3)=ROUND(significance_bar,3),TEXT($AC907,"0.0000"),TEXT($AC907,"0.000")),""),"")</f>
        <v/>
      </c>
      <c r="AN907">
        <f>IF(AND(ISNUMBER($AC907),ISNUMBER(IF($V907,IF($AL907="","",$AL907),IF($AK907="","",$AK907)))),IF(AND(ABS($AC907-significance_bar)&lt;=2.0*IF($V907,IF($AL907="","",$AL907),IF($AK907="","",$AK907)),OR($Y907="worse",$Y907="worse, not significant",AND(profit_kind="test",$Y907="in line",ISNUMBER($AB907),$AB907&lt;0))),IF(ROUND($AC907,3)=ROUND(significance_bar,3),TEXT($AC907,"0.0000"),TEXT($AC907,"0.000")),""),"")</f>
        <v/>
      </c>
      <c r="AO907">
        <f>IF(OR($AI907="",$AN907=""),$AI907,$AI907&amp;" · borderline (p "&amp;$AN907&amp;")")</f>
        <v/>
      </c>
    </row>
    <row r="908">
      <c r="A908" t="inlineStr">
        <is>
          <t>three-way</t>
        </is>
      </c>
      <c r="B908" t="inlineStr">
        <is>
          <t>ORIG_BAL x CHANNEL / SYS_FLAG</t>
        </is>
      </c>
      <c r="C908" t="inlineStr">
        <is>
          <t>26,324 - 37,950</t>
        </is>
      </c>
      <c r="D908" t="inlineStr">
        <is>
          <t>Online / SYS_FLAG Y</t>
        </is>
      </c>
      <c r="E908" t="inlineStr">
        <is>
          <t>contribution_rate</t>
        </is>
      </c>
      <c r="F908" t="inlineStr">
        <is>
          <t>Contribution before losses per booked dollar</t>
        </is>
      </c>
      <c r="G908" t="n">
        <v>231</v>
      </c>
      <c r="H908" t="n">
        <v>7425958.390000002</v>
      </c>
      <c r="I908" t="b">
        <v>0</v>
      </c>
      <c r="J908" t="b">
        <v>0</v>
      </c>
      <c r="K908" t="n">
        <v>0.0244009961602244</v>
      </c>
      <c r="L908" t="n">
        <v>0.0407959204079592</v>
      </c>
      <c r="M908" t="n">
        <v>0.0286888646821219</v>
      </c>
      <c r="N908" t="n">
        <v>0.0194980501949805</v>
      </c>
      <c r="O908" t="n">
        <v>-181200.7821603762</v>
      </c>
      <c r="P908" t="n">
        <v>-213042.3153857777</v>
      </c>
      <c r="Q908">
        <f>'_live'!$C$24</f>
        <v/>
      </c>
      <c r="R908" t="inlineStr">
        <is>
          <t>shuffled: 67 of 10,000</t>
        </is>
      </c>
      <c r="S908" t="inlineStr">
        <is>
          <t>shuffled: 12 of 10,000</t>
        </is>
      </c>
      <c r="T908" t="n">
        <v>0.16889020540817</v>
      </c>
      <c r="U908" t="n">
        <v>0.1646023368862725</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0.1932912015683944</v>
      </c>
      <c r="AI908">
        <f>IF($Y908="worse","Yes",IF($Y908="worse, not significant","Not sure",IF(OR($Y908="too few losses to test",$Y908="too few loans to test"),"Too few losses",IF($Y908="","","No"))))</f>
        <v/>
      </c>
      <c r="AJ908">
        <f>IF($AA908="yes","Yes",IF($AA908="","","No"))</f>
        <v/>
      </c>
      <c r="AK908" t="n">
        <v>0.00493063094670269</v>
      </c>
      <c r="AL908" t="n">
        <v>0.005404540488915793</v>
      </c>
      <c r="AM908">
        <f>IF(AND(ISNUMBER($AC908),ISNUMBER(IF($V908,IF($AL908="","",$AL908),IF($AK908="","",$AK908)))),IF(AND(ABS($AC908-significance_bar)&lt;=2.0*IF($V908,IF($AL908="","",$AL908),IF($AK908="","",$AK908)),OR($Y908="worse",$Y908="better",$Y908="worse, not significant",$Y908="better, not significant",AND(profit_kind="test",$Y908="in line",ISNUMBER($AB908),$AB908&lt;&gt;0))),IF(ROUND($AC908,3)=ROUND(significance_bar,3),TEXT($AC908,"0.0000"),TEXT($AC908,"0.000")),""),"")</f>
        <v/>
      </c>
      <c r="AN908">
        <f>IF(AND(ISNUMBER($AC908),ISNUMBER(IF($V908,IF($AL908="","",$AL908),IF($AK908="","",$AK908)))),IF(AND(ABS($AC908-significance_bar)&lt;=2.0*IF($V908,IF($AL908="","",$AL908),IF($AK908="","",$AK908)),OR($Y908="worse",$Y908="worse, not significant",AND(profit_kind="test",$Y908="in line",ISNUMBER($AB908),$AB908&lt;0))),IF(ROUND($AC908,3)=ROUND(significance_bar,3),TEXT($AC908,"0.0000"),TEXT($AC908,"0.000")),""),"")</f>
        <v/>
      </c>
      <c r="AO908">
        <f>IF(OR($AI908="",$AN908=""),$AI908,$AI908&amp;" · borderline (p "&amp;$AN908&amp;")")</f>
        <v/>
      </c>
    </row>
    <row r="909">
      <c r="A909" t="inlineStr">
        <is>
          <t>three-way</t>
        </is>
      </c>
      <c r="B909" t="inlineStr">
        <is>
          <t>ORIG_BAL x CHANNEL / SYS_FLAG</t>
        </is>
      </c>
      <c r="C909" t="inlineStr">
        <is>
          <t>49,152 - 59,984</t>
        </is>
      </c>
      <c r="D909" t="inlineStr">
        <is>
          <t>Branch / SYS_FLAG N</t>
        </is>
      </c>
      <c r="E909" t="inlineStr">
        <is>
          <t>outcome_loans</t>
        </is>
      </c>
      <c r="F909" t="inlineStr">
        <is>
          <t>Outcome, share of loans</t>
        </is>
      </c>
      <c r="G909" t="n">
        <v>289</v>
      </c>
      <c r="H909" t="n">
        <v>289</v>
      </c>
      <c r="I909" t="b">
        <v>1</v>
      </c>
      <c r="J909" t="b">
        <v>0</v>
      </c>
      <c r="K909" t="n">
        <v>0.2172491913032698</v>
      </c>
      <c r="M909" t="n">
        <v>0.2314455193842243</v>
      </c>
      <c r="O909" t="n">
        <v>-18.01504539559014</v>
      </c>
      <c r="P909" t="n">
        <v>-16.60335621662853</v>
      </c>
      <c r="Q909">
        <f>'_live'!$C$20</f>
        <v/>
      </c>
      <c r="T909" t="n">
        <v>0.07963683527885862</v>
      </c>
      <c r="U909" t="n">
        <v>0.07475209763539283</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0.01730103806228374</v>
      </c>
      <c r="AI909">
        <f>IF($Y909="worse","Yes",IF($Y909="worse, not significant","Not sure",IF(OR($Y909="too few losses to test",$Y909="too few loans to test"),"Too few losses",IF($Y909="","","No"))))</f>
        <v/>
      </c>
      <c r="AJ909">
        <f>IF($AA909="yes","Yes",IF($AA909="","","No"))</f>
        <v/>
      </c>
      <c r="AM909">
        <f>IF(AND(ISNUMBER($AC909),ISNUMBER(IF($V909,IF($AL909="","",$AL909),IF($AK909="","",$AK909)))),IF(AND(ABS($AC909-significance_bar)&lt;=2.0*IF($V909,IF($AL909="","",$AL909),IF($AK909="","",$AK909)),OR($Y909="worse",$Y909="better",$Y909="worse, not significant",$Y909="better, not significant")),IF(ROUND($AC909,3)=ROUND(significance_bar,3),TEXT($AC909,"0.0000"),TEXT($AC909,"0.000")),""),"")</f>
        <v/>
      </c>
      <c r="AN909">
        <f>IF(AND(ISNUMBER($AC909),ISNUMBER(IF($V909,IF($AL909="","",$AL909),IF($AK909="","",$AK909)))),IF(AND(ABS($AC909-significance_bar)&lt;=2.0*IF($V909,IF($AL909="","",$AL909),IF($AK909="","",$AK909)),OR($Y909="worse",$Y909="worse, not significant")),IF(ROUND($AC909,3)=ROUND(significance_bar,3),TEXT($AC909,"0.0000"),TEXT($AC909,"0.000")),""),"")</f>
        <v/>
      </c>
      <c r="AO909">
        <f>IF(OR($AI909="",$AN909=""),$AI909,$AI909&amp;" · borderline (p "&amp;$AN909&amp;")")</f>
        <v/>
      </c>
    </row>
    <row r="910">
      <c r="A910" t="inlineStr">
        <is>
          <t>three-way</t>
        </is>
      </c>
      <c r="B910" t="inlineStr">
        <is>
          <t>ORIG_BAL x CHANNEL / SYS_FLAG</t>
        </is>
      </c>
      <c r="C910" t="inlineStr">
        <is>
          <t>49,152 - 59,984</t>
        </is>
      </c>
      <c r="D910" t="inlineStr">
        <is>
          <t>Branch / SYS_FLAG N</t>
        </is>
      </c>
      <c r="E910" t="inlineStr">
        <is>
          <t>outcome_booked</t>
        </is>
      </c>
      <c r="F910" t="inlineStr">
        <is>
          <t>Outcome, share of booked dollars</t>
        </is>
      </c>
      <c r="G910" t="n">
        <v>289</v>
      </c>
      <c r="H910" t="n">
        <v>15763128.12</v>
      </c>
      <c r="I910" t="b">
        <v>1</v>
      </c>
      <c r="J910" t="b">
        <v>0</v>
      </c>
      <c r="K910" t="n">
        <v>0.2212404659224225</v>
      </c>
      <c r="M910" t="n">
        <v>0.2312654357112383</v>
      </c>
      <c r="O910" t="n">
        <v>-964459.2680621485</v>
      </c>
      <c r="P910" t="n">
        <v>-910774.2804096546</v>
      </c>
      <c r="Q910">
        <f>'_live'!$C$21</f>
        <v/>
      </c>
      <c r="T910" t="n">
        <v>0.0785666270447181</v>
      </c>
      <c r="U910" t="n">
        <v>0.07516089518465796</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0.01738211717332663</v>
      </c>
      <c r="AI910">
        <f>IF($Y910="worse","Yes",IF($Y910="worse, not significant","Not sure",IF(OR($Y910="too few losses to test",$Y910="too few loans to test"),"Too few losses",IF($Y910="","","No"))))</f>
        <v/>
      </c>
      <c r="AJ910">
        <f>IF($AA910="yes","Yes",IF($AA910="","","No"))</f>
        <v/>
      </c>
      <c r="AM910">
        <f>IF(AND(ISNUMBER($AC910),ISNUMBER(IF($V910,IF($AL910="","",$AL910),IF($AK910="","",$AK910)))),IF(AND(ABS($AC910-significance_bar)&lt;=2.0*IF($V910,IF($AL910="","",$AL910),IF($AK910="","",$AK910)),OR($Y910="worse",$Y910="better",$Y910="worse, not significant",$Y910="better, not significant")),IF(ROUND($AC910,3)=ROUND(significance_bar,3),TEXT($AC910,"0.0000"),TEXT($AC910,"0.000")),""),"")</f>
        <v/>
      </c>
      <c r="AN910">
        <f>IF(AND(ISNUMBER($AC910),ISNUMBER(IF($V910,IF($AL910="","",$AL910),IF($AK910="","",$AK910)))),IF(AND(ABS($AC910-significance_bar)&lt;=2.0*IF($V910,IF($AL910="","",$AL910),IF($AK910="","",$AK910)),OR($Y910="worse",$Y910="worse, not significant")),IF(ROUND($AC910,3)=ROUND(significance_bar,3),TEXT($AC910,"0.0000"),TEXT($AC910,"0.000")),""),"")</f>
        <v/>
      </c>
      <c r="AO910">
        <f>IF(OR($AI910="",$AN910=""),$AI910,$AI910&amp;" · borderline (p "&amp;$AN910&amp;")")</f>
        <v/>
      </c>
    </row>
    <row r="911">
      <c r="A911" t="inlineStr">
        <is>
          <t>three-way</t>
        </is>
      </c>
      <c r="B911" t="inlineStr">
        <is>
          <t>ORIG_BAL x CHANNEL / SYS_FLAG</t>
        </is>
      </c>
      <c r="C911" t="inlineStr">
        <is>
          <t>49,152 - 59,984</t>
        </is>
      </c>
      <c r="D911" t="inlineStr">
        <is>
          <t>Branch / SYS_FLAG N</t>
        </is>
      </c>
      <c r="E911" t="inlineStr">
        <is>
          <t>gco_rate</t>
        </is>
      </c>
      <c r="F911" t="inlineStr">
        <is>
          <t>GCO per booked dollar</t>
        </is>
      </c>
      <c r="G911" t="n">
        <v>289</v>
      </c>
      <c r="H911" t="n">
        <v>15763128.12</v>
      </c>
      <c r="I911" t="b">
        <v>1</v>
      </c>
      <c r="J911" t="b">
        <v>0</v>
      </c>
      <c r="K911" t="n">
        <v>0.204687682798231</v>
      </c>
      <c r="M911" t="n">
        <v>0.2161588222012251</v>
      </c>
      <c r="O911" t="n">
        <v>-548225.1002732376</v>
      </c>
      <c r="P911" t="n">
        <v>-511644.165473187</v>
      </c>
      <c r="Q911">
        <f>'_live'!$C$22</f>
        <v/>
      </c>
      <c r="T911" t="n">
        <v>0.04372993196690693</v>
      </c>
      <c r="U911" t="n">
        <v>0.04140926727893569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0.008950978443230468</v>
      </c>
      <c r="AI911">
        <f>IF($Y911="worse","Yes",IF($Y911="worse, not significant","Not sure",IF(OR($Y911="too few losses to test",$Y911="too few loans to test"),"Too few losses",IF($Y911="","","No"))))</f>
        <v/>
      </c>
      <c r="AJ911">
        <f>IF($AA911="yes","Yes",IF($AA911="","","No"))</f>
        <v/>
      </c>
      <c r="AM911">
        <f>IF(AND(ISNUMBER($AC911),ISNUMBER(IF($V911,IF($AL911="","",$AL911),IF($AK911="","",$AK911)))),IF(AND(ABS($AC911-significance_bar)&lt;=2.0*IF($V911,IF($AL911="","",$AL911),IF($AK911="","",$AK911)),OR($Y911="worse",$Y911="better",$Y911="worse, not significant",$Y911="better, not significant")),IF(ROUND($AC911,3)=ROUND(significance_bar,3),TEXT($AC911,"0.0000"),TEXT($AC911,"0.000")),""),"")</f>
        <v/>
      </c>
      <c r="AN911">
        <f>IF(AND(ISNUMBER($AC911),ISNUMBER(IF($V911,IF($AL911="","",$AL911),IF($AK911="","",$AK911)))),IF(AND(ABS($AC911-significance_bar)&lt;=2.0*IF($V911,IF($AL911="","",$AL911),IF($AK911="","",$AK911)),OR($Y911="worse",$Y911="worse, not significant")),IF(ROUND($AC911,3)=ROUND(significance_bar,3),TEXT($AC911,"0.0000"),TEXT($AC911,"0.000")),""),"")</f>
        <v/>
      </c>
      <c r="AO911">
        <f>IF(OR($AI911="",$AN911=""),$AI911,$AI911&amp;" · borderline (p "&amp;$AN911&amp;")")</f>
        <v/>
      </c>
    </row>
    <row r="912">
      <c r="A912" t="inlineStr">
        <is>
          <t>three-way</t>
        </is>
      </c>
      <c r="B912" t="inlineStr">
        <is>
          <t>ORIG_BAL x CHANNEL / SYS_FLAG</t>
        </is>
      </c>
      <c r="C912" t="inlineStr">
        <is>
          <t>49,152 - 59,984</t>
        </is>
      </c>
      <c r="D912" t="inlineStr">
        <is>
          <t>Branch / SYS_FLAG N</t>
        </is>
      </c>
      <c r="E912" t="inlineStr">
        <is>
          <t>ranr_rate</t>
        </is>
      </c>
      <c r="F912" t="inlineStr">
        <is>
          <t>Profit after losses: RANR per booked dollar</t>
        </is>
      </c>
      <c r="G912" t="n">
        <v>289</v>
      </c>
      <c r="H912" t="n">
        <v>15763128.12</v>
      </c>
      <c r="I912" t="b">
        <v>0</v>
      </c>
      <c r="J912" t="b">
        <v>0</v>
      </c>
      <c r="K912" t="n">
        <v>0.02080846008762591</v>
      </c>
      <c r="L912" t="n">
        <v>0.2167283271672833</v>
      </c>
      <c r="M912" t="n">
        <v>0.02086914859789091</v>
      </c>
      <c r="N912" t="n">
        <v>0.1811818818118188</v>
      </c>
      <c r="O912" t="n">
        <v>-328006.4223411535</v>
      </c>
      <c r="P912" t="n">
        <v>-328963.0631038726</v>
      </c>
      <c r="Q912">
        <f>'_live'!$C$23</f>
        <v/>
      </c>
      <c r="R912" t="inlineStr">
        <is>
          <t>shuffled: 866 of 10,000</t>
        </is>
      </c>
      <c r="S912" t="inlineStr">
        <is>
          <t>shuffled: 602 of 10,000</t>
        </is>
      </c>
      <c r="T912" t="n">
        <v>0.1267190441169138</v>
      </c>
      <c r="U912" t="n">
        <v>0.1266583556066488</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0.1475275042045397</v>
      </c>
      <c r="AI912">
        <f>IF($Y912="worse","Yes",IF($Y912="worse, not significant","Not sure",IF(OR($Y912="too few losses to test",$Y912="too few loans to test"),"Too few losses",IF($Y912="","","No"))))</f>
        <v/>
      </c>
      <c r="AJ912">
        <f>IF($AA912="yes","Yes",IF($AA912="","","No"))</f>
        <v/>
      </c>
      <c r="AK912" t="n">
        <v>0.007034555068527641</v>
      </c>
      <c r="AL912" t="n">
        <v>0.007146459061231544</v>
      </c>
      <c r="AM912">
        <f>IF(AND(ISNUMBER($AC912),ISNUMBER(IF($V912,IF($AL912="","",$AL912),IF($AK912="","",$AK912)))),IF(AND(ABS($AC912-significance_bar)&lt;=2.0*IF($V912,IF($AL912="","",$AL912),IF($AK912="","",$AK912)),OR($Y912="worse",$Y912="better",$Y912="worse, not significant",$Y912="better, not significant",AND(profit_kind="test",$Y912="in line",ISNUMBER($AB912),$AB912&lt;&gt;0))),IF(ROUND($AC912,3)=ROUND(significance_bar,3),TEXT($AC912,"0.0000"),TEXT($AC912,"0.000")),""),"")</f>
        <v/>
      </c>
      <c r="AN912">
        <f>IF(AND(ISNUMBER($AC912),ISNUMBER(IF($V912,IF($AL912="","",$AL912),IF($AK912="","",$AK912)))),IF(AND(ABS($AC912-significance_bar)&lt;=2.0*IF($V912,IF($AL912="","",$AL912),IF($AK912="","",$AK912)),OR($Y912="worse",$Y912="worse, not significant",AND(profit_kind="test",$Y912="in line",ISNUMBER($AB912),$AB912&lt;0))),IF(ROUND($AC912,3)=ROUND(significance_bar,3),TEXT($AC912,"0.0000"),TEXT($AC912,"0.000")),""),"")</f>
        <v/>
      </c>
      <c r="AO912">
        <f>IF(OR($AI912="",$AN912=""),$AI912,$AI912&amp;" · borderline (p "&amp;$AN912&amp;")")</f>
        <v/>
      </c>
    </row>
    <row r="913">
      <c r="A913" t="inlineStr">
        <is>
          <t>three-way</t>
        </is>
      </c>
      <c r="B913" t="inlineStr">
        <is>
          <t>ORIG_BAL x CHANNEL / SYS_FLAG</t>
        </is>
      </c>
      <c r="C913" t="inlineStr">
        <is>
          <t>49,152 - 59,984</t>
        </is>
      </c>
      <c r="D913" t="inlineStr">
        <is>
          <t>Branch / SYS_FLAG N</t>
        </is>
      </c>
      <c r="E913" t="inlineStr">
        <is>
          <t>contribution_rate</t>
        </is>
      </c>
      <c r="F913" t="inlineStr">
        <is>
          <t>Contribution before losses per booked dollar</t>
        </is>
      </c>
      <c r="G913" t="n">
        <v>289</v>
      </c>
      <c r="H913" t="n">
        <v>15763128.12</v>
      </c>
      <c r="I913" t="b">
        <v>0</v>
      </c>
      <c r="J913" t="b">
        <v>0</v>
      </c>
      <c r="K913" t="n">
        <v>-0.01396723995369406</v>
      </c>
      <c r="L913" t="n">
        <v>0.1942305769423057</v>
      </c>
      <c r="M913" t="n">
        <v>-0.01158914023781432</v>
      </c>
      <c r="N913" t="n">
        <v>0.3046838173325525</v>
      </c>
      <c r="O913" t="n">
        <v>220167.3928728625</v>
      </c>
      <c r="P913" t="n">
        <v>182681.1023693145</v>
      </c>
      <c r="Q913">
        <f>'_live'!$C$24</f>
        <v/>
      </c>
      <c r="R913" t="inlineStr">
        <is>
          <t>shuffled: 776 of 10,000</t>
        </is>
      </c>
      <c r="S913" t="inlineStr">
        <is>
          <t>shuffled: 1,363 of 10,000</t>
        </is>
      </c>
      <c r="T913" t="n">
        <v>0.1704457226014643</v>
      </c>
      <c r="U913" t="n">
        <v>0.1680676228855845</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0.1564784826477702</v>
      </c>
      <c r="AI913">
        <f>IF($Y913="worse","Yes",IF($Y913="worse, not significant","Not sure",IF(OR($Y913="too few losses to test",$Y913="too few loans to test"),"Too few losses",IF($Y913="","","No"))))</f>
        <v/>
      </c>
      <c r="AJ913">
        <f>IF($AA913="yes","Yes",IF($AA913="","","No"))</f>
        <v/>
      </c>
      <c r="AK913" t="n">
        <v>0.006692166505224025</v>
      </c>
      <c r="AL913" t="n">
        <v>0.007483726783760246</v>
      </c>
      <c r="AM913">
        <f>IF(AND(ISNUMBER($AC913),ISNUMBER(IF($V913,IF($AL913="","",$AL913),IF($AK913="","",$AK913)))),IF(AND(ABS($AC913-significance_bar)&lt;=2.0*IF($V913,IF($AL913="","",$AL913),IF($AK913="","",$AK913)),OR($Y913="worse",$Y913="better",$Y913="worse, not significant",$Y913="better, not significant",AND(profit_kind="test",$Y913="in line",ISNUMBER($AB913),$AB913&lt;&gt;0))),IF(ROUND($AC913,3)=ROUND(significance_bar,3),TEXT($AC913,"0.0000"),TEXT($AC913,"0.000")),""),"")</f>
        <v/>
      </c>
      <c r="AN913">
        <f>IF(AND(ISNUMBER($AC913),ISNUMBER(IF($V913,IF($AL913="","",$AL913),IF($AK913="","",$AK913)))),IF(AND(ABS($AC913-significance_bar)&lt;=2.0*IF($V913,IF($AL913="","",$AL913),IF($AK913="","",$AK913)),OR($Y913="worse",$Y913="worse, not significant",AND(profit_kind="test",$Y913="in line",ISNUMBER($AB913),$AB913&lt;0))),IF(ROUND($AC913,3)=ROUND(significance_bar,3),TEXT($AC913,"0.0000"),TEXT($AC913,"0.000")),""),"")</f>
        <v/>
      </c>
      <c r="AO913">
        <f>IF(OR($AI913="",$AN913=""),$AI913,$AI913&amp;" · borderline (p "&amp;$AN913&amp;")")</f>
        <v/>
      </c>
    </row>
    <row r="914">
      <c r="A914" t="inlineStr">
        <is>
          <t>three-way</t>
        </is>
      </c>
      <c r="B914" t="inlineStr">
        <is>
          <t>ORIG_BAL x CHANNEL / SYS_FLAG</t>
        </is>
      </c>
      <c r="C914" t="inlineStr">
        <is>
          <t>49,152 - 59,984</t>
        </is>
      </c>
      <c r="D914" t="inlineStr">
        <is>
          <t>Online / SYS_FLAG N</t>
        </is>
      </c>
      <c r="E914" t="inlineStr">
        <is>
          <t>outcome_loans</t>
        </is>
      </c>
      <c r="F914" t="inlineStr">
        <is>
          <t>Outcome, share of loans</t>
        </is>
      </c>
      <c r="G914" t="n">
        <v>291</v>
      </c>
      <c r="H914" t="n">
        <v>291</v>
      </c>
      <c r="I914" t="b">
        <v>1</v>
      </c>
      <c r="J914" t="b">
        <v>0</v>
      </c>
      <c r="K914" t="n">
        <v>0.3908061517660977</v>
      </c>
      <c r="M914" t="n">
        <v>0.4306865540688747</v>
      </c>
      <c r="O914" t="n">
        <v>-14.02932018681889</v>
      </c>
      <c r="P914" t="n">
        <v>-11.89686783804431</v>
      </c>
      <c r="Q914">
        <f>'_live'!$C$20</f>
        <v/>
      </c>
      <c r="T914" t="n">
        <v>0.07913855734302024</v>
      </c>
      <c r="U914" t="n">
        <v>0.0718105423987777</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0.03092783505154639</v>
      </c>
      <c r="AI914">
        <f>IF($Y914="worse","Yes",IF($Y914="worse, not significant","Not sure",IF(OR($Y914="too few losses to test",$Y914="too few loans to test"),"Too few losses",IF($Y914="","","No"))))</f>
        <v/>
      </c>
      <c r="AJ914">
        <f>IF($AA914="yes","Yes",IF($AA914="","","No"))</f>
        <v/>
      </c>
      <c r="AM914">
        <f>IF(AND(ISNUMBER($AC914),ISNUMBER(IF($V914,IF($AL914="","",$AL914),IF($AK914="","",$AK914)))),IF(AND(ABS($AC914-significance_bar)&lt;=2.0*IF($V914,IF($AL914="","",$AL914),IF($AK914="","",$AK914)),OR($Y914="worse",$Y914="better",$Y914="worse, not significant",$Y914="better, not significant")),IF(ROUND($AC914,3)=ROUND(significance_bar,3),TEXT($AC914,"0.0000"),TEXT($AC914,"0.000")),""),"")</f>
        <v/>
      </c>
      <c r="AN914">
        <f>IF(AND(ISNUMBER($AC914),ISNUMBER(IF($V914,IF($AL914="","",$AL914),IF($AK914="","",$AK914)))),IF(AND(ABS($AC914-significance_bar)&lt;=2.0*IF($V914,IF($AL914="","",$AL914),IF($AK914="","",$AK914)),OR($Y914="worse",$Y914="worse, not significant")),IF(ROUND($AC914,3)=ROUND(significance_bar,3),TEXT($AC914,"0.0000"),TEXT($AC914,"0.000")),""),"")</f>
        <v/>
      </c>
      <c r="AO914">
        <f>IF(OR($AI914="",$AN914=""),$AI914,$AI914&amp;" · borderline (p "&amp;$AN914&amp;")")</f>
        <v/>
      </c>
    </row>
    <row r="915">
      <c r="A915" t="inlineStr">
        <is>
          <t>three-way</t>
        </is>
      </c>
      <c r="B915" t="inlineStr">
        <is>
          <t>ORIG_BAL x CHANNEL / SYS_FLAG</t>
        </is>
      </c>
      <c r="C915" t="inlineStr">
        <is>
          <t>49,152 - 59,984</t>
        </is>
      </c>
      <c r="D915" t="inlineStr">
        <is>
          <t>Online / SYS_FLAG N</t>
        </is>
      </c>
      <c r="E915" t="inlineStr">
        <is>
          <t>outcome_booked</t>
        </is>
      </c>
      <c r="F915" t="inlineStr">
        <is>
          <t>Outcome, share of booked dollars</t>
        </is>
      </c>
      <c r="G915" t="n">
        <v>291</v>
      </c>
      <c r="H915" t="n">
        <v>15916062.98999999</v>
      </c>
      <c r="I915" t="b">
        <v>1</v>
      </c>
      <c r="J915" t="b">
        <v>0</v>
      </c>
      <c r="K915" t="n">
        <v>0.4076044368427899</v>
      </c>
      <c r="M915" t="n">
        <v>0.4390475675098757</v>
      </c>
      <c r="O915" t="n">
        <v>-732290.117512814</v>
      </c>
      <c r="P915" t="n">
        <v>-643761.1128917946</v>
      </c>
      <c r="Q915">
        <f>'_live'!$C$21</f>
        <v/>
      </c>
      <c r="T915" t="n">
        <v>0.07766685632555509</v>
      </c>
      <c r="U915" t="n">
        <v>0.07210461366060449</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0.03165735523392776</v>
      </c>
      <c r="AI915">
        <f>IF($Y915="worse","Yes",IF($Y915="worse, not significant","Not sure",IF(OR($Y915="too few losses to test",$Y915="too few loans to test"),"Too few losses",IF($Y915="","","No"))))</f>
        <v/>
      </c>
      <c r="AJ915">
        <f>IF($AA915="yes","Yes",IF($AA915="","","No"))</f>
        <v/>
      </c>
      <c r="AM915">
        <f>IF(AND(ISNUMBER($AC915),ISNUMBER(IF($V915,IF($AL915="","",$AL915),IF($AK915="","",$AK915)))),IF(AND(ABS($AC915-significance_bar)&lt;=2.0*IF($V915,IF($AL915="","",$AL915),IF($AK915="","",$AK915)),OR($Y915="worse",$Y915="better",$Y915="worse, not significant",$Y915="better, not significant")),IF(ROUND($AC915,3)=ROUND(significance_bar,3),TEXT($AC915,"0.0000"),TEXT($AC915,"0.000")),""),"")</f>
        <v/>
      </c>
      <c r="AN915">
        <f>IF(AND(ISNUMBER($AC915),ISNUMBER(IF($V915,IF($AL915="","",$AL915),IF($AK915="","",$AK915)))),IF(AND(ABS($AC915-significance_bar)&lt;=2.0*IF($V915,IF($AL915="","",$AL915),IF($AK915="","",$AK915)),OR($Y915="worse",$Y915="worse, not significant")),IF(ROUND($AC915,3)=ROUND(significance_bar,3),TEXT($AC915,"0.0000"),TEXT($AC915,"0.000")),""),"")</f>
        <v/>
      </c>
      <c r="AO915">
        <f>IF(OR($AI915="",$AN915=""),$AI915,$AI915&amp;" · borderline (p "&amp;$AN915&amp;")")</f>
        <v/>
      </c>
    </row>
    <row r="916">
      <c r="A916" t="inlineStr">
        <is>
          <t>three-way</t>
        </is>
      </c>
      <c r="B916" t="inlineStr">
        <is>
          <t>ORIG_BAL x CHANNEL / SYS_FLAG</t>
        </is>
      </c>
      <c r="C916" t="inlineStr">
        <is>
          <t>49,152 - 59,984</t>
        </is>
      </c>
      <c r="D916" t="inlineStr">
        <is>
          <t>Online / SYS_FLAG N</t>
        </is>
      </c>
      <c r="E916" t="inlineStr">
        <is>
          <t>gco_rate</t>
        </is>
      </c>
      <c r="F916" t="inlineStr">
        <is>
          <t>GCO per booked dollar</t>
        </is>
      </c>
      <c r="G916" t="n">
        <v>291</v>
      </c>
      <c r="H916" t="n">
        <v>15916062.98999999</v>
      </c>
      <c r="I916" t="b">
        <v>1</v>
      </c>
      <c r="J916" t="b">
        <v>0</v>
      </c>
      <c r="K916" t="n">
        <v>0.3918277434703837</v>
      </c>
      <c r="M916" t="n">
        <v>0.4266406540775446</v>
      </c>
      <c r="O916" t="n">
        <v>-418423.5873388054</v>
      </c>
      <c r="P916" t="n">
        <v>-362284.2021324878</v>
      </c>
      <c r="Q916">
        <f>'_live'!$C$22</f>
        <v/>
      </c>
      <c r="T916" t="n">
        <v>0.04322688140723462</v>
      </c>
      <c r="U916" t="n">
        <v>0.03969966583629915</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0.01693749139905862</v>
      </c>
      <c r="AI916">
        <f>IF($Y916="worse","Yes",IF($Y916="worse, not significant","Not sure",IF(OR($Y916="too few losses to test",$Y916="too few loans to test"),"Too few losses",IF($Y916="","","No"))))</f>
        <v/>
      </c>
      <c r="AJ916">
        <f>IF($AA916="yes","Yes",IF($AA916="","","No"))</f>
        <v/>
      </c>
      <c r="AM916">
        <f>IF(AND(ISNUMBER($AC916),ISNUMBER(IF($V916,IF($AL916="","",$AL916),IF($AK916="","",$AK916)))),IF(AND(ABS($AC916-significance_bar)&lt;=2.0*IF($V916,IF($AL916="","",$AL916),IF($AK916="","",$AK916)),OR($Y916="worse",$Y916="better",$Y916="worse, not significant",$Y916="better, not significant")),IF(ROUND($AC916,3)=ROUND(significance_bar,3),TEXT($AC916,"0.0000"),TEXT($AC916,"0.000")),""),"")</f>
        <v/>
      </c>
      <c r="AN916">
        <f>IF(AND(ISNUMBER($AC916),ISNUMBER(IF($V916,IF($AL916="","",$AL916),IF($AK916="","",$AK916)))),IF(AND(ABS($AC916-significance_bar)&lt;=2.0*IF($V916,IF($AL916="","",$AL916),IF($AK916="","",$AK916)),OR($Y916="worse",$Y916="worse, not significant")),IF(ROUND($AC916,3)=ROUND(significance_bar,3),TEXT($AC916,"0.0000"),TEXT($AC916,"0.000")),""),"")</f>
        <v/>
      </c>
      <c r="AO916">
        <f>IF(OR($AI916="",$AN916=""),$AI916,$AI916&amp;" · borderline (p "&amp;$AN916&amp;")")</f>
        <v/>
      </c>
    </row>
    <row r="917">
      <c r="A917" t="inlineStr">
        <is>
          <t>three-way</t>
        </is>
      </c>
      <c r="B917" t="inlineStr">
        <is>
          <t>ORIG_BAL x CHANNEL / SYS_FLAG</t>
        </is>
      </c>
      <c r="C917" t="inlineStr">
        <is>
          <t>49,152 - 59,984</t>
        </is>
      </c>
      <c r="D917" t="inlineStr">
        <is>
          <t>Online / SYS_FLAG N</t>
        </is>
      </c>
      <c r="E917" t="inlineStr">
        <is>
          <t>ranr_rate</t>
        </is>
      </c>
      <c r="F917" t="inlineStr">
        <is>
          <t>Profit after losses: RANR per booked dollar</t>
        </is>
      </c>
      <c r="G917" t="n">
        <v>291</v>
      </c>
      <c r="H917" t="n">
        <v>15916062.98999999</v>
      </c>
      <c r="I917" t="b">
        <v>0</v>
      </c>
      <c r="J917" t="b">
        <v>0</v>
      </c>
      <c r="K917" t="n">
        <v>0.04221909846440383</v>
      </c>
      <c r="L917" t="n">
        <v>0.005999400059994</v>
      </c>
      <c r="M917" t="n">
        <v>0.04546419181028684</v>
      </c>
      <c r="N917" t="n">
        <v>0.005999400059994001</v>
      </c>
      <c r="O917" t="n">
        <v>-671961.8305404631</v>
      </c>
      <c r="P917" t="n">
        <v>-723610.9406419669</v>
      </c>
      <c r="Q917">
        <f>'_live'!$C$23</f>
        <v/>
      </c>
      <c r="R917" t="inlineStr">
        <is>
          <t>shuffled: 5 of 10,000</t>
        </is>
      </c>
      <c r="S917" t="inlineStr">
        <is>
          <t>shuffled: 3 of 10,000</t>
        </is>
      </c>
      <c r="T917" t="n">
        <v>0.1253862372066133</v>
      </c>
      <c r="U917" t="n">
        <v>0.1221411438607303</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0.1676053356710171</v>
      </c>
      <c r="AI917">
        <f>IF($Y917="worse","Yes",IF($Y917="worse, not significant","Not sure",IF(OR($Y917="too few losses to test",$Y917="too few loans to test"),"Too few losses",IF($Y917="","","No"))))</f>
        <v/>
      </c>
      <c r="AJ917">
        <f>IF($AA917="yes","Yes",IF($AA917="","","No"))</f>
        <v/>
      </c>
      <c r="AK917" t="n">
        <v>0.002448632430538731</v>
      </c>
      <c r="AL917" t="n">
        <v>0.002999250041240813</v>
      </c>
      <c r="AM917">
        <f>IF(AND(ISNUMBER($AC917),ISNUMBER(IF($V917,IF($AL917="","",$AL917),IF($AK917="","",$AK917)))),IF(AND(ABS($AC917-significance_bar)&lt;=2.0*IF($V917,IF($AL917="","",$AL917),IF($AK917="","",$AK917)),OR($Y917="worse",$Y917="better",$Y917="worse, not significant",$Y917="better, not significant",AND(profit_kind="test",$Y917="in line",ISNUMBER($AB917),$AB917&lt;&gt;0))),IF(ROUND($AC917,3)=ROUND(significance_bar,3),TEXT($AC917,"0.0000"),TEXT($AC917,"0.000")),""),"")</f>
        <v/>
      </c>
      <c r="AN917">
        <f>IF(AND(ISNUMBER($AC917),ISNUMBER(IF($V917,IF($AL917="","",$AL917),IF($AK917="","",$AK917)))),IF(AND(ABS($AC917-significance_bar)&lt;=2.0*IF($V917,IF($AL917="","",$AL917),IF($AK917="","",$AK917)),OR($Y917="worse",$Y917="worse, not significant",AND(profit_kind="test",$Y917="in line",ISNUMBER($AB917),$AB917&lt;0))),IF(ROUND($AC917,3)=ROUND(significance_bar,3),TEXT($AC917,"0.0000"),TEXT($AC917,"0.000")),""),"")</f>
        <v/>
      </c>
      <c r="AO917">
        <f>IF(OR($AI917="",$AN917=""),$AI917,$AI917&amp;" · borderline (p "&amp;$AN917&amp;")")</f>
        <v/>
      </c>
    </row>
    <row r="918">
      <c r="A918" t="inlineStr">
        <is>
          <t>three-way</t>
        </is>
      </c>
      <c r="B918" t="inlineStr">
        <is>
          <t>ORIG_BAL x CHANNEL / SYS_FLAG</t>
        </is>
      </c>
      <c r="C918" t="inlineStr">
        <is>
          <t>49,152 - 59,984</t>
        </is>
      </c>
      <c r="D918" t="inlineStr">
        <is>
          <t>Online / SYS_FLAG N</t>
        </is>
      </c>
      <c r="E918" t="inlineStr">
        <is>
          <t>contribution_rate</t>
        </is>
      </c>
      <c r="F918" t="inlineStr">
        <is>
          <t>Contribution before losses per booked dollar</t>
        </is>
      </c>
      <c r="G918" t="n">
        <v>291</v>
      </c>
      <c r="H918" t="n">
        <v>15916062.98999999</v>
      </c>
      <c r="I918" t="b">
        <v>0</v>
      </c>
      <c r="J918" t="b">
        <v>0</v>
      </c>
      <c r="K918" t="n">
        <v>0.01593318245264141</v>
      </c>
      <c r="L918" t="n">
        <v>0.14998500149985</v>
      </c>
      <c r="M918" t="n">
        <v>0.02270201737304633</v>
      </c>
      <c r="N918" t="n">
        <v>0.027997200279972</v>
      </c>
      <c r="O918" t="n">
        <v>-253593.5355474032</v>
      </c>
      <c r="P918" t="n">
        <v>-361326.7385094794</v>
      </c>
      <c r="Q918">
        <f>'_live'!$C$24</f>
        <v/>
      </c>
      <c r="R918" t="inlineStr">
        <is>
          <t>shuffled: 449 of 10,000</t>
        </is>
      </c>
      <c r="S918" t="inlineStr">
        <is>
          <t>shuffled: 27 of 10,000</t>
        </is>
      </c>
      <c r="T918" t="n">
        <v>0.1686096446174344</v>
      </c>
      <c r="U918" t="n">
        <v>0.1618408096970294</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0.1845428270700758</v>
      </c>
      <c r="AI918">
        <f>IF($Y918="worse","Yes",IF($Y918="worse, not significant","Not sure",IF(OR($Y918="too few losses to test",$Y918="too few loans to test"),"Too few losses",IF($Y918="","","No"))))</f>
        <v/>
      </c>
      <c r="AJ918">
        <f>IF($AA918="yes","Yes",IF($AA918="","","No"))</f>
        <v/>
      </c>
      <c r="AK918" t="n">
        <v>0.006909808277547142</v>
      </c>
      <c r="AL918" t="n">
        <v>0.005283825882598736</v>
      </c>
      <c r="AM918">
        <f>IF(AND(ISNUMBER($AC918),ISNUMBER(IF($V918,IF($AL918="","",$AL918),IF($AK918="","",$AK918)))),IF(AND(ABS($AC918-significance_bar)&lt;=2.0*IF($V918,IF($AL918="","",$AL918),IF($AK918="","",$AK918)),OR($Y918="worse",$Y918="better",$Y918="worse, not significant",$Y918="better, not significant",AND(profit_kind="test",$Y918="in line",ISNUMBER($AB918),$AB918&lt;&gt;0))),IF(ROUND($AC918,3)=ROUND(significance_bar,3),TEXT($AC918,"0.0000"),TEXT($AC918,"0.000")),""),"")</f>
        <v/>
      </c>
      <c r="AN918">
        <f>IF(AND(ISNUMBER($AC918),ISNUMBER(IF($V918,IF($AL918="","",$AL918),IF($AK918="","",$AK918)))),IF(AND(ABS($AC918-significance_bar)&lt;=2.0*IF($V918,IF($AL918="","",$AL918),IF($AK918="","",$AK918)),OR($Y918="worse",$Y918="worse, not significant",AND(profit_kind="test",$Y918="in line",ISNUMBER($AB918),$AB918&lt;0))),IF(ROUND($AC918,3)=ROUND(significance_bar,3),TEXT($AC918,"0.0000"),TEXT($AC918,"0.000")),""),"")</f>
        <v/>
      </c>
      <c r="AO918">
        <f>IF(OR($AI918="",$AN918=""),$AI918,$AI918&amp;" · borderline (p "&amp;$AN918&amp;")")</f>
        <v/>
      </c>
    </row>
    <row r="919">
      <c r="A919" t="inlineStr">
        <is>
          <t>three-way</t>
        </is>
      </c>
      <c r="B919" t="inlineStr">
        <is>
          <t>ORIG_BAL x CHANNEL / SYS_FLAG</t>
        </is>
      </c>
      <c r="C919" t="inlineStr">
        <is>
          <t>37,951 - 49,151</t>
        </is>
      </c>
      <c r="D919" t="inlineStr">
        <is>
          <t>Online / SYS_FLAG N</t>
        </is>
      </c>
      <c r="E919" t="inlineStr">
        <is>
          <t>outcome_loans</t>
        </is>
      </c>
      <c r="F919" t="inlineStr">
        <is>
          <t>Outcome, share of loans</t>
        </is>
      </c>
      <c r="G919" t="n">
        <v>289</v>
      </c>
      <c r="H919" t="n">
        <v>289</v>
      </c>
      <c r="I919" t="b">
        <v>0</v>
      </c>
      <c r="J919" t="b">
        <v>0</v>
      </c>
      <c r="K919" t="n">
        <v>0.4380656928085637</v>
      </c>
      <c r="L919" t="n">
        <v>0.03894127956810381</v>
      </c>
      <c r="M919" t="n">
        <v>0.3658332403169997</v>
      </c>
      <c r="N919" t="n">
        <v>0.01206861754309516</v>
      </c>
      <c r="O919" t="n">
        <v>-12.82762645914397</v>
      </c>
      <c r="P919" t="n">
        <v>-17.3348588863463</v>
      </c>
      <c r="Q919">
        <f>'_live'!$C$20</f>
        <v/>
      </c>
      <c r="R919" t="inlineStr">
        <is>
          <t>z test</t>
        </is>
      </c>
      <c r="S919" t="inlineStr">
        <is>
          <t>z test</t>
        </is>
      </c>
      <c r="T919" t="n">
        <v>0.07898832684824902</v>
      </c>
      <c r="U919" t="n">
        <v>0.09458428680396644</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0.03460207612456748</v>
      </c>
      <c r="AI919">
        <f>IF($Y919="worse","Yes",IF($Y919="worse, not significant","Not sure",IF(OR($Y919="too few losses to test",$Y919="too few loans to test"),"Too few losses",IF($Y919="","","No"))))</f>
        <v/>
      </c>
      <c r="AJ919">
        <f>IF($AA919="yes","Yes",IF($AA919="","","No"))</f>
        <v/>
      </c>
      <c r="AM919">
        <f>IF(AND(ISNUMBER($AC919),ISNUMBER(IF($V919,IF($AL919="","",$AL919),IF($AK919="","",$AK919)))),IF(AND(ABS($AC919-significance_bar)&lt;=2.0*IF($V919,IF($AL919="","",$AL919),IF($AK919="","",$AK919)),OR($Y919="worse",$Y919="better",$Y919="worse, not significant",$Y919="better, not significant")),IF(ROUND($AC919,3)=ROUND(significance_bar,3),TEXT($AC919,"0.0000"),TEXT($AC919,"0.000")),""),"")</f>
        <v/>
      </c>
      <c r="AN919">
        <f>IF(AND(ISNUMBER($AC919),ISNUMBER(IF($V919,IF($AL919="","",$AL919),IF($AK919="","",$AK919)))),IF(AND(ABS($AC919-significance_bar)&lt;=2.0*IF($V919,IF($AL919="","",$AL919),IF($AK919="","",$AK919)),OR($Y919="worse",$Y919="worse, not significant")),IF(ROUND($AC919,3)=ROUND(significance_bar,3),TEXT($AC919,"0.0000"),TEXT($AC919,"0.000")),""),"")</f>
        <v/>
      </c>
      <c r="AO919">
        <f>IF(OR($AI919="",$AN919=""),$AI919,$AI919&amp;" · borderline (p "&amp;$AN919&amp;")")</f>
        <v/>
      </c>
    </row>
    <row r="920">
      <c r="A920" t="inlineStr">
        <is>
          <t>three-way</t>
        </is>
      </c>
      <c r="B920" t="inlineStr">
        <is>
          <t>ORIG_BAL x CHANNEL / SYS_FLAG</t>
        </is>
      </c>
      <c r="C920" t="inlineStr">
        <is>
          <t>37,951 - 49,151</t>
        </is>
      </c>
      <c r="D920" t="inlineStr">
        <is>
          <t>Online / SYS_FLAG N</t>
        </is>
      </c>
      <c r="E920" t="inlineStr">
        <is>
          <t>outcome_booked</t>
        </is>
      </c>
      <c r="F920" t="inlineStr">
        <is>
          <t>Outcome, share of booked dollars</t>
        </is>
      </c>
      <c r="G920" t="n">
        <v>289</v>
      </c>
      <c r="H920" t="n">
        <v>12588326.39999999</v>
      </c>
      <c r="I920" t="b">
        <v>0</v>
      </c>
      <c r="J920" t="b">
        <v>0</v>
      </c>
      <c r="K920" t="n">
        <v>0.4440611616864288</v>
      </c>
      <c r="L920" t="n">
        <v>0.118988101189881</v>
      </c>
      <c r="M920" t="n">
        <v>0.3638319809342351</v>
      </c>
      <c r="N920" t="n">
        <v>0.0205312802053128</v>
      </c>
      <c r="O920" t="n">
        <v>-538277.0012228955</v>
      </c>
      <c r="P920" t="n">
        <v>-751783.1051067371</v>
      </c>
      <c r="Q920">
        <f>'_live'!$C$21</f>
        <v/>
      </c>
      <c r="R920" t="inlineStr">
        <is>
          <t>shuffled: 169 of 10,000</t>
        </is>
      </c>
      <c r="S920" t="inlineStr">
        <is>
          <t>shuffled: 14 of 10,000</t>
        </is>
      </c>
      <c r="T920" t="n">
        <v>0.07691495918177783</v>
      </c>
      <c r="U920" t="n">
        <v>0.09387560169290955</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0.03415494612532452</v>
      </c>
      <c r="AI920">
        <f>IF($Y920="worse","Yes",IF($Y920="worse, not significant","Not sure",IF(OR($Y920="too few losses to test",$Y920="too few loans to test"),"Too few losses",IF($Y920="","","No"))))</f>
        <v/>
      </c>
      <c r="AJ920">
        <f>IF($AA920="yes","Yes",IF($AA920="","","No"))</f>
        <v/>
      </c>
      <c r="AK920" t="n">
        <v>0.009048527726124253</v>
      </c>
      <c r="AL920" t="n">
        <v>0.004372685084126043</v>
      </c>
      <c r="AM920">
        <f>IF(AND(ISNUMBER($AC920),ISNUMBER(IF($V920,IF($AL920="","",$AL920),IF($AK920="","",$AK920)))),IF(AND(ABS($AC920-significance_bar)&lt;=2.0*IF($V920,IF($AL920="","",$AL920),IF($AK920="","",$AK920)),OR($Y920="worse",$Y920="better",$Y920="worse, not significant",$Y920="better, not significant")),IF(ROUND($AC920,3)=ROUND(significance_bar,3),TEXT($AC920,"0.0000"),TEXT($AC920,"0.000")),""),"")</f>
        <v/>
      </c>
      <c r="AN920">
        <f>IF(AND(ISNUMBER($AC920),ISNUMBER(IF($V920,IF($AL920="","",$AL920),IF($AK920="","",$AK920)))),IF(AND(ABS($AC920-significance_bar)&lt;=2.0*IF($V920,IF($AL920="","",$AL920),IF($AK920="","",$AK920)),OR($Y920="worse",$Y920="worse, not significant")),IF(ROUND($AC920,3)=ROUND(significance_bar,3),TEXT($AC920,"0.0000"),TEXT($AC920,"0.000")),""),"")</f>
        <v/>
      </c>
      <c r="AO920">
        <f>IF(OR($AI920="",$AN920=""),$AI920,$AI920&amp;" · borderline (p "&amp;$AN920&amp;")")</f>
        <v/>
      </c>
    </row>
    <row r="921">
      <c r="A921" t="inlineStr">
        <is>
          <t>three-way</t>
        </is>
      </c>
      <c r="B921" t="inlineStr">
        <is>
          <t>ORIG_BAL x CHANNEL / SYS_FLAG</t>
        </is>
      </c>
      <c r="C921" t="inlineStr">
        <is>
          <t>37,951 - 49,151</t>
        </is>
      </c>
      <c r="D921" t="inlineStr">
        <is>
          <t>Online / SYS_FLAG N</t>
        </is>
      </c>
      <c r="E921" t="inlineStr">
        <is>
          <t>gco_rate</t>
        </is>
      </c>
      <c r="F921" t="inlineStr">
        <is>
          <t>GCO per booked dollar</t>
        </is>
      </c>
      <c r="G921" t="n">
        <v>289</v>
      </c>
      <c r="H921" t="n">
        <v>12588326.39999999</v>
      </c>
      <c r="I921" t="b">
        <v>0</v>
      </c>
      <c r="J921" t="b">
        <v>0</v>
      </c>
      <c r="K921" t="n">
        <v>0.478099444075596</v>
      </c>
      <c r="L921" t="n">
        <v>0.1937406259374063</v>
      </c>
      <c r="M921" t="n">
        <v>0.3881987368463066</v>
      </c>
      <c r="N921" t="n">
        <v>0.0363963603639636</v>
      </c>
      <c r="O921" t="n">
        <v>-280482.0965411899</v>
      </c>
      <c r="P921" t="n">
        <v>-404941.1162248698</v>
      </c>
      <c r="Q921">
        <f>'_live'!$C$22</f>
        <v/>
      </c>
      <c r="R921" t="inlineStr">
        <is>
          <t>shuffled: 280 of 10,000</t>
        </is>
      </c>
      <c r="S921" t="inlineStr">
        <is>
          <t>shuffled: 22 of 10,000</t>
        </is>
      </c>
      <c r="T921" t="n">
        <v>0.04269228406257327</v>
      </c>
      <c r="U921" t="n">
        <v>0.05257914397777852</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0.02041115727663371</v>
      </c>
      <c r="AI921">
        <f>IF($Y921="worse","Yes",IF($Y921="worse, not significant","Not sure",IF(OR($Y921="too few losses to test",$Y921="too few loans to test"),"Too few losses",IF($Y921="","","No"))))</f>
        <v/>
      </c>
      <c r="AJ921">
        <f>IF($AA921="yes","Yes",IF($AA921="","","No"))</f>
        <v/>
      </c>
      <c r="AK921" t="n">
        <v>0.01023431519502334</v>
      </c>
      <c r="AL921" t="n">
        <v>0.005816998094801563</v>
      </c>
      <c r="AM921">
        <f>IF(AND(ISNUMBER($AC921),ISNUMBER(IF($V921,IF($AL921="","",$AL921),IF($AK921="","",$AK921)))),IF(AND(ABS($AC921-significance_bar)&lt;=2.0*IF($V921,IF($AL921="","",$AL921),IF($AK921="","",$AK921)),OR($Y921="worse",$Y921="better",$Y921="worse, not significant",$Y921="better, not significant")),IF(ROUND($AC921,3)=ROUND(significance_bar,3),TEXT($AC921,"0.0000"),TEXT($AC921,"0.000")),""),"")</f>
        <v/>
      </c>
      <c r="AN921">
        <f>IF(AND(ISNUMBER($AC921),ISNUMBER(IF($V921,IF($AL921="","",$AL921),IF($AK921="","",$AK921)))),IF(AND(ABS($AC921-significance_bar)&lt;=2.0*IF($V921,IF($AL921="","",$AL921),IF($AK921="","",$AK921)),OR($Y921="worse",$Y921="worse, not significant")),IF(ROUND($AC921,3)=ROUND(significance_bar,3),TEXT($AC921,"0.0000"),TEXT($AC921,"0.000")),""),"")</f>
        <v/>
      </c>
      <c r="AO921">
        <f>IF(OR($AI921="",$AN921=""),$AI921,$AI921&amp;" · borderline (p "&amp;$AN921&amp;")")</f>
        <v/>
      </c>
    </row>
    <row r="922">
      <c r="A922" t="inlineStr">
        <is>
          <t>three-way</t>
        </is>
      </c>
      <c r="B922" t="inlineStr">
        <is>
          <t>ORIG_BAL x CHANNEL / SYS_FLAG</t>
        </is>
      </c>
      <c r="C922" t="inlineStr">
        <is>
          <t>37,951 - 49,151</t>
        </is>
      </c>
      <c r="D922" t="inlineStr">
        <is>
          <t>Online / SYS_FLAG N</t>
        </is>
      </c>
      <c r="E922" t="inlineStr">
        <is>
          <t>ranr_rate</t>
        </is>
      </c>
      <c r="F922" t="inlineStr">
        <is>
          <t>Profit after losses: RANR per booked dollar</t>
        </is>
      </c>
      <c r="G922" t="n">
        <v>289</v>
      </c>
      <c r="H922" t="n">
        <v>12588326.39999999</v>
      </c>
      <c r="I922" t="b">
        <v>0</v>
      </c>
      <c r="J922" t="b">
        <v>0</v>
      </c>
      <c r="K922" t="n">
        <v>0.04836952717208409</v>
      </c>
      <c r="L922" t="n">
        <v>0.005999400059994</v>
      </c>
      <c r="M922" t="n">
        <v>0.06293933503688498</v>
      </c>
      <c r="N922" t="n">
        <v>0.002999700029997001</v>
      </c>
      <c r="O922" t="n">
        <v>-608891.3958558629</v>
      </c>
      <c r="P922" t="n">
        <v>-792300.8928432635</v>
      </c>
      <c r="Q922">
        <f>'_live'!$C$23</f>
        <v/>
      </c>
      <c r="R922" t="inlineStr">
        <is>
          <t>shuffled: 1 of 10,000</t>
        </is>
      </c>
      <c r="S922" t="inlineStr">
        <is>
          <t>shuffled: 0 of 10,000</t>
        </is>
      </c>
      <c r="T922" t="n">
        <v>0.1256306314192915</v>
      </c>
      <c r="U922" t="n">
        <v>0.1110608235544907</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0.1740001585913756</v>
      </c>
      <c r="AI922">
        <f>IF($Y922="worse","Yes",IF($Y922="worse, not significant","Not sure",IF(OR($Y922="too few losses to test",$Y922="too few loans to test"),"Too few losses",IF($Y922="","","No"))))</f>
        <v/>
      </c>
      <c r="AJ922">
        <f>IF($AA922="yes","Yes",IF($AA922="","","No"))</f>
        <v/>
      </c>
      <c r="AK922" t="n">
        <v>0.002448632430538731</v>
      </c>
      <c r="AL922" t="n">
        <v>0.002999700029997001</v>
      </c>
      <c r="AM922">
        <f>IF(AND(ISNUMBER($AC922),ISNUMBER(IF($V922,IF($AL922="","",$AL922),IF($AK922="","",$AK922)))),IF(AND(ABS($AC922-significance_bar)&lt;=2.0*IF($V922,IF($AL922="","",$AL922),IF($AK922="","",$AK922)),OR($Y922="worse",$Y922="better",$Y922="worse, not significant",$Y922="better, not significant",AND(profit_kind="test",$Y922="in line",ISNUMBER($AB922),$AB922&lt;&gt;0))),IF(ROUND($AC922,3)=ROUND(significance_bar,3),TEXT($AC922,"0.0000"),TEXT($AC922,"0.000")),""),"")</f>
        <v/>
      </c>
      <c r="AN922">
        <f>IF(AND(ISNUMBER($AC922),ISNUMBER(IF($V922,IF($AL922="","",$AL922),IF($AK922="","",$AK922)))),IF(AND(ABS($AC922-significance_bar)&lt;=2.0*IF($V922,IF($AL922="","",$AL922),IF($AK922="","",$AK922)),OR($Y922="worse",$Y922="worse, not significant",AND(profit_kind="test",$Y922="in line",ISNUMBER($AB922),$AB922&lt;0))),IF(ROUND($AC922,3)=ROUND(significance_bar,3),TEXT($AC922,"0.0000"),TEXT($AC922,"0.000")),""),"")</f>
        <v/>
      </c>
      <c r="AO922">
        <f>IF(OR($AI922="",$AN922=""),$AI922,$AI922&amp;" · borderline (p "&amp;$AN922&amp;")")</f>
        <v/>
      </c>
    </row>
    <row r="923">
      <c r="A923" t="inlineStr">
        <is>
          <t>three-way</t>
        </is>
      </c>
      <c r="B923" t="inlineStr">
        <is>
          <t>ORIG_BAL x CHANNEL / SYS_FLAG</t>
        </is>
      </c>
      <c r="C923" t="inlineStr">
        <is>
          <t>37,951 - 49,151</t>
        </is>
      </c>
      <c r="D923" t="inlineStr">
        <is>
          <t>Online / SYS_FLAG N</t>
        </is>
      </c>
      <c r="E923" t="inlineStr">
        <is>
          <t>contribution_rate</t>
        </is>
      </c>
      <c r="F923" t="inlineStr">
        <is>
          <t>Contribution before losses per booked dollar</t>
        </is>
      </c>
      <c r="G923" t="n">
        <v>289</v>
      </c>
      <c r="H923" t="n">
        <v>12588326.39999999</v>
      </c>
      <c r="I923" t="b">
        <v>0</v>
      </c>
      <c r="J923" t="b">
        <v>0</v>
      </c>
      <c r="K923" t="n">
        <v>0.02609178776606424</v>
      </c>
      <c r="L923" t="n">
        <v>0.007999200079992002</v>
      </c>
      <c r="M923" t="n">
        <v>0.03079604779701575</v>
      </c>
      <c r="N923" t="n">
        <v>0.002999700029997001</v>
      </c>
      <c r="O923" t="n">
        <v>-328451.9407587433</v>
      </c>
      <c r="P923" t="n">
        <v>-387670.7014988349</v>
      </c>
      <c r="Q923">
        <f>'_live'!$C$24</f>
        <v/>
      </c>
      <c r="R923" t="inlineStr">
        <is>
          <t>shuffled: 5 of 10,000</t>
        </is>
      </c>
      <c r="S923" t="inlineStr">
        <is>
          <t>shuffled: 0 of 10,000</t>
        </is>
      </c>
      <c r="T923" t="n">
        <v>0.1683195281019453</v>
      </c>
      <c r="U923" t="n">
        <v>0.1636152680709938</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0.1944113158680096</v>
      </c>
      <c r="AI923">
        <f>IF($Y923="worse","Yes",IF($Y923="worse, not significant","Not sure",IF(OR($Y923="too few losses to test",$Y923="too few loans to test"),"Too few losses",IF($Y923="","","No"))))</f>
        <v/>
      </c>
      <c r="AJ923">
        <f>IF($AA923="yes","Yes",IF($AA923="","","No"))</f>
        <v/>
      </c>
      <c r="AK923" t="n">
        <v>0.002827154286522054</v>
      </c>
      <c r="AL923" t="n">
        <v>0.002999700029997001</v>
      </c>
      <c r="AM923">
        <f>IF(AND(ISNUMBER($AC923),ISNUMBER(IF($V923,IF($AL923="","",$AL923),IF($AK923="","",$AK923)))),IF(AND(ABS($AC923-significance_bar)&lt;=2.0*IF($V923,IF($AL923="","",$AL923),IF($AK923="","",$AK923)),OR($Y923="worse",$Y923="better",$Y923="worse, not significant",$Y923="better, not significant",AND(profit_kind="test",$Y923="in line",ISNUMBER($AB923),$AB923&lt;&gt;0))),IF(ROUND($AC923,3)=ROUND(significance_bar,3),TEXT($AC923,"0.0000"),TEXT($AC923,"0.000")),""),"")</f>
        <v/>
      </c>
      <c r="AN923">
        <f>IF(AND(ISNUMBER($AC923),ISNUMBER(IF($V923,IF($AL923="","",$AL923),IF($AK923="","",$AK923)))),IF(AND(ABS($AC923-significance_bar)&lt;=2.0*IF($V923,IF($AL923="","",$AL923),IF($AK923="","",$AK923)),OR($Y923="worse",$Y923="worse, not significant",AND(profit_kind="test",$Y923="in line",ISNUMBER($AB923),$AB923&lt;0))),IF(ROUND($AC923,3)=ROUND(significance_bar,3),TEXT($AC923,"0.0000"),TEXT($AC923,"0.000")),""),"")</f>
        <v/>
      </c>
      <c r="AO923">
        <f>IF(OR($AI923="",$AN923=""),$AI923,$AI923&amp;" · borderline (p "&amp;$AN923&amp;")")</f>
        <v/>
      </c>
    </row>
    <row r="924">
      <c r="A924" t="inlineStr">
        <is>
          <t>three-way</t>
        </is>
      </c>
      <c r="B924" t="inlineStr">
        <is>
          <t>ORIG_BAL x CHANNEL / SYS_FLAG</t>
        </is>
      </c>
      <c r="C924" t="inlineStr">
        <is>
          <t>49,152 - 59,984</t>
        </is>
      </c>
      <c r="D924" t="inlineStr">
        <is>
          <t>Branch / SYS_FLAG Y</t>
        </is>
      </c>
      <c r="E924" t="inlineStr">
        <is>
          <t>outcome_loans</t>
        </is>
      </c>
      <c r="F924" t="inlineStr">
        <is>
          <t>Outcome, share of loans</t>
        </is>
      </c>
      <c r="G924" t="n">
        <v>226</v>
      </c>
      <c r="H924" t="n">
        <v>226</v>
      </c>
      <c r="I924" t="b">
        <v>0</v>
      </c>
      <c r="J924" t="b">
        <v>0</v>
      </c>
      <c r="K924" t="n">
        <v>1.030097330408022</v>
      </c>
      <c r="L924" t="n">
        <v>0.8973066416828898</v>
      </c>
      <c r="M924" t="n">
        <v>1.287454450806871</v>
      </c>
      <c r="N924" t="n">
        <v>0.4609168668610952</v>
      </c>
      <c r="O924" t="n">
        <v>0.5259230670268877</v>
      </c>
      <c r="P924" t="n">
        <v>4.018922852983987</v>
      </c>
      <c r="Q924">
        <f>'_live'!$C$20</f>
        <v/>
      </c>
      <c r="R924" t="inlineStr">
        <is>
          <t>z test</t>
        </is>
      </c>
      <c r="S924" t="inlineStr">
        <is>
          <t>z test</t>
        </is>
      </c>
      <c r="T924" t="n">
        <v>0.07731892448218192</v>
      </c>
      <c r="U924" t="n">
        <v>0.06186317321688501</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0.07964601769911504</v>
      </c>
      <c r="AI924">
        <f>IF($Y924="worse","Yes",IF($Y924="worse, not significant","Not sure",IF(OR($Y924="too few losses to test",$Y924="too few loans to test"),"Too few losses",IF($Y924="","","No"))))</f>
        <v/>
      </c>
      <c r="AJ924">
        <f>IF($AA924="yes","Yes",IF($AA924="","","No"))</f>
        <v/>
      </c>
      <c r="AM924">
        <f>IF(AND(ISNUMBER($AC924),ISNUMBER(IF($V924,IF($AL924="","",$AL924),IF($AK924="","",$AK924)))),IF(AND(ABS($AC924-significance_bar)&lt;=2.0*IF($V924,IF($AL924="","",$AL924),IF($AK924="","",$AK924)),OR($Y924="worse",$Y924="better",$Y924="worse, not significant",$Y924="better, not significant")),IF(ROUND($AC924,3)=ROUND(significance_bar,3),TEXT($AC924,"0.0000"),TEXT($AC924,"0.000")),""),"")</f>
        <v/>
      </c>
      <c r="AN924">
        <f>IF(AND(ISNUMBER($AC924),ISNUMBER(IF($V924,IF($AL924="","",$AL924),IF($AK924="","",$AK924)))),IF(AND(ABS($AC924-significance_bar)&lt;=2.0*IF($V924,IF($AL924="","",$AL924),IF($AK924="","",$AK924)),OR($Y924="worse",$Y924="worse, not significant")),IF(ROUND($AC924,3)=ROUND(significance_bar,3),TEXT($AC924,"0.0000"),TEXT($AC924,"0.000")),""),"")</f>
        <v/>
      </c>
      <c r="AO924">
        <f>IF(OR($AI924="",$AN924=""),$AI924,$AI924&amp;" · borderline (p "&amp;$AN924&amp;")")</f>
        <v/>
      </c>
    </row>
    <row r="925">
      <c r="A925" t="inlineStr">
        <is>
          <t>three-way</t>
        </is>
      </c>
      <c r="B925" t="inlineStr">
        <is>
          <t>ORIG_BAL x CHANNEL / SYS_FLAG</t>
        </is>
      </c>
      <c r="C925" t="inlineStr">
        <is>
          <t>49,152 - 59,984</t>
        </is>
      </c>
      <c r="D925" t="inlineStr">
        <is>
          <t>Branch / SYS_FLAG Y</t>
        </is>
      </c>
      <c r="E925" t="inlineStr">
        <is>
          <t>outcome_booked</t>
        </is>
      </c>
      <c r="F925" t="inlineStr">
        <is>
          <t>Outcome, share of booked dollars</t>
        </is>
      </c>
      <c r="G925" t="n">
        <v>226</v>
      </c>
      <c r="H925" t="n">
        <v>12309271.32</v>
      </c>
      <c r="I925" t="b">
        <v>0</v>
      </c>
      <c r="J925" t="b">
        <v>0</v>
      </c>
      <c r="K925" t="n">
        <v>1.080928400241068</v>
      </c>
      <c r="L925" t="n">
        <v>0.8386716883867168</v>
      </c>
      <c r="M925" t="n">
        <v>1.296674616775764</v>
      </c>
      <c r="N925" t="n">
        <v>0.4684864846848649</v>
      </c>
      <c r="O925" t="n">
        <v>74255.57185984461</v>
      </c>
      <c r="P925" t="n">
        <v>226920.8490406007</v>
      </c>
      <c r="Q925">
        <f>'_live'!$C$21</f>
        <v/>
      </c>
      <c r="R925" t="inlineStr">
        <is>
          <t>shuffled: 7,640 of 10,000</t>
        </is>
      </c>
      <c r="S925" t="inlineStr">
        <is>
          <t>shuffled: 3,011 of 10,000</t>
        </is>
      </c>
      <c r="T925" t="n">
        <v>0.0745410913682058</v>
      </c>
      <c r="U925" t="n">
        <v>0.06213862876810803</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0.08057358264485796</v>
      </c>
      <c r="AI925">
        <f>IF($Y925="worse","Yes",IF($Y925="worse, not significant","Not sure",IF(OR($Y925="too few losses to test",$Y925="too few loans to test"),"Too few losses",IF($Y925="","","No"))))</f>
        <v/>
      </c>
      <c r="AJ925">
        <f>IF($AA925="yes","Yes",IF($AA925="","","No"))</f>
        <v/>
      </c>
      <c r="AK925" t="n">
        <v>0.004078766993467312</v>
      </c>
      <c r="AL925" t="n">
        <v>0.007136365795149882</v>
      </c>
      <c r="AM925">
        <f>IF(AND(ISNUMBER($AC925),ISNUMBER(IF($V925,IF($AL925="","",$AL925),IF($AK925="","",$AK925)))),IF(AND(ABS($AC925-significance_bar)&lt;=2.0*IF($V925,IF($AL925="","",$AL925),IF($AK925="","",$AK925)),OR($Y925="worse",$Y925="better",$Y925="worse, not significant",$Y925="better, not significant")),IF(ROUND($AC925,3)=ROUND(significance_bar,3),TEXT($AC925,"0.0000"),TEXT($AC925,"0.000")),""),"")</f>
        <v/>
      </c>
      <c r="AN925">
        <f>IF(AND(ISNUMBER($AC925),ISNUMBER(IF($V925,IF($AL925="","",$AL925),IF($AK925="","",$AK925)))),IF(AND(ABS($AC925-significance_bar)&lt;=2.0*IF($V925,IF($AL925="","",$AL925),IF($AK925="","",$AK925)),OR($Y925="worse",$Y925="worse, not significant")),IF(ROUND($AC925,3)=ROUND(significance_bar,3),TEXT($AC925,"0.0000"),TEXT($AC925,"0.000")),""),"")</f>
        <v/>
      </c>
      <c r="AO925">
        <f>IF(OR($AI925="",$AN925=""),$AI925,$AI925&amp;" · borderline (p "&amp;$AN925&amp;")")</f>
        <v/>
      </c>
    </row>
    <row r="926">
      <c r="A926" t="inlineStr">
        <is>
          <t>three-way</t>
        </is>
      </c>
      <c r="B926" t="inlineStr">
        <is>
          <t>ORIG_BAL x CHANNEL / SYS_FLAG</t>
        </is>
      </c>
      <c r="C926" t="inlineStr">
        <is>
          <t>49,152 - 59,984</t>
        </is>
      </c>
      <c r="D926" t="inlineStr">
        <is>
          <t>Branch / SYS_FLAG Y</t>
        </is>
      </c>
      <c r="E926" t="inlineStr">
        <is>
          <t>gco_rate</t>
        </is>
      </c>
      <c r="F926" t="inlineStr">
        <is>
          <t>GCO per booked dollar</t>
        </is>
      </c>
      <c r="G926" t="n">
        <v>226</v>
      </c>
      <c r="H926" t="n">
        <v>12309271.32</v>
      </c>
      <c r="I926" t="b">
        <v>0</v>
      </c>
      <c r="J926" t="b">
        <v>0</v>
      </c>
      <c r="K926" t="n">
        <v>0.9748698860497808</v>
      </c>
      <c r="L926" t="n">
        <v>0.9822017798220178</v>
      </c>
      <c r="M926" t="n">
        <v>1.16946932008331</v>
      </c>
      <c r="N926" t="n">
        <v>0.7616571676165717</v>
      </c>
      <c r="O926" t="n">
        <v>-12885.34518236009</v>
      </c>
      <c r="P926" t="n">
        <v>72435.34093772597</v>
      </c>
      <c r="Q926">
        <f>'_live'!$C$22</f>
        <v/>
      </c>
      <c r="R926" t="inlineStr">
        <is>
          <t>shuffled: 9,271 of 10,000</t>
        </is>
      </c>
      <c r="S926" t="inlineStr">
        <is>
          <t>shuffled: 5,712 of 10,000</t>
        </is>
      </c>
      <c r="T926" t="n">
        <v>0.0416552029647162</v>
      </c>
      <c r="U926" t="n">
        <v>0.03472378648180403</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0.04060840296759337</v>
      </c>
      <c r="AI926">
        <f>IF($Y926="worse","Yes",IF($Y926="worse, not significant","Not sure",IF(OR($Y926="too few losses to test",$Y926="too few loans to test"),"Too few losses",IF($Y926="","","No"))))</f>
        <v/>
      </c>
      <c r="AJ926">
        <f>IF($AA926="yes","Yes",IF($AA926="","","No"))</f>
        <v/>
      </c>
      <c r="AK926" t="n">
        <v>0.001322174101110676</v>
      </c>
      <c r="AL926" t="n">
        <v>0.006598645688122151</v>
      </c>
      <c r="AM926">
        <f>IF(AND(ISNUMBER($AC926),ISNUMBER(IF($V926,IF($AL926="","",$AL926),IF($AK926="","",$AK926)))),IF(AND(ABS($AC926-significance_bar)&lt;=2.0*IF($V926,IF($AL926="","",$AL926),IF($AK926="","",$AK926)),OR($Y926="worse",$Y926="better",$Y926="worse, not significant",$Y926="better, not significant")),IF(ROUND($AC926,3)=ROUND(significance_bar,3),TEXT($AC926,"0.0000"),TEXT($AC926,"0.000")),""),"")</f>
        <v/>
      </c>
      <c r="AN926">
        <f>IF(AND(ISNUMBER($AC926),ISNUMBER(IF($V926,IF($AL926="","",$AL926),IF($AK926="","",$AK926)))),IF(AND(ABS($AC926-significance_bar)&lt;=2.0*IF($V926,IF($AL926="","",$AL926),IF($AK926="","",$AK926)),OR($Y926="worse",$Y926="worse, not significant")),IF(ROUND($AC926,3)=ROUND(significance_bar,3),TEXT($AC926,"0.0000"),TEXT($AC926,"0.000")),""),"")</f>
        <v/>
      </c>
      <c r="AO926">
        <f>IF(OR($AI926="",$AN926=""),$AI926,$AI926&amp;" · borderline (p "&amp;$AN926&amp;")")</f>
        <v/>
      </c>
    </row>
    <row r="927">
      <c r="A927" t="inlineStr">
        <is>
          <t>three-way</t>
        </is>
      </c>
      <c r="B927" t="inlineStr">
        <is>
          <t>ORIG_BAL x CHANNEL / SYS_FLAG</t>
        </is>
      </c>
      <c r="C927" t="inlineStr">
        <is>
          <t>49,152 - 59,984</t>
        </is>
      </c>
      <c r="D927" t="inlineStr">
        <is>
          <t>Branch / SYS_FLAG Y</t>
        </is>
      </c>
      <c r="E927" t="inlineStr">
        <is>
          <t>ranr_rate</t>
        </is>
      </c>
      <c r="F927" t="inlineStr">
        <is>
          <t>Profit after losses: RANR per booked dollar</t>
        </is>
      </c>
      <c r="G927" t="n">
        <v>226</v>
      </c>
      <c r="H927" t="n">
        <v>12309271.32</v>
      </c>
      <c r="I927" t="b">
        <v>0</v>
      </c>
      <c r="J927" t="b">
        <v>0</v>
      </c>
      <c r="K927" t="n">
        <v>-0.006227398014643476</v>
      </c>
      <c r="L927" t="n">
        <v>0.7475021728596372</v>
      </c>
      <c r="M927" t="n">
        <v>-0.009735753696358762</v>
      </c>
      <c r="N927" t="n">
        <v>0.5182281771822818</v>
      </c>
      <c r="O927" t="n">
        <v>76654.73177987593</v>
      </c>
      <c r="P927" t="n">
        <v>119840.033753173</v>
      </c>
      <c r="Q927">
        <f>'_live'!$C$23</f>
        <v/>
      </c>
      <c r="R927" t="inlineStr">
        <is>
          <t>shuffled: 6,478 of 10,000</t>
        </is>
      </c>
      <c r="S927" t="inlineStr">
        <is>
          <t>shuffled: 4,244 of 10,000</t>
        </is>
      </c>
      <c r="T927" t="n">
        <v>0.1282870822104745</v>
      </c>
      <c r="U927" t="n">
        <v>0.1317954378921898</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0.122059684195831</v>
      </c>
      <c r="AI927">
        <f>IF($Y927="worse","Yes",IF($Y927="worse, not significant","Not sure",IF(OR($Y927="too few losses to test",$Y927="too few loans to test"),"Too few losses",IF($Y927="","","No"))))</f>
        <v/>
      </c>
      <c r="AJ927">
        <f>IF($AA927="yes","Yes",IF($AA927="","","No"))</f>
        <v/>
      </c>
      <c r="AK927" t="n">
        <v>0.005511288494679411</v>
      </c>
      <c r="AL927" t="n">
        <v>0.005944016899312011</v>
      </c>
      <c r="AM927">
        <f>IF(AND(ISNUMBER($AC927),ISNUMBER(IF($V927,IF($AL927="","",$AL927),IF($AK927="","",$AK927)))),IF(AND(ABS($AC927-significance_bar)&lt;=2.0*IF($V927,IF($AL927="","",$AL927),IF($AK927="","",$AK927)),OR($Y927="worse",$Y927="better",$Y927="worse, not significant",$Y927="better, not significant",AND(profit_kind="test",$Y927="in line",ISNUMBER($AB927),$AB927&lt;&gt;0))),IF(ROUND($AC927,3)=ROUND(significance_bar,3),TEXT($AC927,"0.0000"),TEXT($AC927,"0.000")),""),"")</f>
        <v/>
      </c>
      <c r="AN927">
        <f>IF(AND(ISNUMBER($AC927),ISNUMBER(IF($V927,IF($AL927="","",$AL927),IF($AK927="","",$AK927)))),IF(AND(ABS($AC927-significance_bar)&lt;=2.0*IF($V927,IF($AL927="","",$AL927),IF($AK927="","",$AK927)),OR($Y927="worse",$Y927="worse, not significant",AND(profit_kind="test",$Y927="in line",ISNUMBER($AB927),$AB927&lt;0))),IF(ROUND($AC927,3)=ROUND(significance_bar,3),TEXT($AC927,"0.0000"),TEXT($AC927,"0.000")),""),"")</f>
        <v/>
      </c>
      <c r="AO927">
        <f>IF(OR($AI927="",$AN927=""),$AI927,$AI927&amp;" · borderline (p "&amp;$AN927&amp;")")</f>
        <v/>
      </c>
    </row>
    <row r="928">
      <c r="A928" t="inlineStr">
        <is>
          <t>three-way</t>
        </is>
      </c>
      <c r="B928" t="inlineStr">
        <is>
          <t>ORIG_BAL x CHANNEL / SYS_FLAG</t>
        </is>
      </c>
      <c r="C928" t="inlineStr">
        <is>
          <t>49,152 - 59,984</t>
        </is>
      </c>
      <c r="D928" t="inlineStr">
        <is>
          <t>Branch / SYS_FLAG Y</t>
        </is>
      </c>
      <c r="E928" t="inlineStr">
        <is>
          <t>contribution_rate</t>
        </is>
      </c>
      <c r="F928" t="inlineStr">
        <is>
          <t>Contribution before losses per booked dollar</t>
        </is>
      </c>
      <c r="G928" t="n">
        <v>226</v>
      </c>
      <c r="H928" t="n">
        <v>12309271.32</v>
      </c>
      <c r="I928" t="b">
        <v>0</v>
      </c>
      <c r="J928" t="b">
        <v>0</v>
      </c>
      <c r="K928" t="n">
        <v>-0.007271243503496283</v>
      </c>
      <c r="L928" t="n">
        <v>0.5619872795329163</v>
      </c>
      <c r="M928" t="n">
        <v>-0.003851137210569511</v>
      </c>
      <c r="N928" t="n">
        <v>0.6950733498078764</v>
      </c>
      <c r="O928" t="n">
        <v>89503.70911832293</v>
      </c>
      <c r="P928" t="n">
        <v>47404.69281544792</v>
      </c>
      <c r="Q928">
        <f>'_live'!$C$24</f>
        <v/>
      </c>
      <c r="R928" t="inlineStr">
        <is>
          <t>shuffled: 4,244 of 10,000</t>
        </is>
      </c>
      <c r="S928" t="inlineStr">
        <is>
          <t>shuffled: 6,487 of 10,000</t>
        </is>
      </c>
      <c r="T928" t="n">
        <v>0.1699393306669206</v>
      </c>
      <c r="U928" t="n">
        <v>0.1665192243739938</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0.1626680871634243</v>
      </c>
      <c r="AI928">
        <f>IF($Y928="worse","Yes",IF($Y928="worse, not significant","Not sure",IF(OR($Y928="too few losses to test",$Y928="too few loans to test"),"Too few losses",IF($Y928="","","No"))))</f>
        <v/>
      </c>
      <c r="AJ928">
        <f>IF($AA928="yes","Yes",IF($AA928="","","No"))</f>
        <v/>
      </c>
      <c r="AK928" t="n">
        <v>0.006459080305976028</v>
      </c>
      <c r="AL928" t="n">
        <v>0.005114630823525606</v>
      </c>
      <c r="AM928">
        <f>IF(AND(ISNUMBER($AC928),ISNUMBER(IF($V928,IF($AL928="","",$AL928),IF($AK928="","",$AK928)))),IF(AND(ABS($AC928-significance_bar)&lt;=2.0*IF($V928,IF($AL928="","",$AL928),IF($AK928="","",$AK928)),OR($Y928="worse",$Y928="better",$Y928="worse, not significant",$Y928="better, not significant",AND(profit_kind="test",$Y928="in line",ISNUMBER($AB928),$AB928&lt;&gt;0))),IF(ROUND($AC928,3)=ROUND(significance_bar,3),TEXT($AC928,"0.0000"),TEXT($AC928,"0.000")),""),"")</f>
        <v/>
      </c>
      <c r="AN928">
        <f>IF(AND(ISNUMBER($AC928),ISNUMBER(IF($V928,IF($AL928="","",$AL928),IF($AK928="","",$AK928)))),IF(AND(ABS($AC928-significance_bar)&lt;=2.0*IF($V928,IF($AL928="","",$AL928),IF($AK928="","",$AK928)),OR($Y928="worse",$Y928="worse, not significant",AND(profit_kind="test",$Y928="in line",ISNUMBER($AB928),$AB928&lt;0))),IF(ROUND($AC928,3)=ROUND(significance_bar,3),TEXT($AC928,"0.0000"),TEXT($AC928,"0.000")),""),"")</f>
        <v/>
      </c>
      <c r="AO928">
        <f>IF(OR($AI928="",$AN928=""),$AI928,$AI928&amp;" · borderline (p "&amp;$AN928&amp;")")</f>
        <v/>
      </c>
    </row>
    <row r="929">
      <c r="A929" t="inlineStr">
        <is>
          <t>three-way</t>
        </is>
      </c>
      <c r="B929" t="inlineStr">
        <is>
          <t>ORIG_BAL x CHANNEL / SYS_FLAG</t>
        </is>
      </c>
      <c r="C929" t="inlineStr">
        <is>
          <t>5,005 - 15,448</t>
        </is>
      </c>
      <c r="D929" t="inlineStr">
        <is>
          <t>Online / SYS_FLAG Y</t>
        </is>
      </c>
      <c r="E929" t="inlineStr">
        <is>
          <t>outcome_loans</t>
        </is>
      </c>
      <c r="F929" t="inlineStr">
        <is>
          <t>Outcome, share of loans</t>
        </is>
      </c>
      <c r="G929" t="n">
        <v>242</v>
      </c>
      <c r="H929" t="n">
        <v>242</v>
      </c>
      <c r="I929" t="b">
        <v>0</v>
      </c>
      <c r="J929" t="b">
        <v>0</v>
      </c>
      <c r="K929" t="n">
        <v>1.518619513081904</v>
      </c>
      <c r="L929" t="n">
        <v>0.1096164623838159</v>
      </c>
      <c r="M929" t="n">
        <v>1.653936494127882</v>
      </c>
      <c r="N929" t="n">
        <v>0.05540040846578676</v>
      </c>
      <c r="O929" t="n">
        <v>9.562201882170942</v>
      </c>
      <c r="P929" t="n">
        <v>11.07069219440353</v>
      </c>
      <c r="Q929">
        <f>'_live'!$C$20</f>
        <v/>
      </c>
      <c r="R929" t="inlineStr">
        <is>
          <t>z test</t>
        </is>
      </c>
      <c r="S929" t="inlineStr">
        <is>
          <t>z test</t>
        </is>
      </c>
      <c r="T929" t="n">
        <v>0.07618924842078123</v>
      </c>
      <c r="U929" t="n">
        <v>0.06995581737849779</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0.115702479338843</v>
      </c>
      <c r="AI929">
        <f>IF($Y929="worse","Yes",IF($Y929="worse, not significant","Not sure",IF(OR($Y929="too few losses to test",$Y929="too few loans to test"),"Too few losses",IF($Y929="","","No"))))</f>
        <v/>
      </c>
      <c r="AJ929">
        <f>IF($AA929="yes","Yes",IF($AA929="","","No"))</f>
        <v/>
      </c>
      <c r="AM929">
        <f>IF(AND(ISNUMBER($AC929),ISNUMBER(IF($V929,IF($AL929="","",$AL929),IF($AK929="","",$AK929)))),IF(AND(ABS($AC929-significance_bar)&lt;=2.0*IF($V929,IF($AL929="","",$AL929),IF($AK929="","",$AK929)),OR($Y929="worse",$Y929="better",$Y929="worse, not significant",$Y929="better, not significant")),IF(ROUND($AC929,3)=ROUND(significance_bar,3),TEXT($AC929,"0.0000"),TEXT($AC929,"0.000")),""),"")</f>
        <v/>
      </c>
      <c r="AN929">
        <f>IF(AND(ISNUMBER($AC929),ISNUMBER(IF($V929,IF($AL929="","",$AL929),IF($AK929="","",$AK929)))),IF(AND(ABS($AC929-significance_bar)&lt;=2.0*IF($V929,IF($AL929="","",$AL929),IF($AK929="","",$AK929)),OR($Y929="worse",$Y929="worse, not significant")),IF(ROUND($AC929,3)=ROUND(significance_bar,3),TEXT($AC929,"0.0000"),TEXT($AC929,"0.000")),""),"")</f>
        <v/>
      </c>
      <c r="AO929">
        <f>IF(OR($AI929="",$AN929=""),$AI929,$AI929&amp;" · borderline (p "&amp;$AN929&amp;")")</f>
        <v/>
      </c>
    </row>
    <row r="930">
      <c r="A930" t="inlineStr">
        <is>
          <t>three-way</t>
        </is>
      </c>
      <c r="B930" t="inlineStr">
        <is>
          <t>ORIG_BAL x CHANNEL / SYS_FLAG</t>
        </is>
      </c>
      <c r="C930" t="inlineStr">
        <is>
          <t>5,005 - 15,448</t>
        </is>
      </c>
      <c r="D930" t="inlineStr">
        <is>
          <t>Online / SYS_FLAG Y</t>
        </is>
      </c>
      <c r="E930" t="inlineStr">
        <is>
          <t>outcome_booked</t>
        </is>
      </c>
      <c r="F930" t="inlineStr">
        <is>
          <t>Outcome, share of booked dollars</t>
        </is>
      </c>
      <c r="G930" t="n">
        <v>242</v>
      </c>
      <c r="H930" t="n">
        <v>2488817.56</v>
      </c>
      <c r="I930" t="b">
        <v>0</v>
      </c>
      <c r="J930" t="b">
        <v>0</v>
      </c>
      <c r="K930" t="n">
        <v>1.568446815039613</v>
      </c>
      <c r="L930" t="n">
        <v>0.1293470652934706</v>
      </c>
      <c r="M930" t="n">
        <v>1.713447224331679</v>
      </c>
      <c r="N930" t="n">
        <v>0.0517948205179482</v>
      </c>
      <c r="O930" t="n">
        <v>105287.6396806286</v>
      </c>
      <c r="P930" t="n">
        <v>120961.8636508496</v>
      </c>
      <c r="Q930">
        <f>'_live'!$C$21</f>
        <v/>
      </c>
      <c r="R930" t="inlineStr">
        <is>
          <t>shuffled: 230 of 10,000</t>
        </is>
      </c>
      <c r="S930" t="inlineStr">
        <is>
          <t>shuffled: 110 of 10,000</t>
        </is>
      </c>
      <c r="T930" t="n">
        <v>0.07442082669947546</v>
      </c>
      <c r="U930" t="n">
        <v>0.06812296693581286</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0.1167251086094073</v>
      </c>
      <c r="AI930">
        <f>IF($Y930="worse","Yes",IF($Y930="worse, not significant","Not sure",IF(OR($Y930="too few losses to test",$Y930="too few loans to test"),"Too few losses",IF($Y930="","","No"))))</f>
        <v/>
      </c>
      <c r="AJ930">
        <f>IF($AA930="yes","Yes",IF($AA930="","","No"))</f>
        <v/>
      </c>
      <c r="AK930" t="n">
        <v>0.008411973028626531</v>
      </c>
      <c r="AL930" t="n">
        <v>0.004889033227383561</v>
      </c>
      <c r="AM930">
        <f>IF(AND(ISNUMBER($AC930),ISNUMBER(IF($V930,IF($AL930="","",$AL930),IF($AK930="","",$AK930)))),IF(AND(ABS($AC930-significance_bar)&lt;=2.0*IF($V930,IF($AL930="","",$AL930),IF($AK930="","",$AK930)),OR($Y930="worse",$Y930="better",$Y930="worse, not significant",$Y930="better, not significant")),IF(ROUND($AC930,3)=ROUND(significance_bar,3),TEXT($AC930,"0.0000"),TEXT($AC930,"0.000")),""),"")</f>
        <v/>
      </c>
      <c r="AN930">
        <f>IF(AND(ISNUMBER($AC930),ISNUMBER(IF($V930,IF($AL930="","",$AL930),IF($AK930="","",$AK930)))),IF(AND(ABS($AC930-significance_bar)&lt;=2.0*IF($V930,IF($AL930="","",$AL930),IF($AK930="","",$AK930)),OR($Y930="worse",$Y930="worse, not significant")),IF(ROUND($AC930,3)=ROUND(significance_bar,3),TEXT($AC930,"0.0000"),TEXT($AC930,"0.000")),""),"")</f>
        <v/>
      </c>
      <c r="AO930">
        <f>IF(OR($AI930="",$AN930=""),$AI930,$AI930&amp;" · borderline (p "&amp;$AN930&amp;")")</f>
        <v/>
      </c>
    </row>
    <row r="931">
      <c r="A931" t="inlineStr">
        <is>
          <t>three-way</t>
        </is>
      </c>
      <c r="B931" t="inlineStr">
        <is>
          <t>ORIG_BAL x CHANNEL / SYS_FLAG</t>
        </is>
      </c>
      <c r="C931" t="inlineStr">
        <is>
          <t>5,005 - 15,448</t>
        </is>
      </c>
      <c r="D931" t="inlineStr">
        <is>
          <t>Online / SYS_FLAG Y</t>
        </is>
      </c>
      <c r="E931" t="inlineStr">
        <is>
          <t>gco_rate</t>
        </is>
      </c>
      <c r="F931" t="inlineStr">
        <is>
          <t>GCO per booked dollar</t>
        </is>
      </c>
      <c r="G931" t="n">
        <v>242</v>
      </c>
      <c r="H931" t="n">
        <v>2488817.56</v>
      </c>
      <c r="I931" t="b">
        <v>0</v>
      </c>
      <c r="J931" t="b">
        <v>0</v>
      </c>
      <c r="K931" t="n">
        <v>1.54502448264849</v>
      </c>
      <c r="L931" t="n">
        <v>0.1937406259374063</v>
      </c>
      <c r="M931" t="n">
        <v>1.713675330573663</v>
      </c>
      <c r="N931" t="n">
        <v>0.0751258207512582</v>
      </c>
      <c r="O931" t="n">
        <v>56141.01344313526</v>
      </c>
      <c r="P931" t="n">
        <v>66278.35830514297</v>
      </c>
      <c r="Q931">
        <f>'_live'!$C$22</f>
        <v/>
      </c>
      <c r="R931" t="inlineStr">
        <is>
          <t>shuffled: 345 of 10,000</t>
        </is>
      </c>
      <c r="S931" t="inlineStr">
        <is>
          <t>shuffled: 160 of 10,000</t>
        </is>
      </c>
      <c r="T931" t="n">
        <v>0.04138768876127053</v>
      </c>
      <c r="U931" t="n">
        <v>0.03731453168261037</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0.06394499241639874</v>
      </c>
      <c r="AI931">
        <f>IF($Y931="worse","Yes",IF($Y931="worse, not significant","Not sure",IF(OR($Y931="too few losses to test",$Y931="too few loans to test"),"Too few losses",IF($Y931="","","No"))))</f>
        <v/>
      </c>
      <c r="AJ931">
        <f>IF($AA931="yes","Yes",IF($AA931="","","No"))</f>
        <v/>
      </c>
      <c r="AK931" t="n">
        <v>0.01023431519502334</v>
      </c>
      <c r="AL931" t="n">
        <v>0.005873187163391964</v>
      </c>
      <c r="AM931">
        <f>IF(AND(ISNUMBER($AC931),ISNUMBER(IF($V931,IF($AL931="","",$AL931),IF($AK931="","",$AK931)))),IF(AND(ABS($AC931-significance_bar)&lt;=2.0*IF($V931,IF($AL931="","",$AL931),IF($AK931="","",$AK931)),OR($Y931="worse",$Y931="better",$Y931="worse, not significant",$Y931="better, not significant")),IF(ROUND($AC931,3)=ROUND(significance_bar,3),TEXT($AC931,"0.0000"),TEXT($AC931,"0.000")),""),"")</f>
        <v/>
      </c>
      <c r="AN931">
        <f>IF(AND(ISNUMBER($AC931),ISNUMBER(IF($V931,IF($AL931="","",$AL931),IF($AK931="","",$AK931)))),IF(AND(ABS($AC931-significance_bar)&lt;=2.0*IF($V931,IF($AL931="","",$AL931),IF($AK931="","",$AK931)),OR($Y931="worse",$Y931="worse, not significant")),IF(ROUND($AC931,3)=ROUND(significance_bar,3),TEXT($AC931,"0.0000"),TEXT($AC931,"0.000")),""),"")</f>
        <v/>
      </c>
      <c r="AO931">
        <f>IF(OR($AI931="",$AN931=""),$AI931,$AI931&amp;" · borderline (p "&amp;$AN931&amp;")")</f>
        <v/>
      </c>
    </row>
    <row r="932">
      <c r="A932" t="inlineStr">
        <is>
          <t>three-way</t>
        </is>
      </c>
      <c r="B932" t="inlineStr">
        <is>
          <t>ORIG_BAL x CHANNEL / SYS_FLAG</t>
        </is>
      </c>
      <c r="C932" t="inlineStr">
        <is>
          <t>5,005 - 15,448</t>
        </is>
      </c>
      <c r="D932" t="inlineStr">
        <is>
          <t>Online / SYS_FLAG Y</t>
        </is>
      </c>
      <c r="E932" t="inlineStr">
        <is>
          <t>ranr_rate</t>
        </is>
      </c>
      <c r="F932" t="inlineStr">
        <is>
          <t>Profit after losses: RANR per booked dollar</t>
        </is>
      </c>
      <c r="G932" t="n">
        <v>242</v>
      </c>
      <c r="H932" t="n">
        <v>2488817.56</v>
      </c>
      <c r="I932" t="b">
        <v>0</v>
      </c>
      <c r="J932" t="b">
        <v>0</v>
      </c>
      <c r="K932" t="n">
        <v>0.01004879611896975</v>
      </c>
      <c r="L932" t="n">
        <v>0.6483442564834425</v>
      </c>
      <c r="M932" t="n">
        <v>-0.01032023635333337</v>
      </c>
      <c r="N932" t="n">
        <v>0.5182281771822818</v>
      </c>
      <c r="O932" t="n">
        <v>-25009.62023775181</v>
      </c>
      <c r="P932" t="n">
        <v>25685.18545952643</v>
      </c>
      <c r="Q932">
        <f>'_live'!$C$23</f>
        <v/>
      </c>
      <c r="R932" t="inlineStr">
        <is>
          <t>shuffled: 4,546 of 10,000</t>
        </is>
      </c>
      <c r="S932" t="inlineStr">
        <is>
          <t>shuffled: 4,318 of 10,000</t>
        </is>
      </c>
      <c r="T932" t="n">
        <v>0.12789313884552</v>
      </c>
      <c r="U932" t="n">
        <v>0.1482621713178231</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0.1379419349644898</v>
      </c>
      <c r="AI932">
        <f>IF($Y932="worse","Yes",IF($Y932="worse, not significant","Not sure",IF(OR($Y932="too few losses to test",$Y932="too few loans to test"),"Too few losses",IF($Y932="","","No"))))</f>
        <v/>
      </c>
      <c r="AJ932">
        <f>IF($AA932="yes","Yes",IF($AA932="","","No"))</f>
        <v/>
      </c>
      <c r="AK932" t="n">
        <v>0.006809959833806185</v>
      </c>
      <c r="AL932" t="n">
        <v>0.005944016899312011</v>
      </c>
      <c r="AM932">
        <f>IF(AND(ISNUMBER($AC932),ISNUMBER(IF($V932,IF($AL932="","",$AL932),IF($AK932="","",$AK932)))),IF(AND(ABS($AC932-significance_bar)&lt;=2.0*IF($V932,IF($AL932="","",$AL932),IF($AK932="","",$AK932)),OR($Y932="worse",$Y932="better",$Y932="worse, not significant",$Y932="better, not significant",AND(profit_kind="test",$Y932="in line",ISNUMBER($AB932),$AB932&lt;&gt;0))),IF(ROUND($AC932,3)=ROUND(significance_bar,3),TEXT($AC932,"0.0000"),TEXT($AC932,"0.000")),""),"")</f>
        <v/>
      </c>
      <c r="AN932">
        <f>IF(AND(ISNUMBER($AC932),ISNUMBER(IF($V932,IF($AL932="","",$AL932),IF($AK932="","",$AK932)))),IF(AND(ABS($AC932-significance_bar)&lt;=2.0*IF($V932,IF($AL932="","",$AL932),IF($AK932="","",$AK932)),OR($Y932="worse",$Y932="worse, not significant",AND(profit_kind="test",$Y932="in line",ISNUMBER($AB932),$AB932&lt;0))),IF(ROUND($AC932,3)=ROUND(significance_bar,3),TEXT($AC932,"0.0000"),TEXT($AC932,"0.000")),""),"")</f>
        <v/>
      </c>
      <c r="AO932">
        <f>IF(OR($AI932="",$AN932=""),$AI932,$AI932&amp;" · borderline (p "&amp;$AN932&amp;")")</f>
        <v/>
      </c>
    </row>
    <row r="933">
      <c r="A933" t="inlineStr">
        <is>
          <t>three-way</t>
        </is>
      </c>
      <c r="B933" t="inlineStr">
        <is>
          <t>ORIG_BAL x CHANNEL / SYS_FLAG</t>
        </is>
      </c>
      <c r="C933" t="inlineStr">
        <is>
          <t>5,005 - 15,448</t>
        </is>
      </c>
      <c r="D933" t="inlineStr">
        <is>
          <t>Online / SYS_FLAG Y</t>
        </is>
      </c>
      <c r="E933" t="inlineStr">
        <is>
          <t>contribution_rate</t>
        </is>
      </c>
      <c r="F933" t="inlineStr">
        <is>
          <t>Contribution before losses per booked dollar</t>
        </is>
      </c>
      <c r="G933" t="n">
        <v>242</v>
      </c>
      <c r="H933" t="n">
        <v>2488817.56</v>
      </c>
      <c r="I933" t="b">
        <v>0</v>
      </c>
      <c r="J933" t="b">
        <v>0</v>
      </c>
      <c r="K933" t="n">
        <v>0.03260900191797542</v>
      </c>
      <c r="L933" t="n">
        <v>0.005999400059994001</v>
      </c>
      <c r="M933" t="n">
        <v>0.01631022438045493</v>
      </c>
      <c r="N933" t="n">
        <v>0.1767323267673233</v>
      </c>
      <c r="O933" t="n">
        <v>-81157.85658753093</v>
      </c>
      <c r="P933" t="n">
        <v>-40593.17284561635</v>
      </c>
      <c r="Q933">
        <f>'_live'!$C$24</f>
        <v/>
      </c>
      <c r="R933" t="inlineStr">
        <is>
          <t>shuffled: 1 of 10,000</t>
        </is>
      </c>
      <c r="S933" t="inlineStr">
        <is>
          <t>shuffled: 667 of 10,000</t>
        </is>
      </c>
      <c r="T933" t="n">
        <v>0.1692779254629131</v>
      </c>
      <c r="U933" t="n">
        <v>0.1855767030004336</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0.2018869273808885</v>
      </c>
      <c r="AI933">
        <f>IF($Y933="worse","Yes",IF($Y933="worse, not significant","Not sure",IF(OR($Y933="too few losses to test",$Y933="too few loans to test"),"Too few losses",IF($Y933="","","No"))))</f>
        <v/>
      </c>
      <c r="AJ933">
        <f>IF($AA933="yes","Yes",IF($AA933="","","No"))</f>
        <v/>
      </c>
      <c r="AK933" t="n">
        <v>0.004242004349346429</v>
      </c>
      <c r="AL933" t="n">
        <v>0.006407780439385515</v>
      </c>
      <c r="AM933">
        <f>IF(AND(ISNUMBER($AC933),ISNUMBER(IF($V933,IF($AL933="","",$AL933),IF($AK933="","",$AK933)))),IF(AND(ABS($AC933-significance_bar)&lt;=2.0*IF($V933,IF($AL933="","",$AL933),IF($AK933="","",$AK933)),OR($Y933="worse",$Y933="better",$Y933="worse, not significant",$Y933="better, not significant",AND(profit_kind="test",$Y933="in line",ISNUMBER($AB933),$AB933&lt;&gt;0))),IF(ROUND($AC933,3)=ROUND(significance_bar,3),TEXT($AC933,"0.0000"),TEXT($AC933,"0.000")),""),"")</f>
        <v/>
      </c>
      <c r="AN933">
        <f>IF(AND(ISNUMBER($AC933),ISNUMBER(IF($V933,IF($AL933="","",$AL933),IF($AK933="","",$AK933)))),IF(AND(ABS($AC933-significance_bar)&lt;=2.0*IF($V933,IF($AL933="","",$AL933),IF($AK933="","",$AK933)),OR($Y933="worse",$Y933="worse, not significant",AND(profit_kind="test",$Y933="in line",ISNUMBER($AB933),$AB933&lt;0))),IF(ROUND($AC933,3)=ROUND(significance_bar,3),TEXT($AC933,"0.0000"),TEXT($AC933,"0.000")),""),"")</f>
        <v/>
      </c>
      <c r="AO933">
        <f>IF(OR($AI933="",$AN933=""),$AI933,$AI933&amp;" · borderline (p "&amp;$AN933&amp;")")</f>
        <v/>
      </c>
    </row>
    <row r="934">
      <c r="A934" t="inlineStr">
        <is>
          <t>three-way</t>
        </is>
      </c>
      <c r="B934" t="inlineStr">
        <is>
          <t>ORIG_BAL x CHANNEL / SYS_FLAG</t>
        </is>
      </c>
      <c r="C934" t="inlineStr">
        <is>
          <t>15,449 - 26,323</t>
        </is>
      </c>
      <c r="D934" t="inlineStr">
        <is>
          <t>Online / SYS_FLAG Y</t>
        </is>
      </c>
      <c r="E934" t="inlineStr">
        <is>
          <t>outcome_loans</t>
        </is>
      </c>
      <c r="F934" t="inlineStr">
        <is>
          <t>Outcome, share of loans</t>
        </is>
      </c>
      <c r="G934" t="n">
        <v>238</v>
      </c>
      <c r="H934" t="n">
        <v>238</v>
      </c>
      <c r="I934" t="b">
        <v>0</v>
      </c>
      <c r="J934" t="b">
        <v>0</v>
      </c>
      <c r="K934" t="n">
        <v>1.145140664961637</v>
      </c>
      <c r="L934" t="n">
        <v>0.7202191315944685</v>
      </c>
      <c r="M934" t="n">
        <v>0.9388786764705883</v>
      </c>
      <c r="N934" t="n">
        <v>0.8987489474994704</v>
      </c>
      <c r="O934" t="n">
        <v>2.661641541038527</v>
      </c>
      <c r="P934" t="n">
        <v>-1.367107195301028</v>
      </c>
      <c r="Q934">
        <f>'_live'!$C$20</f>
        <v/>
      </c>
      <c r="R934" t="inlineStr">
        <is>
          <t>z test</t>
        </is>
      </c>
      <c r="S934" t="inlineStr">
        <is>
          <t>z test</t>
        </is>
      </c>
      <c r="T934" t="n">
        <v>0.07705192629815745</v>
      </c>
      <c r="U934" t="n">
        <v>0.09397944199706314</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0.08823529411764706</v>
      </c>
      <c r="AI934">
        <f>IF($Y934="worse","Yes",IF($Y934="worse, not significant","Not sure",IF(OR($Y934="too few losses to test",$Y934="too few loans to test"),"Too few losses",IF($Y934="","","No"))))</f>
        <v/>
      </c>
      <c r="AJ934">
        <f>IF($AA934="yes","Yes",IF($AA934="","","No"))</f>
        <v/>
      </c>
      <c r="AM934">
        <f>IF(AND(ISNUMBER($AC934),ISNUMBER(IF($V934,IF($AL934="","",$AL934),IF($AK934="","",$AK934)))),IF(AND(ABS($AC934-significance_bar)&lt;=2.0*IF($V934,IF($AL934="","",$AL934),IF($AK934="","",$AK934)),OR($Y934="worse",$Y934="better",$Y934="worse, not significant",$Y934="better, not significant")),IF(ROUND($AC934,3)=ROUND(significance_bar,3),TEXT($AC934,"0.0000"),TEXT($AC934,"0.000")),""),"")</f>
        <v/>
      </c>
      <c r="AN934">
        <f>IF(AND(ISNUMBER($AC934),ISNUMBER(IF($V934,IF($AL934="","",$AL934),IF($AK934="","",$AK934)))),IF(AND(ABS($AC934-significance_bar)&lt;=2.0*IF($V934,IF($AL934="","",$AL934),IF($AK934="","",$AK934)),OR($Y934="worse",$Y934="worse, not significant")),IF(ROUND($AC934,3)=ROUND(significance_bar,3),TEXT($AC934,"0.0000"),TEXT($AC934,"0.000")),""),"")</f>
        <v/>
      </c>
      <c r="AO934">
        <f>IF(OR($AI934="",$AN934=""),$AI934,$AI934&amp;" · borderline (p "&amp;$AN934&amp;")")</f>
        <v/>
      </c>
    </row>
    <row r="935">
      <c r="A935" t="inlineStr">
        <is>
          <t>three-way</t>
        </is>
      </c>
      <c r="B935" t="inlineStr">
        <is>
          <t>ORIG_BAL x CHANNEL / SYS_FLAG</t>
        </is>
      </c>
      <c r="C935" t="inlineStr">
        <is>
          <t>15,449 - 26,323</t>
        </is>
      </c>
      <c r="D935" t="inlineStr">
        <is>
          <t>Online / SYS_FLAG Y</t>
        </is>
      </c>
      <c r="E935" t="inlineStr">
        <is>
          <t>outcome_booked</t>
        </is>
      </c>
      <c r="F935" t="inlineStr">
        <is>
          <t>Outcome, share of booked dollars</t>
        </is>
      </c>
      <c r="G935" t="n">
        <v>238</v>
      </c>
      <c r="H935" t="n">
        <v>4902701.809999999</v>
      </c>
      <c r="I935" t="b">
        <v>0</v>
      </c>
      <c r="J935" t="b">
        <v>0</v>
      </c>
      <c r="K935" t="n">
        <v>1.248739249830396</v>
      </c>
      <c r="L935" t="n">
        <v>0.5414987912973408</v>
      </c>
      <c r="M935" t="n">
        <v>0.9903075753207488</v>
      </c>
      <c r="N935" t="n">
        <v>0.9611038896110389</v>
      </c>
      <c r="O935" t="n">
        <v>90824.13583005324</v>
      </c>
      <c r="P935" t="n">
        <v>-4462.631742101978</v>
      </c>
      <c r="Q935">
        <f>'_live'!$C$21</f>
        <v/>
      </c>
      <c r="R935" t="inlineStr">
        <is>
          <t>shuffled: 3,287 of 10,000</t>
        </is>
      </c>
      <c r="S935" t="inlineStr">
        <is>
          <t>shuffled: 9,611 of 10,000</t>
        </is>
      </c>
      <c r="T935" t="n">
        <v>0.07447687995732843</v>
      </c>
      <c r="U935" t="n">
        <v>0.09391244248283216</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0.0930022032076228</v>
      </c>
      <c r="AI935">
        <f>IF($Y935="worse","Yes",IF($Y935="worse, not significant","Not sure",IF(OR($Y935="too few losses to test",$Y935="too few loans to test"),"Too few losses",IF($Y935="","","No"))))</f>
        <v/>
      </c>
      <c r="AJ935">
        <f>IF($AA935="yes","Yes",IF($AA935="","","No"))</f>
        <v/>
      </c>
      <c r="AK935" t="n">
        <v>0.007737308454238563</v>
      </c>
      <c r="AL935" t="n">
        <v>0.001933473635340572</v>
      </c>
      <c r="AM935">
        <f>IF(AND(ISNUMBER($AC935),ISNUMBER(IF($V935,IF($AL935="","",$AL935),IF($AK935="","",$AK935)))),IF(AND(ABS($AC935-significance_bar)&lt;=2.0*IF($V935,IF($AL935="","",$AL935),IF($AK935="","",$AK935)),OR($Y935="worse",$Y935="better",$Y935="worse, not significant",$Y935="better, not significant")),IF(ROUND($AC935,3)=ROUND(significance_bar,3),TEXT($AC935,"0.0000"),TEXT($AC935,"0.000")),""),"")</f>
        <v/>
      </c>
      <c r="AN935">
        <f>IF(AND(ISNUMBER($AC935),ISNUMBER(IF($V935,IF($AL935="","",$AL935),IF($AK935="","",$AK935)))),IF(AND(ABS($AC935-significance_bar)&lt;=2.0*IF($V935,IF($AL935="","",$AL935),IF($AK935="","",$AK935)),OR($Y935="worse",$Y935="worse, not significant")),IF(ROUND($AC935,3)=ROUND(significance_bar,3),TEXT($AC935,"0.0000"),TEXT($AC935,"0.000")),""),"")</f>
        <v/>
      </c>
      <c r="AO935">
        <f>IF(OR($AI935="",$AN935=""),$AI935,$AI935&amp;" · borderline (p "&amp;$AN935&amp;")")</f>
        <v/>
      </c>
    </row>
    <row r="936">
      <c r="A936" t="inlineStr">
        <is>
          <t>three-way</t>
        </is>
      </c>
      <c r="B936" t="inlineStr">
        <is>
          <t>ORIG_BAL x CHANNEL / SYS_FLAG</t>
        </is>
      </c>
      <c r="C936" t="inlineStr">
        <is>
          <t>15,449 - 26,323</t>
        </is>
      </c>
      <c r="D936" t="inlineStr">
        <is>
          <t>Online / SYS_FLAG Y</t>
        </is>
      </c>
      <c r="E936" t="inlineStr">
        <is>
          <t>gco_rate</t>
        </is>
      </c>
      <c r="F936" t="inlineStr">
        <is>
          <t>GCO per booked dollar</t>
        </is>
      </c>
      <c r="G936" t="n">
        <v>238</v>
      </c>
      <c r="H936" t="n">
        <v>4902701.809999999</v>
      </c>
      <c r="I936" t="b">
        <v>0</v>
      </c>
      <c r="J936" t="b">
        <v>0</v>
      </c>
      <c r="K936" t="n">
        <v>1.233777496751236</v>
      </c>
      <c r="L936" t="n">
        <v>0.6169265426398536</v>
      </c>
      <c r="M936" t="n">
        <v>0.954982433546816</v>
      </c>
      <c r="N936" t="n">
        <v>0.8724757153914238</v>
      </c>
      <c r="O936" t="n">
        <v>47474.63702916726</v>
      </c>
      <c r="P936" t="n">
        <v>-11810.88456989452</v>
      </c>
      <c r="Q936">
        <f>'_live'!$C$22</f>
        <v/>
      </c>
      <c r="R936" t="inlineStr">
        <is>
          <t>shuffled: 3,745 of 10,000</t>
        </is>
      </c>
      <c r="S936" t="inlineStr">
        <is>
          <t>shuffled: 8,413 of 10,000</t>
        </is>
      </c>
      <c r="T936" t="n">
        <v>0.04142127562329408</v>
      </c>
      <c r="U936" t="n">
        <v>0.05351369402780272</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0.05110463775075075</v>
      </c>
      <c r="AI936">
        <f>IF($Y936="worse","Yes",IF($Y936="worse, not significant","Not sure",IF(OR($Y936="too few losses to test",$Y936="too few loans to test"),"Too few losses",IF($Y936="","","No"))))</f>
        <v/>
      </c>
      <c r="AJ936">
        <f>IF($AA936="yes","Yes",IF($AA936="","","No"))</f>
        <v/>
      </c>
      <c r="AK936" t="n">
        <v>0.007971925404260264</v>
      </c>
      <c r="AL936" t="n">
        <v>0.003789139174384</v>
      </c>
      <c r="AM936">
        <f>IF(AND(ISNUMBER($AC936),ISNUMBER(IF($V936,IF($AL936="","",$AL936),IF($AK936="","",$AK936)))),IF(AND(ABS($AC936-significance_bar)&lt;=2.0*IF($V936,IF($AL936="","",$AL936),IF($AK936="","",$AK936)),OR($Y936="worse",$Y936="better",$Y936="worse, not significant",$Y936="better, not significant")),IF(ROUND($AC936,3)=ROUND(significance_bar,3),TEXT($AC936,"0.0000"),TEXT($AC936,"0.000")),""),"")</f>
        <v/>
      </c>
      <c r="AN936">
        <f>IF(AND(ISNUMBER($AC936),ISNUMBER(IF($V936,IF($AL936="","",$AL936),IF($AK936="","",$AK936)))),IF(AND(ABS($AC936-significance_bar)&lt;=2.0*IF($V936,IF($AL936="","",$AL936),IF($AK936="","",$AK936)),OR($Y936="worse",$Y936="worse, not significant")),IF(ROUND($AC936,3)=ROUND(significance_bar,3),TEXT($AC936,"0.0000"),TEXT($AC936,"0.000")),""),"")</f>
        <v/>
      </c>
      <c r="AO936">
        <f>IF(OR($AI936="",$AN936=""),$AI936,$AI936&amp;" · borderline (p "&amp;$AN936&amp;")")</f>
        <v/>
      </c>
    </row>
    <row r="937">
      <c r="A937" t="inlineStr">
        <is>
          <t>three-way</t>
        </is>
      </c>
      <c r="B937" t="inlineStr">
        <is>
          <t>ORIG_BAL x CHANNEL / SYS_FLAG</t>
        </is>
      </c>
      <c r="C937" t="inlineStr">
        <is>
          <t>15,449 - 26,323</t>
        </is>
      </c>
      <c r="D937" t="inlineStr">
        <is>
          <t>Online / SYS_FLAG Y</t>
        </is>
      </c>
      <c r="E937" t="inlineStr">
        <is>
          <t>ranr_rate</t>
        </is>
      </c>
      <c r="F937" t="inlineStr">
        <is>
          <t>Profit after losses: RANR per booked dollar</t>
        </is>
      </c>
      <c r="G937" t="n">
        <v>238</v>
      </c>
      <c r="H937" t="n">
        <v>4902701.809999999</v>
      </c>
      <c r="I937" t="b">
        <v>0</v>
      </c>
      <c r="J937" t="b">
        <v>0</v>
      </c>
      <c r="K937" t="n">
        <v>0.01004938359189866</v>
      </c>
      <c r="L937" t="n">
        <v>0.6483442564834425</v>
      </c>
      <c r="M937" t="n">
        <v>0.02202011317634187</v>
      </c>
      <c r="N937" t="n">
        <v>0.2465378462153784</v>
      </c>
      <c r="O937" t="n">
        <v>-49269.13112538587</v>
      </c>
      <c r="P937" t="n">
        <v>-107958.048726056</v>
      </c>
      <c r="Q937">
        <f>'_live'!$C$23</f>
        <v/>
      </c>
      <c r="R937" t="inlineStr">
        <is>
          <t>shuffled: 4,523 of 10,000</t>
        </is>
      </c>
      <c r="S937" t="inlineStr">
        <is>
          <t>shuffled: 1,259 of 10,000</t>
        </is>
      </c>
      <c r="T937" t="n">
        <v>0.1277991346723604</v>
      </c>
      <c r="U937" t="n">
        <v>0.1158284050879172</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0.1378485182642591</v>
      </c>
      <c r="AI937">
        <f>IF($Y937="worse","Yes",IF($Y937="worse, not significant","Not sure",IF(OR($Y937="too few losses to test",$Y937="too few loans to test"),"Too few losses",IF($Y937="","","No"))))</f>
        <v/>
      </c>
      <c r="AJ937">
        <f>IF($AA937="yes","Yes",IF($AA937="","","No"))</f>
        <v/>
      </c>
      <c r="AK937" t="n">
        <v>0.006809959833806185</v>
      </c>
      <c r="AL937" t="n">
        <v>0.00633622562759027</v>
      </c>
      <c r="AM937">
        <f>IF(AND(ISNUMBER($AC937),ISNUMBER(IF($V937,IF($AL937="","",$AL937),IF($AK937="","",$AK937)))),IF(AND(ABS($AC937-significance_bar)&lt;=2.0*IF($V937,IF($AL937="","",$AL937),IF($AK937="","",$AK937)),OR($Y937="worse",$Y937="better",$Y937="worse, not significant",$Y937="better, not significant",AND(profit_kind="test",$Y937="in line",ISNUMBER($AB937),$AB937&lt;&gt;0))),IF(ROUND($AC937,3)=ROUND(significance_bar,3),TEXT($AC937,"0.0000"),TEXT($AC937,"0.000")),""),"")</f>
        <v/>
      </c>
      <c r="AN937">
        <f>IF(AND(ISNUMBER($AC937),ISNUMBER(IF($V937,IF($AL937="","",$AL937),IF($AK937="","",$AK937)))),IF(AND(ABS($AC937-significance_bar)&lt;=2.0*IF($V937,IF($AL937="","",$AL937),IF($AK937="","",$AK937)),OR($Y937="worse",$Y937="worse, not significant",AND(profit_kind="test",$Y937="in line",ISNUMBER($AB937),$AB937&lt;0))),IF(ROUND($AC937,3)=ROUND(significance_bar,3),TEXT($AC937,"0.0000"),TEXT($AC937,"0.000")),""),"")</f>
        <v/>
      </c>
      <c r="AO937">
        <f>IF(OR($AI937="",$AN937=""),$AI937,$AI937&amp;" · borderline (p "&amp;$AN937&amp;")")</f>
        <v/>
      </c>
    </row>
    <row r="938">
      <c r="A938" t="inlineStr">
        <is>
          <t>three-way</t>
        </is>
      </c>
      <c r="B938" t="inlineStr">
        <is>
          <t>ORIG_BAL x CHANNEL / SYS_FLAG</t>
        </is>
      </c>
      <c r="C938" t="inlineStr">
        <is>
          <t>15,449 - 26,323</t>
        </is>
      </c>
      <c r="D938" t="inlineStr">
        <is>
          <t>Online / SYS_FLAG Y</t>
        </is>
      </c>
      <c r="E938" t="inlineStr">
        <is>
          <t>contribution_rate</t>
        </is>
      </c>
      <c r="F938" t="inlineStr">
        <is>
          <t>Contribution before losses per booked dollar</t>
        </is>
      </c>
      <c r="G938" t="n">
        <v>238</v>
      </c>
      <c r="H938" t="n">
        <v>4902701.809999999</v>
      </c>
      <c r="I938" t="b">
        <v>0</v>
      </c>
      <c r="J938" t="b">
        <v>0</v>
      </c>
      <c r="K938" t="n">
        <v>0.01973569027665092</v>
      </c>
      <c r="L938" t="n">
        <v>0.1058465582013227</v>
      </c>
      <c r="M938" t="n">
        <v>0.01961105689928985</v>
      </c>
      <c r="N938" t="n">
        <v>0.1174168297455969</v>
      </c>
      <c r="O938" t="n">
        <v>-96758.20444093586</v>
      </c>
      <c r="P938" t="n">
        <v>-96147.16415616137</v>
      </c>
      <c r="Q938">
        <f>'_live'!$C$24</f>
        <v/>
      </c>
      <c r="R938" t="inlineStr">
        <is>
          <t>shuffled: 246 of 10,000</t>
        </is>
      </c>
      <c r="S938" t="inlineStr">
        <is>
          <t>shuffled: 258 of 10,000</t>
        </is>
      </c>
      <c r="T938" t="n">
        <v>0.1692174657383588</v>
      </c>
      <c r="U938" t="n">
        <v>0.1693420991157199</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0.1889531560150098</v>
      </c>
      <c r="AI938">
        <f>IF($Y938="worse","Yes",IF($Y938="worse, not significant","Not sure",IF(OR($Y938="too few losses to test",$Y938="too few loans to test"),"Too few losses",IF($Y938="","","No"))))</f>
        <v/>
      </c>
      <c r="AJ938">
        <f>IF($AA938="yes","Yes",IF($AA938="","","No"))</f>
        <v/>
      </c>
      <c r="AK938" t="n">
        <v>0.006651500677997646</v>
      </c>
      <c r="AL938" t="n">
        <v>0.006995915041768876</v>
      </c>
      <c r="AM938">
        <f>IF(AND(ISNUMBER($AC938),ISNUMBER(IF($V938,IF($AL938="","",$AL938),IF($AK938="","",$AK938)))),IF(AND(ABS($AC938-significance_bar)&lt;=2.0*IF($V938,IF($AL938="","",$AL938),IF($AK938="","",$AK938)),OR($Y938="worse",$Y938="better",$Y938="worse, not significant",$Y938="better, not significant",AND(profit_kind="test",$Y938="in line",ISNUMBER($AB938),$AB938&lt;&gt;0))),IF(ROUND($AC938,3)=ROUND(significance_bar,3),TEXT($AC938,"0.0000"),TEXT($AC938,"0.000")),""),"")</f>
        <v/>
      </c>
      <c r="AN938">
        <f>IF(AND(ISNUMBER($AC938),ISNUMBER(IF($V938,IF($AL938="","",$AL938),IF($AK938="","",$AK938)))),IF(AND(ABS($AC938-significance_bar)&lt;=2.0*IF($V938,IF($AL938="","",$AL938),IF($AK938="","",$AK938)),OR($Y938="worse",$Y938="worse, not significant",AND(profit_kind="test",$Y938="in line",ISNUMBER($AB938),$AB938&lt;0))),IF(ROUND($AC938,3)=ROUND(significance_bar,3),TEXT($AC938,"0.0000"),TEXT($AC938,"0.000")),""),"")</f>
        <v/>
      </c>
      <c r="AO938">
        <f>IF(OR($AI938="",$AN938=""),$AI938,$AI938&amp;" · borderline (p "&amp;$AN938&amp;")")</f>
        <v/>
      </c>
    </row>
    <row r="939">
      <c r="A939" t="inlineStr">
        <is>
          <t>three-way</t>
        </is>
      </c>
      <c r="B939" t="inlineStr">
        <is>
          <t>ORIG_BAL x CHANNEL / SYS_FLAG</t>
        </is>
      </c>
      <c r="C939" t="inlineStr">
        <is>
          <t>15,449 - 26,323</t>
        </is>
      </c>
      <c r="D939" t="inlineStr">
        <is>
          <t>Branch / SYS_FLAG Y</t>
        </is>
      </c>
      <c r="E939" t="inlineStr">
        <is>
          <t>outcome_loans</t>
        </is>
      </c>
      <c r="F939" t="inlineStr">
        <is>
          <t>Outcome, share of loans</t>
        </is>
      </c>
      <c r="G939" t="n">
        <v>251</v>
      </c>
      <c r="H939" t="n">
        <v>251</v>
      </c>
      <c r="I939" t="b">
        <v>0</v>
      </c>
      <c r="J939" t="b">
        <v>0</v>
      </c>
      <c r="K939" t="n">
        <v>0.8717025585366175</v>
      </c>
      <c r="L939" t="n">
        <v>0.7202191315944685</v>
      </c>
      <c r="M939" t="n">
        <v>0.6921707110950138</v>
      </c>
      <c r="N939" t="n">
        <v>0.2808242493725803</v>
      </c>
      <c r="O939" t="n">
        <v>-2.502065049044916</v>
      </c>
      <c r="P939" t="n">
        <v>-7.560415122312826</v>
      </c>
      <c r="Q939">
        <f>'_live'!$C$20</f>
        <v/>
      </c>
      <c r="R939" t="inlineStr">
        <is>
          <t>z test</t>
        </is>
      </c>
      <c r="S939" t="inlineStr">
        <is>
          <t>z test</t>
        </is>
      </c>
      <c r="T939" t="n">
        <v>0.07769747031491998</v>
      </c>
      <c r="U939" t="n">
        <v>0.09785025945144551</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0.06772908366533864</v>
      </c>
      <c r="AI939">
        <f>IF($Y939="worse","Yes",IF($Y939="worse, not significant","Not sure",IF(OR($Y939="too few losses to test",$Y939="too few loans to test"),"Too few losses",IF($Y939="","","No"))))</f>
        <v/>
      </c>
      <c r="AJ939">
        <f>IF($AA939="yes","Yes",IF($AA939="","","No"))</f>
        <v/>
      </c>
      <c r="AM939">
        <f>IF(AND(ISNUMBER($AC939),ISNUMBER(IF($V939,IF($AL939="","",$AL939),IF($AK939="","",$AK939)))),IF(AND(ABS($AC939-significance_bar)&lt;=2.0*IF($V939,IF($AL939="","",$AL939),IF($AK939="","",$AK939)),OR($Y939="worse",$Y939="better",$Y939="worse, not significant",$Y939="better, not significant")),IF(ROUND($AC939,3)=ROUND(significance_bar,3),TEXT($AC939,"0.0000"),TEXT($AC939,"0.000")),""),"")</f>
        <v/>
      </c>
      <c r="AN939">
        <f>IF(AND(ISNUMBER($AC939),ISNUMBER(IF($V939,IF($AL939="","",$AL939),IF($AK939="","",$AK939)))),IF(AND(ABS($AC939-significance_bar)&lt;=2.0*IF($V939,IF($AL939="","",$AL939),IF($AK939="","",$AK939)),OR($Y939="worse",$Y939="worse, not significant")),IF(ROUND($AC939,3)=ROUND(significance_bar,3),TEXT($AC939,"0.0000"),TEXT($AC939,"0.000")),""),"")</f>
        <v/>
      </c>
      <c r="AO939">
        <f>IF(OR($AI939="",$AN939=""),$AI939,$AI939&amp;" · borderline (p "&amp;$AN939&amp;")")</f>
        <v/>
      </c>
    </row>
    <row r="940">
      <c r="A940" t="inlineStr">
        <is>
          <t>three-way</t>
        </is>
      </c>
      <c r="B940" t="inlineStr">
        <is>
          <t>ORIG_BAL x CHANNEL / SYS_FLAG</t>
        </is>
      </c>
      <c r="C940" t="inlineStr">
        <is>
          <t>15,449 - 26,323</t>
        </is>
      </c>
      <c r="D940" t="inlineStr">
        <is>
          <t>Branch / SYS_FLAG Y</t>
        </is>
      </c>
      <c r="E940" t="inlineStr">
        <is>
          <t>outcome_booked</t>
        </is>
      </c>
      <c r="F940" t="inlineStr">
        <is>
          <t>Outcome, share of booked dollars</t>
        </is>
      </c>
      <c r="G940" t="n">
        <v>251</v>
      </c>
      <c r="H940" t="n">
        <v>5301207.189999996</v>
      </c>
      <c r="I940" t="b">
        <v>0</v>
      </c>
      <c r="J940" t="b">
        <v>0</v>
      </c>
      <c r="K940" t="n">
        <v>0.9359198578826007</v>
      </c>
      <c r="L940" t="n">
        <v>0.8386716883867168</v>
      </c>
      <c r="M940" t="n">
        <v>0.7138269499595352</v>
      </c>
      <c r="N940" t="n">
        <v>0.3295670432956704</v>
      </c>
      <c r="O940" t="n">
        <v>-25453.03383656859</v>
      </c>
      <c r="P940" t="n">
        <v>-149035.7791864333</v>
      </c>
      <c r="Q940">
        <f>'_live'!$C$21</f>
        <v/>
      </c>
      <c r="R940" t="inlineStr">
        <is>
          <t>shuffled: 7,955 of 10,000</t>
        </is>
      </c>
      <c r="S940" t="inlineStr">
        <is>
          <t>shuffled: 1,647 of 10,000</t>
        </is>
      </c>
      <c r="T940" t="n">
        <v>0.07492751171579259</v>
      </c>
      <c r="U940" t="n">
        <v>0.09823970098147282</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0.0701261461165415</v>
      </c>
      <c r="AI940">
        <f>IF($Y940="worse","Yes",IF($Y940="worse, not significant","Not sure",IF(OR($Y940="too few losses to test",$Y940="too few loans to test"),"Too few losses",IF($Y940="","","No"))))</f>
        <v/>
      </c>
      <c r="AJ940">
        <f>IF($AA940="yes","Yes",IF($AA940="","","No"))</f>
        <v/>
      </c>
      <c r="AK940" t="n">
        <v>0.004078766993467312</v>
      </c>
      <c r="AL940" t="n">
        <v>0.007419701143339202</v>
      </c>
      <c r="AM940">
        <f>IF(AND(ISNUMBER($AC940),ISNUMBER(IF($V940,IF($AL940="","",$AL940),IF($AK940="","",$AK940)))),IF(AND(ABS($AC940-significance_bar)&lt;=2.0*IF($V940,IF($AL940="","",$AL940),IF($AK940="","",$AK940)),OR($Y940="worse",$Y940="better",$Y940="worse, not significant",$Y940="better, not significant")),IF(ROUND($AC940,3)=ROUND(significance_bar,3),TEXT($AC940,"0.0000"),TEXT($AC940,"0.000")),""),"")</f>
        <v/>
      </c>
      <c r="AN940">
        <f>IF(AND(ISNUMBER($AC940),ISNUMBER(IF($V940,IF($AL940="","",$AL940),IF($AK940="","",$AK940)))),IF(AND(ABS($AC940-significance_bar)&lt;=2.0*IF($V940,IF($AL940="","",$AL940),IF($AK940="","",$AK940)),OR($Y940="worse",$Y940="worse, not significant")),IF(ROUND($AC940,3)=ROUND(significance_bar,3),TEXT($AC940,"0.0000"),TEXT($AC940,"0.000")),""),"")</f>
        <v/>
      </c>
      <c r="AO940">
        <f>IF(OR($AI940="",$AN940=""),$AI940,$AI940&amp;" · borderline (p "&amp;$AN940&amp;")")</f>
        <v/>
      </c>
    </row>
    <row r="941">
      <c r="A941" t="inlineStr">
        <is>
          <t>three-way</t>
        </is>
      </c>
      <c r="B941" t="inlineStr">
        <is>
          <t>ORIG_BAL x CHANNEL / SYS_FLAG</t>
        </is>
      </c>
      <c r="C941" t="inlineStr">
        <is>
          <t>15,449 - 26,323</t>
        </is>
      </c>
      <c r="D941" t="inlineStr">
        <is>
          <t>Branch / SYS_FLAG Y</t>
        </is>
      </c>
      <c r="E941" t="inlineStr">
        <is>
          <t>gco_rate</t>
        </is>
      </c>
      <c r="F941" t="inlineStr">
        <is>
          <t>GCO per booked dollar</t>
        </is>
      </c>
      <c r="G941" t="n">
        <v>251</v>
      </c>
      <c r="H941" t="n">
        <v>5301207.189999996</v>
      </c>
      <c r="I941" t="b">
        <v>0</v>
      </c>
      <c r="J941" t="b">
        <v>0</v>
      </c>
      <c r="K941" t="n">
        <v>0.9670255542799332</v>
      </c>
      <c r="L941" t="n">
        <v>0.9822017798220178</v>
      </c>
      <c r="M941" t="n">
        <v>0.7242032956974487</v>
      </c>
      <c r="N941" t="n">
        <v>0.3703096357030963</v>
      </c>
      <c r="O941" t="n">
        <v>-7277.712507615739</v>
      </c>
      <c r="P941" t="n">
        <v>-81280.04166951851</v>
      </c>
      <c r="Q941">
        <f>'_live'!$C$22</f>
        <v/>
      </c>
      <c r="R941" t="inlineStr">
        <is>
          <t>shuffled: 8,978 of 10,000</t>
        </is>
      </c>
      <c r="S941" t="inlineStr">
        <is>
          <t>shuffled: 1,983 of 10,000</t>
        </is>
      </c>
      <c r="T941" t="n">
        <v>0.04163347037707762</v>
      </c>
      <c r="U941" t="n">
        <v>0.0555929944080376</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0.04026062976799067</v>
      </c>
      <c r="AI941">
        <f>IF($Y941="worse","Yes",IF($Y941="worse, not significant","Not sure",IF(OR($Y941="too few losses to test",$Y941="too few loans to test"),"Too few losses",IF($Y941="","","No"))))</f>
        <v/>
      </c>
      <c r="AJ941">
        <f>IF($AA941="yes","Yes",IF($AA941="","","No"))</f>
        <v/>
      </c>
      <c r="AK941" t="n">
        <v>0.001322174101110676</v>
      </c>
      <c r="AL941" t="n">
        <v>0.007443892980275082</v>
      </c>
      <c r="AM941">
        <f>IF(AND(ISNUMBER($AC941),ISNUMBER(IF($V941,IF($AL941="","",$AL941),IF($AK941="","",$AK941)))),IF(AND(ABS($AC941-significance_bar)&lt;=2.0*IF($V941,IF($AL941="","",$AL941),IF($AK941="","",$AK941)),OR($Y941="worse",$Y941="better",$Y941="worse, not significant",$Y941="better, not significant")),IF(ROUND($AC941,3)=ROUND(significance_bar,3),TEXT($AC941,"0.0000"),TEXT($AC941,"0.000")),""),"")</f>
        <v/>
      </c>
      <c r="AN941">
        <f>IF(AND(ISNUMBER($AC941),ISNUMBER(IF($V941,IF($AL941="","",$AL941),IF($AK941="","",$AK941)))),IF(AND(ABS($AC941-significance_bar)&lt;=2.0*IF($V941,IF($AL941="","",$AL941),IF($AK941="","",$AK941)),OR($Y941="worse",$Y941="worse, not significant")),IF(ROUND($AC941,3)=ROUND(significance_bar,3),TEXT($AC941,"0.0000"),TEXT($AC941,"0.000")),""),"")</f>
        <v/>
      </c>
      <c r="AO941">
        <f>IF(OR($AI941="",$AN941=""),$AI941,$AI941&amp;" · borderline (p "&amp;$AN941&amp;")")</f>
        <v/>
      </c>
    </row>
    <row r="942">
      <c r="A942" t="inlineStr">
        <is>
          <t>three-way</t>
        </is>
      </c>
      <c r="B942" t="inlineStr">
        <is>
          <t>ORIG_BAL x CHANNEL / SYS_FLAG</t>
        </is>
      </c>
      <c r="C942" t="inlineStr">
        <is>
          <t>15,449 - 26,323</t>
        </is>
      </c>
      <c r="D942" t="inlineStr">
        <is>
          <t>Branch / SYS_FLAG Y</t>
        </is>
      </c>
      <c r="E942" t="inlineStr">
        <is>
          <t>ranr_rate</t>
        </is>
      </c>
      <c r="F942" t="inlineStr">
        <is>
          <t>Profit after losses: RANR per booked dollar</t>
        </is>
      </c>
      <c r="G942" t="n">
        <v>251</v>
      </c>
      <c r="H942" t="n">
        <v>5301207.189999996</v>
      </c>
      <c r="I942" t="b">
        <v>0</v>
      </c>
      <c r="J942" t="b">
        <v>0</v>
      </c>
      <c r="K942" t="n">
        <v>-0.004302851574771338</v>
      </c>
      <c r="L942" t="n">
        <v>0.831139108311391</v>
      </c>
      <c r="M942" t="n">
        <v>0.005605256207804193</v>
      </c>
      <c r="N942" t="n">
        <v>0.7109289071092891</v>
      </c>
      <c r="O942" t="n">
        <v>22810.30770568061</v>
      </c>
      <c r="P942" t="n">
        <v>-29714.62451060372</v>
      </c>
      <c r="Q942">
        <f>'_live'!$C$23</f>
        <v/>
      </c>
      <c r="R942" t="inlineStr">
        <is>
          <t>shuffled: 7,480 of 10,000</t>
        </is>
      </c>
      <c r="S942" t="inlineStr">
        <is>
          <t>shuffled: 6,872 of 10,000</t>
        </is>
      </c>
      <c r="T942" t="n">
        <v>0.1280784382444937</v>
      </c>
      <c r="U942" t="n">
        <v>0.1181703304619182</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0.1237755866697224</v>
      </c>
      <c r="AI942">
        <f>IF($Y942="worse","Yes",IF($Y942="worse, not significant","Not sure",IF(OR($Y942="too few losses to test",$Y942="too few loans to test"),"Too few losses",IF($Y942="","","No"))))</f>
        <v/>
      </c>
      <c r="AJ942">
        <f>IF($AA942="yes","Yes",IF($AA942="","","No"))</f>
        <v/>
      </c>
      <c r="AK942" t="n">
        <v>0.004823854068679044</v>
      </c>
      <c r="AL942" t="n">
        <v>0.004796079503573738</v>
      </c>
      <c r="AM942">
        <f>IF(AND(ISNUMBER($AC942),ISNUMBER(IF($V942,IF($AL942="","",$AL942),IF($AK942="","",$AK942)))),IF(AND(ABS($AC942-significance_bar)&lt;=2.0*IF($V942,IF($AL942="","",$AL942),IF($AK942="","",$AK942)),OR($Y942="worse",$Y942="better",$Y942="worse, not significant",$Y942="better, not significant",AND(profit_kind="test",$Y942="in line",ISNUMBER($AB942),$AB942&lt;&gt;0))),IF(ROUND($AC942,3)=ROUND(significance_bar,3),TEXT($AC942,"0.0000"),TEXT($AC942,"0.000")),""),"")</f>
        <v/>
      </c>
      <c r="AN942">
        <f>IF(AND(ISNUMBER($AC942),ISNUMBER(IF($V942,IF($AL942="","",$AL942),IF($AK942="","",$AK942)))),IF(AND(ABS($AC942-significance_bar)&lt;=2.0*IF($V942,IF($AL942="","",$AL942),IF($AK942="","",$AK942)),OR($Y942="worse",$Y942="worse, not significant",AND(profit_kind="test",$Y942="in line",ISNUMBER($AB942),$AB942&lt;0))),IF(ROUND($AC942,3)=ROUND(significance_bar,3),TEXT($AC942,"0.0000"),TEXT($AC942,"0.000")),""),"")</f>
        <v/>
      </c>
      <c r="AO942">
        <f>IF(OR($AI942="",$AN942=""),$AI942,$AI942&amp;" · borderline (p "&amp;$AN942&amp;")")</f>
        <v/>
      </c>
    </row>
    <row r="943">
      <c r="A943" t="inlineStr">
        <is>
          <t>three-way</t>
        </is>
      </c>
      <c r="B943" t="inlineStr">
        <is>
          <t>ORIG_BAL x CHANNEL / SYS_FLAG</t>
        </is>
      </c>
      <c r="C943" t="inlineStr">
        <is>
          <t>15,449 - 26,323</t>
        </is>
      </c>
      <c r="D943" t="inlineStr">
        <is>
          <t>Branch / SYS_FLAG Y</t>
        </is>
      </c>
      <c r="E943" t="inlineStr">
        <is>
          <t>contribution_rate</t>
        </is>
      </c>
      <c r="F943" t="inlineStr">
        <is>
          <t>Contribution before losses per booked dollar</t>
        </is>
      </c>
      <c r="G943" t="n">
        <v>251</v>
      </c>
      <c r="H943" t="n">
        <v>5301207.189999996</v>
      </c>
      <c r="I943" t="b">
        <v>0</v>
      </c>
      <c r="J943" t="b">
        <v>0</v>
      </c>
      <c r="K943" t="n">
        <v>-0.005672786841048577</v>
      </c>
      <c r="L943" t="n">
        <v>0.6373112688731126</v>
      </c>
      <c r="M943" t="n">
        <v>-0.009727108432242726</v>
      </c>
      <c r="N943" t="n">
        <v>0.3970655566022345</v>
      </c>
      <c r="O943" t="n">
        <v>30072.61838910403</v>
      </c>
      <c r="P943" t="n">
        <v>51565.41715891473</v>
      </c>
      <c r="Q943">
        <f>'_live'!$C$24</f>
        <v/>
      </c>
      <c r="R943" t="inlineStr">
        <is>
          <t>shuffled: 5,098 of 10,000</t>
        </is>
      </c>
      <c r="S943" t="inlineStr">
        <is>
          <t>shuffled: 2,514 of 10,000</t>
        </is>
      </c>
      <c r="T943" t="n">
        <v>0.1697090032787616</v>
      </c>
      <c r="U943" t="n">
        <v>0.1737633248699557</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0.164036216437713</v>
      </c>
      <c r="AI943">
        <f>IF($Y943="worse","Yes",IF($Y943="worse, not significant","Not sure",IF(OR($Y943="too few losses to test",$Y943="too few loans to test"),"Too few losses",IF($Y943="","","No"))))</f>
        <v/>
      </c>
      <c r="AJ943">
        <f>IF($AA943="yes","Yes",IF($AA943="","","No"))</f>
        <v/>
      </c>
      <c r="AK943" t="n">
        <v>0.006248787343627033</v>
      </c>
      <c r="AL943" t="n">
        <v>0.0068504347267009</v>
      </c>
      <c r="AM943">
        <f>IF(AND(ISNUMBER($AC943),ISNUMBER(IF($V943,IF($AL943="","",$AL943),IF($AK943="","",$AK943)))),IF(AND(ABS($AC943-significance_bar)&lt;=2.0*IF($V943,IF($AL943="","",$AL943),IF($AK943="","",$AK943)),OR($Y943="worse",$Y943="better",$Y943="worse, not significant",$Y943="better, not significant",AND(profit_kind="test",$Y943="in line",ISNUMBER($AB943),$AB943&lt;&gt;0))),IF(ROUND($AC943,3)=ROUND(significance_bar,3),TEXT($AC943,"0.0000"),TEXT($AC943,"0.000")),""),"")</f>
        <v/>
      </c>
      <c r="AN943">
        <f>IF(AND(ISNUMBER($AC943),ISNUMBER(IF($V943,IF($AL943="","",$AL943),IF($AK943="","",$AK943)))),IF(AND(ABS($AC943-significance_bar)&lt;=2.0*IF($V943,IF($AL943="","",$AL943),IF($AK943="","",$AK943)),OR($Y943="worse",$Y943="worse, not significant",AND(profit_kind="test",$Y943="in line",ISNUMBER($AB943),$AB943&lt;0))),IF(ROUND($AC943,3)=ROUND(significance_bar,3),TEXT($AC943,"0.0000"),TEXT($AC943,"0.000")),""),"")</f>
        <v/>
      </c>
      <c r="AO943">
        <f>IF(OR($AI943="",$AN943=""),$AI943,$AI943&amp;" · borderline (p "&amp;$AN943&amp;")")</f>
        <v/>
      </c>
    </row>
    <row r="944">
      <c r="A944" t="inlineStr">
        <is>
          <t>three-way</t>
        </is>
      </c>
      <c r="B944" t="inlineStr">
        <is>
          <t>ORIG_BAL x CHANNEL / SYS_FLAG</t>
        </is>
      </c>
      <c r="C944" t="inlineStr">
        <is>
          <t>5,005 - 15,448</t>
        </is>
      </c>
      <c r="D944" t="inlineStr">
        <is>
          <t>Broker / SYS_FLAG N</t>
        </is>
      </c>
      <c r="E944" t="inlineStr">
        <is>
          <t>outcome_loans</t>
        </is>
      </c>
      <c r="F944" t="inlineStr">
        <is>
          <t>Outcome, share of loans</t>
        </is>
      </c>
      <c r="G944" t="n">
        <v>277</v>
      </c>
      <c r="H944" t="n">
        <v>277</v>
      </c>
      <c r="I944" t="b">
        <v>0</v>
      </c>
      <c r="J944" t="b">
        <v>0</v>
      </c>
      <c r="K944" t="n">
        <v>0.7872314906988738</v>
      </c>
      <c r="L944" t="n">
        <v>0.5106577122371279</v>
      </c>
      <c r="M944" t="n">
        <v>0.7659900551733533</v>
      </c>
      <c r="N944" t="n">
        <v>0.4461345440320933</v>
      </c>
      <c r="O944" t="n">
        <v>-4.594664594664593</v>
      </c>
      <c r="P944" t="n">
        <v>-5.193499622071052</v>
      </c>
      <c r="Q944">
        <f>'_live'!$C$20</f>
        <v/>
      </c>
      <c r="R944" t="inlineStr">
        <is>
          <t>z test</t>
        </is>
      </c>
      <c r="S944" t="inlineStr">
        <is>
          <t>z test</t>
        </is>
      </c>
      <c r="T944" t="n">
        <v>0.07795907795907796</v>
      </c>
      <c r="U944" t="n">
        <v>0.08012093726379441</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0.06137184115523465</v>
      </c>
      <c r="AI944">
        <f>IF($Y944="worse","Yes",IF($Y944="worse, not significant","Not sure",IF(OR($Y944="too few losses to test",$Y944="too few loans to test"),"Too few losses",IF($Y944="","","No"))))</f>
        <v/>
      </c>
      <c r="AJ944">
        <f>IF($AA944="yes","Yes",IF($AA944="","","No"))</f>
        <v/>
      </c>
      <c r="AM944">
        <f>IF(AND(ISNUMBER($AC944),ISNUMBER(IF($V944,IF($AL944="","",$AL944),IF($AK944="","",$AK944)))),IF(AND(ABS($AC944-significance_bar)&lt;=2.0*IF($V944,IF($AL944="","",$AL944),IF($AK944="","",$AK944)),OR($Y944="worse",$Y944="better",$Y944="worse, not significant",$Y944="better, not significant")),IF(ROUND($AC944,3)=ROUND(significance_bar,3),TEXT($AC944,"0.0000"),TEXT($AC944,"0.000")),""),"")</f>
        <v/>
      </c>
      <c r="AN944">
        <f>IF(AND(ISNUMBER($AC944),ISNUMBER(IF($V944,IF($AL944="","",$AL944),IF($AK944="","",$AK944)))),IF(AND(ABS($AC944-significance_bar)&lt;=2.0*IF($V944,IF($AL944="","",$AL944),IF($AK944="","",$AK944)),OR($Y944="worse",$Y944="worse, not significant")),IF(ROUND($AC944,3)=ROUND(significance_bar,3),TEXT($AC944,"0.0000"),TEXT($AC944,"0.000")),""),"")</f>
        <v/>
      </c>
      <c r="AO944">
        <f>IF(OR($AI944="",$AN944=""),$AI944,$AI944&amp;" · borderline (p "&amp;$AN944&amp;")")</f>
        <v/>
      </c>
    </row>
    <row r="945">
      <c r="A945" t="inlineStr">
        <is>
          <t>three-way</t>
        </is>
      </c>
      <c r="B945" t="inlineStr">
        <is>
          <t>ORIG_BAL x CHANNEL / SYS_FLAG</t>
        </is>
      </c>
      <c r="C945" t="inlineStr">
        <is>
          <t>5,005 - 15,448</t>
        </is>
      </c>
      <c r="D945" t="inlineStr">
        <is>
          <t>Broker / SYS_FLAG N</t>
        </is>
      </c>
      <c r="E945" t="inlineStr">
        <is>
          <t>outcome_booked</t>
        </is>
      </c>
      <c r="F945" t="inlineStr">
        <is>
          <t>Outcome, share of booked dollars</t>
        </is>
      </c>
      <c r="G945" t="n">
        <v>277</v>
      </c>
      <c r="H945" t="n">
        <v>2815673.429999998</v>
      </c>
      <c r="I945" t="b">
        <v>0</v>
      </c>
      <c r="J945" t="b">
        <v>0</v>
      </c>
      <c r="K945" t="n">
        <v>0.8597551955234362</v>
      </c>
      <c r="L945" t="n">
        <v>0.8179603092322347</v>
      </c>
      <c r="M945" t="n">
        <v>0.8269923751813483</v>
      </c>
      <c r="N945" t="n">
        <v>0.6519148085191481</v>
      </c>
      <c r="O945" t="n">
        <v>-29593.98047206606</v>
      </c>
      <c r="P945" t="n">
        <v>-37953.78988544812</v>
      </c>
      <c r="Q945">
        <f>'_live'!$C$21</f>
        <v/>
      </c>
      <c r="R945" t="inlineStr">
        <is>
          <t>shuffled: 5,550 of 10,000</t>
        </is>
      </c>
      <c r="S945" t="inlineStr">
        <is>
          <t>shuffled: 4,656 of 10,000</t>
        </is>
      </c>
      <c r="T945" t="n">
        <v>0.07494355993978541</v>
      </c>
      <c r="U945" t="n">
        <v>0.07791258657629491</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0.06443311502925256</v>
      </c>
      <c r="AI945">
        <f>IF($Y945="worse","Yes",IF($Y945="worse, not significant","Not sure",IF(OR($Y945="too few losses to test",$Y945="too few loans to test"),"Too few losses",IF($Y945="","","No"))))</f>
        <v/>
      </c>
      <c r="AJ945">
        <f>IF($AA945="yes","Yes",IF($AA945="","","No"))</f>
        <v/>
      </c>
      <c r="AK945" t="n">
        <v>0.007323633832145582</v>
      </c>
      <c r="AL945" t="n">
        <v>0.006983464858938218</v>
      </c>
      <c r="AM945">
        <f>IF(AND(ISNUMBER($AC945),ISNUMBER(IF($V945,IF($AL945="","",$AL945),IF($AK945="","",$AK945)))),IF(AND(ABS($AC945-significance_bar)&lt;=2.0*IF($V945,IF($AL945="","",$AL945),IF($AK945="","",$AK945)),OR($Y945="worse",$Y945="better",$Y945="worse, not significant",$Y945="better, not significant")),IF(ROUND($AC945,3)=ROUND(significance_bar,3),TEXT($AC945,"0.0000"),TEXT($AC945,"0.000")),""),"")</f>
        <v/>
      </c>
      <c r="AN945">
        <f>IF(AND(ISNUMBER($AC945),ISNUMBER(IF($V945,IF($AL945="","",$AL945),IF($AK945="","",$AK945)))),IF(AND(ABS($AC945-significance_bar)&lt;=2.0*IF($V945,IF($AL945="","",$AL945),IF($AK945="","",$AK945)),OR($Y945="worse",$Y945="worse, not significant")),IF(ROUND($AC945,3)=ROUND(significance_bar,3),TEXT($AC945,"0.0000"),TEXT($AC945,"0.000")),""),"")</f>
        <v/>
      </c>
      <c r="AO945">
        <f>IF(OR($AI945="",$AN945=""),$AI945,$AI945&amp;" · borderline (p "&amp;$AN945&amp;")")</f>
        <v/>
      </c>
    </row>
    <row r="946">
      <c r="A946" t="inlineStr">
        <is>
          <t>three-way</t>
        </is>
      </c>
      <c r="B946" t="inlineStr">
        <is>
          <t>ORIG_BAL x CHANNEL / SYS_FLAG</t>
        </is>
      </c>
      <c r="C946" t="inlineStr">
        <is>
          <t>5,005 - 15,448</t>
        </is>
      </c>
      <c r="D946" t="inlineStr">
        <is>
          <t>Broker / SYS_FLAG N</t>
        </is>
      </c>
      <c r="E946" t="inlineStr">
        <is>
          <t>gco_rate</t>
        </is>
      </c>
      <c r="F946" t="inlineStr">
        <is>
          <t>GCO per booked dollar</t>
        </is>
      </c>
      <c r="G946" t="n">
        <v>277</v>
      </c>
      <c r="H946" t="n">
        <v>2815673.429999998</v>
      </c>
      <c r="I946" t="b">
        <v>0</v>
      </c>
      <c r="J946" t="b">
        <v>0</v>
      </c>
      <c r="K946" t="n">
        <v>0.8899552537872525</v>
      </c>
      <c r="L946" t="n">
        <v>0.9594198474889354</v>
      </c>
      <c r="M946" t="n">
        <v>0.8762813259515931</v>
      </c>
      <c r="N946" t="n">
        <v>0.7890341400642543</v>
      </c>
      <c r="O946" t="n">
        <v>-12906.89334790084</v>
      </c>
      <c r="P946" t="n">
        <v>-14737.1084519021</v>
      </c>
      <c r="Q946">
        <f>'_live'!$C$22</f>
        <v/>
      </c>
      <c r="R946" t="inlineStr">
        <is>
          <t>shuffled: 6,510 of 10,000</t>
        </is>
      </c>
      <c r="S946" t="inlineStr">
        <is>
          <t>shuffled: 6,219 of 10,000</t>
        </is>
      </c>
      <c r="T946" t="n">
        <v>0.04165528647542798</v>
      </c>
      <c r="U946" t="n">
        <v>0.04230529619761415</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0.03707134104682022</v>
      </c>
      <c r="AI946">
        <f>IF($Y946="worse","Yes",IF($Y946="worse, not significant","Not sure",IF(OR($Y946="too few losses to test",$Y946="too few loans to test"),"Too few losses",IF($Y946="","","No"))))</f>
        <v/>
      </c>
      <c r="AJ946">
        <f>IF($AA946="yes","Yes",IF($AA946="","","No"))</f>
        <v/>
      </c>
      <c r="AK946" t="n">
        <v>0.007024211249345495</v>
      </c>
      <c r="AL946" t="n">
        <v>0.005813677207764897</v>
      </c>
      <c r="AM946">
        <f>IF(AND(ISNUMBER($AC946),ISNUMBER(IF($V946,IF($AL946="","",$AL946),IF($AK946="","",$AK946)))),IF(AND(ABS($AC946-significance_bar)&lt;=2.0*IF($V946,IF($AL946="","",$AL946),IF($AK946="","",$AK946)),OR($Y946="worse",$Y946="better",$Y946="worse, not significant",$Y946="better, not significant")),IF(ROUND($AC946,3)=ROUND(significance_bar,3),TEXT($AC946,"0.0000"),TEXT($AC946,"0.000")),""),"")</f>
        <v/>
      </c>
      <c r="AN946">
        <f>IF(AND(ISNUMBER($AC946),ISNUMBER(IF($V946,IF($AL946="","",$AL946),IF($AK946="","",$AK946)))),IF(AND(ABS($AC946-significance_bar)&lt;=2.0*IF($V946,IF($AL946="","",$AL946),IF($AK946="","",$AK946)),OR($Y946="worse",$Y946="worse, not significant")),IF(ROUND($AC946,3)=ROUND(significance_bar,3),TEXT($AC946,"0.0000"),TEXT($AC946,"0.000")),""),"")</f>
        <v/>
      </c>
      <c r="AO946">
        <f>IF(OR($AI946="",$AN946=""),$AI946,$AI946&amp;" · borderline (p "&amp;$AN946&amp;")")</f>
        <v/>
      </c>
    </row>
    <row r="947">
      <c r="A947" t="inlineStr">
        <is>
          <t>three-way</t>
        </is>
      </c>
      <c r="B947" t="inlineStr">
        <is>
          <t>ORIG_BAL x CHANNEL / SYS_FLAG</t>
        </is>
      </c>
      <c r="C947" t="inlineStr">
        <is>
          <t>5,005 - 15,448</t>
        </is>
      </c>
      <c r="D947" t="inlineStr">
        <is>
          <t>Broker / SYS_FLAG N</t>
        </is>
      </c>
      <c r="E947" t="inlineStr">
        <is>
          <t>ranr_rate</t>
        </is>
      </c>
      <c r="F947" t="inlineStr">
        <is>
          <t>Profit after losses: RANR per booked dollar</t>
        </is>
      </c>
      <c r="G947" t="n">
        <v>277</v>
      </c>
      <c r="H947" t="n">
        <v>2815673.429999998</v>
      </c>
      <c r="I947" t="b">
        <v>0</v>
      </c>
      <c r="J947" t="b">
        <v>0</v>
      </c>
      <c r="K947" t="n">
        <v>0.03040641367921301</v>
      </c>
      <c r="L947" t="n">
        <v>0.05870841487279843</v>
      </c>
      <c r="M947" t="n">
        <v>0.01377394528498566</v>
      </c>
      <c r="N947" t="n">
        <v>0.3825331752539032</v>
      </c>
      <c r="O947" t="n">
        <v>-85614.53109814855</v>
      </c>
      <c r="P947" t="n">
        <v>-38782.93176520785</v>
      </c>
      <c r="Q947">
        <f>'_live'!$C$23</f>
        <v/>
      </c>
      <c r="R947" t="inlineStr">
        <is>
          <t>shuffled: 136 of 10,000</t>
        </is>
      </c>
      <c r="S947" t="inlineStr">
        <is>
          <t>shuffled: 2,677 of 10,000</t>
        </is>
      </c>
      <c r="T947" t="n">
        <v>0.1276582983921724</v>
      </c>
      <c r="U947" t="n">
        <v>0.1442907667863998</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0.1580647120713854</v>
      </c>
      <c r="AI947">
        <f>IF($Y947="worse","Yes",IF($Y947="worse, not significant","Not sure",IF(OR($Y947="too few losses to test",$Y947="too few loans to test"),"Too few losses",IF($Y947="","","No"))))</f>
        <v/>
      </c>
      <c r="AJ947">
        <f>IF($AA947="yes","Yes",IF($AA947="","","No"))</f>
        <v/>
      </c>
      <c r="AK947" t="n">
        <v>0.004981574192312272</v>
      </c>
      <c r="AL947" t="n">
        <v>0.006325696281664174</v>
      </c>
      <c r="AM947">
        <f>IF(AND(ISNUMBER($AC947),ISNUMBER(IF($V947,IF($AL947="","",$AL947),IF($AK947="","",$AK947)))),IF(AND(ABS($AC947-significance_bar)&lt;=2.0*IF($V947,IF($AL947="","",$AL947),IF($AK947="","",$AK947)),OR($Y947="worse",$Y947="better",$Y947="worse, not significant",$Y947="better, not significant",AND(profit_kind="test",$Y947="in line",ISNUMBER($AB947),$AB947&lt;&gt;0))),IF(ROUND($AC947,3)=ROUND(significance_bar,3),TEXT($AC947,"0.0000"),TEXT($AC947,"0.000")),""),"")</f>
        <v/>
      </c>
      <c r="AN947">
        <f>IF(AND(ISNUMBER($AC947),ISNUMBER(IF($V947,IF($AL947="","",$AL947),IF($AK947="","",$AK947)))),IF(AND(ABS($AC947-significance_bar)&lt;=2.0*IF($V947,IF($AL947="","",$AL947),IF($AK947="","",$AK947)),OR($Y947="worse",$Y947="worse, not significant",AND(profit_kind="test",$Y947="in line",ISNUMBER($AB947),$AB947&lt;0))),IF(ROUND($AC947,3)=ROUND(significance_bar,3),TEXT($AC947,"0.0000"),TEXT($AC947,"0.000")),""),"")</f>
        <v/>
      </c>
      <c r="AO947">
        <f>IF(OR($AI947="",$AN947=""),$AI947,$AI947&amp;" · borderline (p "&amp;$AN947&amp;")")</f>
        <v/>
      </c>
    </row>
    <row r="948">
      <c r="A948" t="inlineStr">
        <is>
          <t>three-way</t>
        </is>
      </c>
      <c r="B948" t="inlineStr">
        <is>
          <t>ORIG_BAL x CHANNEL / SYS_FLAG</t>
        </is>
      </c>
      <c r="C948" t="inlineStr">
        <is>
          <t>5,005 - 15,448</t>
        </is>
      </c>
      <c r="D948" t="inlineStr">
        <is>
          <t>Broker / SYS_FLAG N</t>
        </is>
      </c>
      <c r="E948" t="inlineStr">
        <is>
          <t>contribution_rate</t>
        </is>
      </c>
      <c r="F948" t="inlineStr">
        <is>
          <t>Contribution before losses per booked dollar</t>
        </is>
      </c>
      <c r="G948" t="n">
        <v>277</v>
      </c>
      <c r="H948" t="n">
        <v>2815673.429999998</v>
      </c>
      <c r="I948" t="b">
        <v>0</v>
      </c>
      <c r="J948" t="b">
        <v>0</v>
      </c>
      <c r="K948" t="n">
        <v>0.02582541062789065</v>
      </c>
      <c r="L948" t="n">
        <v>0.0104989501049895</v>
      </c>
      <c r="M948" t="n">
        <v>0.008539990134191655</v>
      </c>
      <c r="N948" t="n">
        <v>0.4010468518365554</v>
      </c>
      <c r="O948" t="n">
        <v>-72715.92252379126</v>
      </c>
      <c r="P948" t="n">
        <v>-24045.8233133055</v>
      </c>
      <c r="Q948">
        <f>'_live'!$C$24</f>
        <v/>
      </c>
      <c r="R948" t="inlineStr">
        <is>
          <t>shuffled: 13 of 10,000</t>
        </is>
      </c>
      <c r="S948" t="inlineStr">
        <is>
          <t>shuffled: 3,041 of 10,000</t>
        </is>
      </c>
      <c r="T948" t="n">
        <v>0.1693106424903149</v>
      </c>
      <c r="U948" t="n">
        <v>0.1865960629840139</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0.1951360531182056</v>
      </c>
      <c r="AI948">
        <f>IF($Y948="worse","Yes",IF($Y948="worse, not significant","Not sure",IF(OR($Y948="too few losses to test",$Y948="too few loans to test"),"Too few losses",IF($Y948="","","No"))))</f>
        <v/>
      </c>
      <c r="AJ948">
        <f>IF($AA948="yes","Yes",IF($AA948="","","No"))</f>
        <v/>
      </c>
      <c r="AK948" t="n">
        <v>0.002804137975102405</v>
      </c>
      <c r="AL948" t="n">
        <v>0.006018853811017649</v>
      </c>
      <c r="AM948">
        <f>IF(AND(ISNUMBER($AC948),ISNUMBER(IF($V948,IF($AL948="","",$AL948),IF($AK948="","",$AK948)))),IF(AND(ABS($AC948-significance_bar)&lt;=2.0*IF($V948,IF($AL948="","",$AL948),IF($AK948="","",$AK948)),OR($Y948="worse",$Y948="better",$Y948="worse, not significant",$Y948="better, not significant",AND(profit_kind="test",$Y948="in line",ISNUMBER($AB948),$AB948&lt;&gt;0))),IF(ROUND($AC948,3)=ROUND(significance_bar,3),TEXT($AC948,"0.0000"),TEXT($AC948,"0.000")),""),"")</f>
        <v/>
      </c>
      <c r="AN948">
        <f>IF(AND(ISNUMBER($AC948),ISNUMBER(IF($V948,IF($AL948="","",$AL948),IF($AK948="","",$AK948)))),IF(AND(ABS($AC948-significance_bar)&lt;=2.0*IF($V948,IF($AL948="","",$AL948),IF($AK948="","",$AK948)),OR($Y948="worse",$Y948="worse, not significant",AND(profit_kind="test",$Y948="in line",ISNUMBER($AB948),$AB948&lt;0))),IF(ROUND($AC948,3)=ROUND(significance_bar,3),TEXT($AC948,"0.0000"),TEXT($AC948,"0.000")),""),"")</f>
        <v/>
      </c>
      <c r="AO948">
        <f>IF(OR($AI948="",$AN948=""),$AI948,$AI948&amp;" · borderline (p "&amp;$AN948&amp;")")</f>
        <v/>
      </c>
    </row>
    <row r="949">
      <c r="A949" t="inlineStr">
        <is>
          <t>three-way</t>
        </is>
      </c>
      <c r="B949" t="inlineStr">
        <is>
          <t>ORIG_BAL x CHANNEL / SYS_FLAG</t>
        </is>
      </c>
      <c r="C949" t="inlineStr">
        <is>
          <t>49,152 - 59,984</t>
        </is>
      </c>
      <c r="D949" t="inlineStr">
        <is>
          <t>Broker / SYS_FLAG N</t>
        </is>
      </c>
      <c r="E949" t="inlineStr">
        <is>
          <t>outcome_loans</t>
        </is>
      </c>
      <c r="F949" t="inlineStr">
        <is>
          <t>Outcome, share of loans</t>
        </is>
      </c>
      <c r="G949" t="n">
        <v>278</v>
      </c>
      <c r="H949" t="n">
        <v>278</v>
      </c>
      <c r="I949" t="b">
        <v>0</v>
      </c>
      <c r="J949" t="b">
        <v>0</v>
      </c>
      <c r="K949" t="n">
        <v>0.879490407673861</v>
      </c>
      <c r="L949" t="n">
        <v>0.7202191315944685</v>
      </c>
      <c r="M949" t="n">
        <v>1.075625214114423</v>
      </c>
      <c r="N949" t="n">
        <v>0.8987489474994704</v>
      </c>
      <c r="O949" t="n">
        <v>-2.603419246211629</v>
      </c>
      <c r="P949" t="n">
        <v>1.335854765506809</v>
      </c>
      <c r="Q949">
        <f>'_live'!$C$20</f>
        <v/>
      </c>
      <c r="R949" t="inlineStr">
        <is>
          <t>z test</t>
        </is>
      </c>
      <c r="S949" t="inlineStr">
        <is>
          <t>z test</t>
        </is>
      </c>
      <c r="T949" t="n">
        <v>0.07771014117342313</v>
      </c>
      <c r="U949" t="n">
        <v>0.06354009077155824</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0.0683453237410072</v>
      </c>
      <c r="AI949">
        <f>IF($Y949="worse","Yes",IF($Y949="worse, not significant","Not sure",IF(OR($Y949="too few losses to test",$Y949="too few loans to test"),"Too few losses",IF($Y949="","","No"))))</f>
        <v/>
      </c>
      <c r="AJ949">
        <f>IF($AA949="yes","Yes",IF($AA949="","","No"))</f>
        <v/>
      </c>
      <c r="AM949">
        <f>IF(AND(ISNUMBER($AC949),ISNUMBER(IF($V949,IF($AL949="","",$AL949),IF($AK949="","",$AK949)))),IF(AND(ABS($AC949-significance_bar)&lt;=2.0*IF($V949,IF($AL949="","",$AL949),IF($AK949="","",$AK949)),OR($Y949="worse",$Y949="better",$Y949="worse, not significant",$Y949="better, not significant")),IF(ROUND($AC949,3)=ROUND(significance_bar,3),TEXT($AC949,"0.0000"),TEXT($AC949,"0.000")),""),"")</f>
        <v/>
      </c>
      <c r="AN949">
        <f>IF(AND(ISNUMBER($AC949),ISNUMBER(IF($V949,IF($AL949="","",$AL949),IF($AK949="","",$AK949)))),IF(AND(ABS($AC949-significance_bar)&lt;=2.0*IF($V949,IF($AL949="","",$AL949),IF($AK949="","",$AK949)),OR($Y949="worse",$Y949="worse, not significant")),IF(ROUND($AC949,3)=ROUND(significance_bar,3),TEXT($AC949,"0.0000"),TEXT($AC949,"0.000")),""),"")</f>
        <v/>
      </c>
      <c r="AO949">
        <f>IF(OR($AI949="",$AN949=""),$AI949,$AI949&amp;" · borderline (p "&amp;$AN949&amp;")")</f>
        <v/>
      </c>
    </row>
    <row r="950">
      <c r="A950" t="inlineStr">
        <is>
          <t>three-way</t>
        </is>
      </c>
      <c r="B950" t="inlineStr">
        <is>
          <t>ORIG_BAL x CHANNEL / SYS_FLAG</t>
        </is>
      </c>
      <c r="C950" t="inlineStr">
        <is>
          <t>49,152 - 59,984</t>
        </is>
      </c>
      <c r="D950" t="inlineStr">
        <is>
          <t>Broker / SYS_FLAG N</t>
        </is>
      </c>
      <c r="E950" t="inlineStr">
        <is>
          <t>outcome_booked</t>
        </is>
      </c>
      <c r="F950" t="inlineStr">
        <is>
          <t>Outcome, share of booked dollars</t>
        </is>
      </c>
      <c r="G950" t="n">
        <v>278</v>
      </c>
      <c r="H950" t="n">
        <v>15257808.77999999</v>
      </c>
      <c r="I950" t="b">
        <v>0</v>
      </c>
      <c r="J950" t="b">
        <v>0</v>
      </c>
      <c r="K950" t="n">
        <v>0.9162183077654176</v>
      </c>
      <c r="L950" t="n">
        <v>0.8386716883867168</v>
      </c>
      <c r="M950" t="n">
        <v>1.079026362333243</v>
      </c>
      <c r="N950" t="n">
        <v>0.9031250721081737</v>
      </c>
      <c r="O950" t="n">
        <v>-96131.86749534565</v>
      </c>
      <c r="P950" t="n">
        <v>76994.04786402674</v>
      </c>
      <c r="Q950">
        <f>'_live'!$C$21</f>
        <v/>
      </c>
      <c r="R950" t="inlineStr">
        <is>
          <t>shuffled: 7,313 of 10,000</t>
        </is>
      </c>
      <c r="S950" t="inlineStr">
        <is>
          <t>shuffled: 7,363 of 10,000</t>
        </is>
      </c>
      <c r="T950" t="n">
        <v>0.075201427284852</v>
      </c>
      <c r="U950" t="n">
        <v>0.06385471834022906</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0.06890092444847121</v>
      </c>
      <c r="AI950">
        <f>IF($Y950="worse","Yes",IF($Y950="worse, not significant","Not sure",IF(OR($Y950="too few losses to test",$Y950="too few loans to test"),"Too few losses",IF($Y950="","","No"))))</f>
        <v/>
      </c>
      <c r="AJ950">
        <f>IF($AA950="yes","Yes",IF($AA950="","","No"))</f>
        <v/>
      </c>
      <c r="AK950" t="n">
        <v>0.004078766993467312</v>
      </c>
      <c r="AL950" t="n">
        <v>0.003961834620863371</v>
      </c>
      <c r="AM950">
        <f>IF(AND(ISNUMBER($AC950),ISNUMBER(IF($V950,IF($AL950="","",$AL950),IF($AK950="","",$AK950)))),IF(AND(ABS($AC950-significance_bar)&lt;=2.0*IF($V950,IF($AL950="","",$AL950),IF($AK950="","",$AK950)),OR($Y950="worse",$Y950="better",$Y950="worse, not significant",$Y950="better, not significant")),IF(ROUND($AC950,3)=ROUND(significance_bar,3),TEXT($AC950,"0.0000"),TEXT($AC950,"0.000")),""),"")</f>
        <v/>
      </c>
      <c r="AN950">
        <f>IF(AND(ISNUMBER($AC950),ISNUMBER(IF($V950,IF($AL950="","",$AL950),IF($AK950="","",$AK950)))),IF(AND(ABS($AC950-significance_bar)&lt;=2.0*IF($V950,IF($AL950="","",$AL950),IF($AK950="","",$AK950)),OR($Y950="worse",$Y950="worse, not significant")),IF(ROUND($AC950,3)=ROUND(significance_bar,3),TEXT($AC950,"0.0000"),TEXT($AC950,"0.000")),""),"")</f>
        <v/>
      </c>
      <c r="AO950">
        <f>IF(OR($AI950="",$AN950=""),$AI950,$AI950&amp;" · borderline (p "&amp;$AN950&amp;")")</f>
        <v/>
      </c>
    </row>
    <row r="951">
      <c r="A951" t="inlineStr">
        <is>
          <t>three-way</t>
        </is>
      </c>
      <c r="B951" t="inlineStr">
        <is>
          <t>ORIG_BAL x CHANNEL / SYS_FLAG</t>
        </is>
      </c>
      <c r="C951" t="inlineStr">
        <is>
          <t>49,152 - 59,984</t>
        </is>
      </c>
      <c r="D951" t="inlineStr">
        <is>
          <t>Broker / SYS_FLAG N</t>
        </is>
      </c>
      <c r="E951" t="inlineStr">
        <is>
          <t>gco_rate</t>
        </is>
      </c>
      <c r="F951" t="inlineStr">
        <is>
          <t>GCO per booked dollar</t>
        </is>
      </c>
      <c r="G951" t="n">
        <v>278</v>
      </c>
      <c r="H951" t="n">
        <v>15257808.77999999</v>
      </c>
      <c r="I951" t="b">
        <v>0</v>
      </c>
      <c r="J951" t="b">
        <v>0</v>
      </c>
      <c r="K951" t="n">
        <v>1.004934833846254</v>
      </c>
      <c r="L951" t="n">
        <v>0.9822017798220178</v>
      </c>
      <c r="M951" t="n">
        <v>1.221055209985458</v>
      </c>
      <c r="N951" t="n">
        <v>0.6811554138703777</v>
      </c>
      <c r="O951" t="n">
        <v>3131.744234612677</v>
      </c>
      <c r="P951" t="n">
        <v>115456.1592722495</v>
      </c>
      <c r="Q951">
        <f>'_live'!$C$22</f>
        <v/>
      </c>
      <c r="R951" t="inlineStr">
        <is>
          <t>shuffled: 9,822 of 10,000</t>
        </is>
      </c>
      <c r="S951" t="inlineStr">
        <is>
          <t>shuffled: 4,135 of 10,000</t>
        </is>
      </c>
      <c r="T951" t="n">
        <v>0.04159312814283334</v>
      </c>
      <c r="U951" t="n">
        <v>0.03423136233116108</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0.04179838331936418</v>
      </c>
      <c r="AI951">
        <f>IF($Y951="worse","Yes",IF($Y951="worse, not significant","Not sure",IF(OR($Y951="too few losses to test",$Y951="too few loans to test"),"Too few losses",IF($Y951="","","No"))))</f>
        <v/>
      </c>
      <c r="AJ951">
        <f>IF($AA951="yes","Yes",IF($AA951="","","No"))</f>
        <v/>
      </c>
      <c r="AK951" t="n">
        <v>0.001322174101110676</v>
      </c>
      <c r="AL951" t="n">
        <v>0.008111290506233323</v>
      </c>
      <c r="AM951">
        <f>IF(AND(ISNUMBER($AC951),ISNUMBER(IF($V951,IF($AL951="","",$AL951),IF($AK951="","",$AK951)))),IF(AND(ABS($AC951-significance_bar)&lt;=2.0*IF($V951,IF($AL951="","",$AL951),IF($AK951="","",$AK951)),OR($Y951="worse",$Y951="better",$Y951="worse, not significant",$Y951="better, not significant")),IF(ROUND($AC951,3)=ROUND(significance_bar,3),TEXT($AC951,"0.0000"),TEXT($AC951,"0.000")),""),"")</f>
        <v/>
      </c>
      <c r="AN951">
        <f>IF(AND(ISNUMBER($AC951),ISNUMBER(IF($V951,IF($AL951="","",$AL951),IF($AK951="","",$AK951)))),IF(AND(ABS($AC951-significance_bar)&lt;=2.0*IF($V951,IF($AL951="","",$AL951),IF($AK951="","",$AK951)),OR($Y951="worse",$Y951="worse, not significant")),IF(ROUND($AC951,3)=ROUND(significance_bar,3),TEXT($AC951,"0.0000"),TEXT($AC951,"0.000")),""),"")</f>
        <v/>
      </c>
      <c r="AO951">
        <f>IF(OR($AI951="",$AN951=""),$AI951,$AI951&amp;" · borderline (p "&amp;$AN951&amp;")")</f>
        <v/>
      </c>
    </row>
    <row r="952">
      <c r="A952" t="inlineStr">
        <is>
          <t>three-way</t>
        </is>
      </c>
      <c r="B952" t="inlineStr">
        <is>
          <t>ORIG_BAL x CHANNEL / SYS_FLAG</t>
        </is>
      </c>
      <c r="C952" t="inlineStr">
        <is>
          <t>49,152 - 59,984</t>
        </is>
      </c>
      <c r="D952" t="inlineStr">
        <is>
          <t>Broker / SYS_FLAG N</t>
        </is>
      </c>
      <c r="E952" t="inlineStr">
        <is>
          <t>ranr_rate</t>
        </is>
      </c>
      <c r="F952" t="inlineStr">
        <is>
          <t>Profit after losses: RANR per booked dollar</t>
        </is>
      </c>
      <c r="G952" t="n">
        <v>278</v>
      </c>
      <c r="H952" t="n">
        <v>15257808.77999999</v>
      </c>
      <c r="I952" t="b">
        <v>0</v>
      </c>
      <c r="J952" t="b">
        <v>0</v>
      </c>
      <c r="K952" t="n">
        <v>-0.01100980561407429</v>
      </c>
      <c r="L952" t="n">
        <v>0.6242533641372705</v>
      </c>
      <c r="M952" t="n">
        <v>-0.01549942552228785</v>
      </c>
      <c r="N952" t="n">
        <v>0.288147655822653</v>
      </c>
      <c r="O952" t="n">
        <v>167985.5087645159</v>
      </c>
      <c r="P952" t="n">
        <v>236487.2708189194</v>
      </c>
      <c r="Q952">
        <f>'_live'!$C$23</f>
        <v/>
      </c>
      <c r="R952" t="inlineStr">
        <is>
          <t>shuffled: 3,845 of 10,000</t>
        </is>
      </c>
      <c r="S952" t="inlineStr">
        <is>
          <t>shuffled: 1,632 of 10,000</t>
        </is>
      </c>
      <c r="T952" t="n">
        <v>0.1286409835819503</v>
      </c>
      <c r="U952" t="n">
        <v>0.1331306034901638</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0.117631177967876</v>
      </c>
      <c r="AI952">
        <f>IF($Y952="worse","Yes",IF($Y952="worse, not significant","Not sure",IF(OR($Y952="too few losses to test",$Y952="too few loans to test"),"Too few losses",IF($Y952="","","No"))))</f>
        <v/>
      </c>
      <c r="AJ952">
        <f>IF($AA952="yes","Yes",IF($AA952="","","No"))</f>
        <v/>
      </c>
      <c r="AK952" t="n">
        <v>0.007719915439276733</v>
      </c>
      <c r="AL952" t="n">
        <v>0.006522781551304292</v>
      </c>
      <c r="AM952">
        <f>IF(AND(ISNUMBER($AC952),ISNUMBER(IF($V952,IF($AL952="","",$AL952),IF($AK952="","",$AK952)))),IF(AND(ABS($AC952-significance_bar)&lt;=2.0*IF($V952,IF($AL952="","",$AL952),IF($AK952="","",$AK952)),OR($Y952="worse",$Y952="better",$Y952="worse, not significant",$Y952="better, not significant",AND(profit_kind="test",$Y952="in line",ISNUMBER($AB952),$AB952&lt;&gt;0))),IF(ROUND($AC952,3)=ROUND(significance_bar,3),TEXT($AC952,"0.0000"),TEXT($AC952,"0.000")),""),"")</f>
        <v/>
      </c>
      <c r="AN952">
        <f>IF(AND(ISNUMBER($AC952),ISNUMBER(IF($V952,IF($AL952="","",$AL952),IF($AK952="","",$AK952)))),IF(AND(ABS($AC952-significance_bar)&lt;=2.0*IF($V952,IF($AL952="","",$AL952),IF($AK952="","",$AK952)),OR($Y952="worse",$Y952="worse, not significant",AND(profit_kind="test",$Y952="in line",ISNUMBER($AB952),$AB952&lt;0))),IF(ROUND($AC952,3)=ROUND(significance_bar,3),TEXT($AC952,"0.0000"),TEXT($AC952,"0.000")),""),"")</f>
        <v/>
      </c>
      <c r="AO952">
        <f>IF(OR($AI952="",$AN952=""),$AI952,$AI952&amp;" · borderline (p "&amp;$AN952&amp;")")</f>
        <v/>
      </c>
    </row>
    <row r="953">
      <c r="A953" t="inlineStr">
        <is>
          <t>three-way</t>
        </is>
      </c>
      <c r="B953" t="inlineStr">
        <is>
          <t>ORIG_BAL x CHANNEL / SYS_FLAG</t>
        </is>
      </c>
      <c r="C953" t="inlineStr">
        <is>
          <t>49,152 - 59,984</t>
        </is>
      </c>
      <c r="D953" t="inlineStr">
        <is>
          <t>Broker / SYS_FLAG N</t>
        </is>
      </c>
      <c r="E953" t="inlineStr">
        <is>
          <t>contribution_rate</t>
        </is>
      </c>
      <c r="F953" t="inlineStr">
        <is>
          <t>Contribution before losses per booked dollar</t>
        </is>
      </c>
      <c r="G953" t="n">
        <v>278</v>
      </c>
      <c r="H953" t="n">
        <v>15257808.77999999</v>
      </c>
      <c r="I953" t="b">
        <v>0</v>
      </c>
      <c r="J953" t="b">
        <v>0</v>
      </c>
      <c r="K953" t="n">
        <v>-0.01080161789605241</v>
      </c>
      <c r="L953" t="n">
        <v>0.3228624505970455</v>
      </c>
      <c r="M953" t="n">
        <v>-0.007932404534084697</v>
      </c>
      <c r="N953" t="n">
        <v>0.4010468518365554</v>
      </c>
      <c r="O953" t="n">
        <v>164809.0203725938</v>
      </c>
      <c r="P953" t="n">
        <v>121031.1115466692</v>
      </c>
      <c r="Q953">
        <f>'_live'!$C$24</f>
        <v/>
      </c>
      <c r="R953" t="inlineStr">
        <is>
          <t>shuffled: 1,864 of 10,000</t>
        </is>
      </c>
      <c r="S953" t="inlineStr">
        <is>
          <t>shuffled: 3,074 of 10,000</t>
        </is>
      </c>
      <c r="T953" t="n">
        <v>0.1702311791832926</v>
      </c>
      <c r="U953" t="n">
        <v>0.1673619658213249</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0.1594295612872402</v>
      </c>
      <c r="AI953">
        <f>IF($Y953="worse","Yes",IF($Y953="worse, not significant","Not sure",IF(OR($Y953="too few losses to test",$Y953="too few loans to test"),"Too few losses",IF($Y953="","","No"))))</f>
        <v/>
      </c>
      <c r="AJ953">
        <f>IF($AA953="yes","Yes",IF($AA953="","","No"))</f>
        <v/>
      </c>
      <c r="AK953" t="n">
        <v>0.00636822310167167</v>
      </c>
      <c r="AL953" t="n">
        <v>0.006018853811017649</v>
      </c>
      <c r="AM953">
        <f>IF(AND(ISNUMBER($AC953),ISNUMBER(IF($V953,IF($AL953="","",$AL953),IF($AK953="","",$AK953)))),IF(AND(ABS($AC953-significance_bar)&lt;=2.0*IF($V953,IF($AL953="","",$AL953),IF($AK953="","",$AK953)),OR($Y953="worse",$Y953="better",$Y953="worse, not significant",$Y953="better, not significant",AND(profit_kind="test",$Y953="in line",ISNUMBER($AB953),$AB953&lt;&gt;0))),IF(ROUND($AC953,3)=ROUND(significance_bar,3),TEXT($AC953,"0.0000"),TEXT($AC953,"0.000")),""),"")</f>
        <v/>
      </c>
      <c r="AN953">
        <f>IF(AND(ISNUMBER($AC953),ISNUMBER(IF($V953,IF($AL953="","",$AL953),IF($AK953="","",$AK953)))),IF(AND(ABS($AC953-significance_bar)&lt;=2.0*IF($V953,IF($AL953="","",$AL953),IF($AK953="","",$AK953)),OR($Y953="worse",$Y953="worse, not significant",AND(profit_kind="test",$Y953="in line",ISNUMBER($AB953),$AB953&lt;0))),IF(ROUND($AC953,3)=ROUND(significance_bar,3),TEXT($AC953,"0.0000"),TEXT($AC953,"0.000")),""),"")</f>
        <v/>
      </c>
      <c r="AO953">
        <f>IF(OR($AI953="",$AN953=""),$AI953,$AI953&amp;" · borderline (p "&amp;$AN953&amp;")")</f>
        <v/>
      </c>
    </row>
    <row r="954">
      <c r="A954" t="inlineStr">
        <is>
          <t>three-way</t>
        </is>
      </c>
      <c r="B954" t="inlineStr">
        <is>
          <t>ORIG_BAL x CHANNEL / SYS_FLAG</t>
        </is>
      </c>
      <c r="C954" t="inlineStr">
        <is>
          <t>49,152 - 59,984</t>
        </is>
      </c>
      <c r="D954" t="inlineStr">
        <is>
          <t>Broker / SYS_FLAG Y</t>
        </is>
      </c>
      <c r="E954" t="inlineStr">
        <is>
          <t>outcome_loans</t>
        </is>
      </c>
      <c r="F954" t="inlineStr">
        <is>
          <t>Outcome, share of loans</t>
        </is>
      </c>
      <c r="G954" t="n">
        <v>242</v>
      </c>
      <c r="H954" t="n">
        <v>242</v>
      </c>
      <c r="I954" t="b">
        <v>0</v>
      </c>
      <c r="J954" t="b">
        <v>0</v>
      </c>
      <c r="K954" t="n">
        <v>1.349062247822578</v>
      </c>
      <c r="L954" t="n">
        <v>0.3206074867052393</v>
      </c>
      <c r="M954" t="n">
        <v>1.798580207671117</v>
      </c>
      <c r="N954" t="n">
        <v>0.04140607832879168</v>
      </c>
      <c r="O954" t="n">
        <v>6.468608998324093</v>
      </c>
      <c r="P954" t="n">
        <v>11.10014727540501</v>
      </c>
      <c r="Q954">
        <f>'_live'!$C$20</f>
        <v/>
      </c>
      <c r="R954" t="inlineStr">
        <is>
          <t>z test</t>
        </is>
      </c>
      <c r="S954" t="inlineStr">
        <is>
          <t>z test</t>
        </is>
      </c>
      <c r="T954" t="n">
        <v>0.07657599587469383</v>
      </c>
      <c r="U954" t="n">
        <v>0.05743740795287187</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0.1033057851239669</v>
      </c>
      <c r="AI954">
        <f>IF($Y954="worse","Yes",IF($Y954="worse, not significant","Not sure",IF(OR($Y954="too few losses to test",$Y954="too few loans to test"),"Too few losses",IF($Y954="","","No"))))</f>
        <v/>
      </c>
      <c r="AJ954">
        <f>IF($AA954="yes","Yes",IF($AA954="","","No"))</f>
        <v/>
      </c>
      <c r="AM954">
        <f>IF(AND(ISNUMBER($AC954),ISNUMBER(IF($V954,IF($AL954="","",$AL954),IF($AK954="","",$AK954)))),IF(AND(ABS($AC954-significance_bar)&lt;=2.0*IF($V954,IF($AL954="","",$AL954),IF($AK954="","",$AK954)),OR($Y954="worse",$Y954="better",$Y954="worse, not significant",$Y954="better, not significant")),IF(ROUND($AC954,3)=ROUND(significance_bar,3),TEXT($AC954,"0.0000"),TEXT($AC954,"0.000")),""),"")</f>
        <v/>
      </c>
      <c r="AN954">
        <f>IF(AND(ISNUMBER($AC954),ISNUMBER(IF($V954,IF($AL954="","",$AL954),IF($AK954="","",$AK954)))),IF(AND(ABS($AC954-significance_bar)&lt;=2.0*IF($V954,IF($AL954="","",$AL954),IF($AK954="","",$AK954)),OR($Y954="worse",$Y954="worse, not significant")),IF(ROUND($AC954,3)=ROUND(significance_bar,3),TEXT($AC954,"0.0000"),TEXT($AC954,"0.000")),""),"")</f>
        <v/>
      </c>
      <c r="AO954">
        <f>IF(OR($AI954="",$AN954=""),$AI954,$AI954&amp;" · borderline (p "&amp;$AN954&amp;")")</f>
        <v/>
      </c>
    </row>
    <row r="955">
      <c r="A955" t="inlineStr">
        <is>
          <t>three-way</t>
        </is>
      </c>
      <c r="B955" t="inlineStr">
        <is>
          <t>ORIG_BAL x CHANNEL / SYS_FLAG</t>
        </is>
      </c>
      <c r="C955" t="inlineStr">
        <is>
          <t>49,152 - 59,984</t>
        </is>
      </c>
      <c r="D955" t="inlineStr">
        <is>
          <t>Broker / SYS_FLAG Y</t>
        </is>
      </c>
      <c r="E955" t="inlineStr">
        <is>
          <t>outcome_booked</t>
        </is>
      </c>
      <c r="F955" t="inlineStr">
        <is>
          <t>Outcome, share of booked dollars</t>
        </is>
      </c>
      <c r="G955" t="n">
        <v>242</v>
      </c>
      <c r="H955" t="n">
        <v>13240059.31</v>
      </c>
      <c r="I955" t="b">
        <v>0</v>
      </c>
      <c r="J955" t="b">
        <v>0</v>
      </c>
      <c r="K955" t="n">
        <v>1.425770584108355</v>
      </c>
      <c r="L955" t="n">
        <v>0.362963703629637</v>
      </c>
      <c r="M955" t="n">
        <v>1.811065135173555</v>
      </c>
      <c r="N955" t="n">
        <v>0.0517948205179482</v>
      </c>
      <c r="O955" t="n">
        <v>412808.7217430359</v>
      </c>
      <c r="P955" t="n">
        <v>619076.793239744</v>
      </c>
      <c r="Q955">
        <f>'_live'!$C$21</f>
        <v/>
      </c>
      <c r="R955" t="inlineStr">
        <is>
          <t>shuffled: 981 of 10,000</t>
        </is>
      </c>
      <c r="S955" t="inlineStr">
        <is>
          <t>shuffled: 84 of 10,000</t>
        </is>
      </c>
      <c r="T955" t="n">
        <v>0.07322902983709999</v>
      </c>
      <c r="U955" t="n">
        <v>0.05764994014669979</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0.1044077966445302</v>
      </c>
      <c r="AI955">
        <f>IF($Y955="worse","Yes",IF($Y955="worse, not significant","Not sure",IF(OR($Y955="too few losses to test",$Y955="too few loans to test"),"Too few losses",IF($Y955="","","No"))))</f>
        <v/>
      </c>
      <c r="AJ955">
        <f>IF($AA955="yes","Yes",IF($AA955="","","No"))</f>
        <v/>
      </c>
      <c r="AK955" t="n">
        <v>0.007708338064114283</v>
      </c>
      <c r="AL955" t="n">
        <v>0.004889033227383561</v>
      </c>
      <c r="AM955">
        <f>IF(AND(ISNUMBER($AC955),ISNUMBER(IF($V955,IF($AL955="","",$AL955),IF($AK955="","",$AK955)))),IF(AND(ABS($AC955-significance_bar)&lt;=2.0*IF($V955,IF($AL955="","",$AL955),IF($AK955="","",$AK955)),OR($Y955="worse",$Y955="better",$Y955="worse, not significant",$Y955="better, not significant")),IF(ROUND($AC955,3)=ROUND(significance_bar,3),TEXT($AC955,"0.0000"),TEXT($AC955,"0.000")),""),"")</f>
        <v/>
      </c>
      <c r="AN955">
        <f>IF(AND(ISNUMBER($AC955),ISNUMBER(IF($V955,IF($AL955="","",$AL955),IF($AK955="","",$AK955)))),IF(AND(ABS($AC955-significance_bar)&lt;=2.0*IF($V955,IF($AL955="","",$AL955),IF($AK955="","",$AK955)),OR($Y955="worse",$Y955="worse, not significant")),IF(ROUND($AC955,3)=ROUND(significance_bar,3),TEXT($AC955,"0.0000"),TEXT($AC955,"0.000")),""),"")</f>
        <v/>
      </c>
      <c r="AO955">
        <f>IF(OR($AI955="",$AN955=""),$AI955,$AI955&amp;" · borderline (p "&amp;$AN955&amp;")")</f>
        <v/>
      </c>
    </row>
    <row r="956">
      <c r="A956" t="inlineStr">
        <is>
          <t>three-way</t>
        </is>
      </c>
      <c r="B956" t="inlineStr">
        <is>
          <t>ORIG_BAL x CHANNEL / SYS_FLAG</t>
        </is>
      </c>
      <c r="C956" t="inlineStr">
        <is>
          <t>49,152 - 59,984</t>
        </is>
      </c>
      <c r="D956" t="inlineStr">
        <is>
          <t>Broker / SYS_FLAG Y</t>
        </is>
      </c>
      <c r="E956" t="inlineStr">
        <is>
          <t>gco_rate</t>
        </is>
      </c>
      <c r="F956" t="inlineStr">
        <is>
          <t>GCO per booked dollar</t>
        </is>
      </c>
      <c r="G956" t="n">
        <v>242</v>
      </c>
      <c r="H956" t="n">
        <v>13240059.31</v>
      </c>
      <c r="I956" t="b">
        <v>0</v>
      </c>
      <c r="J956" t="b">
        <v>0</v>
      </c>
      <c r="K956" t="n">
        <v>1.414276461214045</v>
      </c>
      <c r="L956" t="n">
        <v>0.3605417236054172</v>
      </c>
      <c r="M956" t="n">
        <v>1.822620145550827</v>
      </c>
      <c r="N956" t="n">
        <v>0.05459454054594541</v>
      </c>
      <c r="O956" t="n">
        <v>223456.6213023548</v>
      </c>
      <c r="P956" t="n">
        <v>344302.7234013809</v>
      </c>
      <c r="Q956">
        <f>'_live'!$C$22</f>
        <v/>
      </c>
      <c r="R956" t="inlineStr">
        <is>
          <t>shuffled: 1,158 of 10,000</t>
        </is>
      </c>
      <c r="S956" t="inlineStr">
        <is>
          <t>shuffled: 77 of 10,000</t>
        </is>
      </c>
      <c r="T956" t="n">
        <v>0.04073925094053411</v>
      </c>
      <c r="U956" t="n">
        <v>0.03161194272615527</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0.05761656365268954</v>
      </c>
      <c r="AI956">
        <f>IF($Y956="worse","Yes",IF($Y956="worse, not significant","Not sure",IF(OR($Y956="too few losses to test",$Y956="too few loans to test"),"Too few losses",IF($Y956="","","No"))))</f>
        <v/>
      </c>
      <c r="AJ956">
        <f>IF($AA956="yes","Yes",IF($AA956="","","No"))</f>
        <v/>
      </c>
      <c r="AK956" t="n">
        <v>0.009958388563756686</v>
      </c>
      <c r="AL956" t="n">
        <v>0.00615776923864637</v>
      </c>
      <c r="AM956">
        <f>IF(AND(ISNUMBER($AC956),ISNUMBER(IF($V956,IF($AL956="","",$AL956),IF($AK956="","",$AK956)))),IF(AND(ABS($AC956-significance_bar)&lt;=2.0*IF($V956,IF($AL956="","",$AL956),IF($AK956="","",$AK956)),OR($Y956="worse",$Y956="better",$Y956="worse, not significant",$Y956="better, not significant")),IF(ROUND($AC956,3)=ROUND(significance_bar,3),TEXT($AC956,"0.0000"),TEXT($AC956,"0.000")),""),"")</f>
        <v/>
      </c>
      <c r="AN956">
        <f>IF(AND(ISNUMBER($AC956),ISNUMBER(IF($V956,IF($AL956="","",$AL956),IF($AK956="","",$AK956)))),IF(AND(ABS($AC956-significance_bar)&lt;=2.0*IF($V956,IF($AL956="","",$AL956),IF($AK956="","",$AK956)),OR($Y956="worse",$Y956="worse, not significant")),IF(ROUND($AC956,3)=ROUND(significance_bar,3),TEXT($AC956,"0.0000"),TEXT($AC956,"0.000")),""),"")</f>
        <v/>
      </c>
      <c r="AO956">
        <f>IF(OR($AI956="",$AN956=""),$AI956,$AI956&amp;" · borderline (p "&amp;$AN956&amp;")")</f>
        <v/>
      </c>
    </row>
    <row r="957">
      <c r="A957" t="inlineStr">
        <is>
          <t>three-way</t>
        </is>
      </c>
      <c r="B957" t="inlineStr">
        <is>
          <t>ORIG_BAL x CHANNEL / SYS_FLAG</t>
        </is>
      </c>
      <c r="C957" t="inlineStr">
        <is>
          <t>49,152 - 59,984</t>
        </is>
      </c>
      <c r="D957" t="inlineStr">
        <is>
          <t>Broker / SYS_FLAG Y</t>
        </is>
      </c>
      <c r="E957" t="inlineStr">
        <is>
          <t>ranr_rate</t>
        </is>
      </c>
      <c r="F957" t="inlineStr">
        <is>
          <t>Profit after losses: RANR per booked dollar</t>
        </is>
      </c>
      <c r="G957" t="n">
        <v>242</v>
      </c>
      <c r="H957" t="n">
        <v>13240059.31</v>
      </c>
      <c r="I957" t="b">
        <v>0</v>
      </c>
      <c r="J957" t="b">
        <v>0</v>
      </c>
      <c r="K957" t="n">
        <v>-0.02942383438543114</v>
      </c>
      <c r="L957" t="n">
        <v>0.078658800786588</v>
      </c>
      <c r="M957" t="n">
        <v>-0.03576860337935639</v>
      </c>
      <c r="N957" t="n">
        <v>0.02399760023997601</v>
      </c>
      <c r="O957" t="n">
        <v>389573.3123907258</v>
      </c>
      <c r="P957" t="n">
        <v>473578.4301785452</v>
      </c>
      <c r="Q957">
        <f>'_live'!$C$23</f>
        <v/>
      </c>
      <c r="R957" t="inlineStr">
        <is>
          <t>shuffled: 235 of 10,000</t>
        </is>
      </c>
      <c r="S957" t="inlineStr">
        <is>
          <t>shuffled: 31 of 10,000</t>
        </is>
      </c>
      <c r="T957" t="n">
        <v>0.1294996232453225</v>
      </c>
      <c r="U957" t="n">
        <v>0.1358443922392478</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0.1000757888598914</v>
      </c>
      <c r="AI957">
        <f>IF($Y957="worse","Yes",IF($Y957="worse, not significant","Not sure",IF(OR($Y957="too few losses to test",$Y957="too few loans to test"),"Too few losses",IF($Y957="","","No"))))</f>
        <v/>
      </c>
      <c r="AJ957">
        <f>IF($AA957="yes","Yes",IF($AA957="","","No"))</f>
        <v/>
      </c>
      <c r="AK957" t="n">
        <v>0.005059731175475392</v>
      </c>
      <c r="AL957" t="n">
        <v>0.004235635926074646</v>
      </c>
      <c r="AM957">
        <f>IF(AND(ISNUMBER($AC957),ISNUMBER(IF($V957,IF($AL957="","",$AL957),IF($AK957="","",$AK957)))),IF(AND(ABS($AC957-significance_bar)&lt;=2.0*IF($V957,IF($AL957="","",$AL957),IF($AK957="","",$AK957)),OR($Y957="worse",$Y957="better",$Y957="worse, not significant",$Y957="better, not significant",AND(profit_kind="test",$Y957="in line",ISNUMBER($AB957),$AB957&lt;&gt;0))),IF(ROUND($AC957,3)=ROUND(significance_bar,3),TEXT($AC957,"0.0000"),TEXT($AC957,"0.000")),""),"")</f>
        <v/>
      </c>
      <c r="AN957">
        <f>IF(AND(ISNUMBER($AC957),ISNUMBER(IF($V957,IF($AL957="","",$AL957),IF($AK957="","",$AK957)))),IF(AND(ABS($AC957-significance_bar)&lt;=2.0*IF($V957,IF($AL957="","",$AL957),IF($AK957="","",$AK957)),OR($Y957="worse",$Y957="worse, not significant",AND(profit_kind="test",$Y957="in line",ISNUMBER($AB957),$AB957&lt;0))),IF(ROUND($AC957,3)=ROUND(significance_bar,3),TEXT($AC957,"0.0000"),TEXT($AC957,"0.000")),""),"")</f>
        <v/>
      </c>
      <c r="AO957">
        <f>IF(OR($AI957="",$AN957=""),$AI957,$AI957&amp;" · borderline (p "&amp;$AN957&amp;")")</f>
        <v/>
      </c>
    </row>
    <row r="958">
      <c r="A958" t="inlineStr">
        <is>
          <t>three-way</t>
        </is>
      </c>
      <c r="B958" t="inlineStr">
        <is>
          <t>ORIG_BAL x CHANNEL / SYS_FLAG</t>
        </is>
      </c>
      <c r="C958" t="inlineStr">
        <is>
          <t>49,152 - 59,984</t>
        </is>
      </c>
      <c r="D958" t="inlineStr">
        <is>
          <t>Broker / SYS_FLAG Y</t>
        </is>
      </c>
      <c r="E958" t="inlineStr">
        <is>
          <t>contribution_rate</t>
        </is>
      </c>
      <c r="F958" t="inlineStr">
        <is>
          <t>Contribution before losses per booked dollar</t>
        </is>
      </c>
      <c r="G958" t="n">
        <v>242</v>
      </c>
      <c r="H958" t="n">
        <v>13240059.31</v>
      </c>
      <c r="I958" t="b">
        <v>0</v>
      </c>
      <c r="J958" t="b">
        <v>0</v>
      </c>
      <c r="K958" t="n">
        <v>-0.0125437525043558</v>
      </c>
      <c r="L958" t="n">
        <v>0.3029697030296971</v>
      </c>
      <c r="M958" t="n">
        <v>-0.009763982452822173</v>
      </c>
      <c r="N958" t="n">
        <v>0.3970655566022345</v>
      </c>
      <c r="O958" t="n">
        <v>166080.0271276319</v>
      </c>
      <c r="P958" t="n">
        <v>129275.7067771652</v>
      </c>
      <c r="Q958">
        <f>'_live'!$C$24</f>
        <v/>
      </c>
      <c r="R958" t="inlineStr">
        <is>
          <t>shuffled: 1,413 of 10,000</t>
        </is>
      </c>
      <c r="S958" t="inlineStr">
        <is>
          <t>shuffled: 2,414 of 10,000</t>
        </is>
      </c>
      <c r="T958" t="n">
        <v>0.1702361050169367</v>
      </c>
      <c r="U958" t="n">
        <v>0.1674563349654031</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0.1576923525125809</v>
      </c>
      <c r="AI958">
        <f>IF($Y958="worse","Yes",IF($Y958="worse, not significant","Not sure",IF(OR($Y958="too few losses to test",$Y958="too few loans to test"),"Too few losses",IF($Y958="","","No"))))</f>
        <v/>
      </c>
      <c r="AJ958">
        <f>IF($AA958="yes","Yes",IF($AA958="","","No"))</f>
        <v/>
      </c>
      <c r="AK958" t="n">
        <v>0.007466124505073506</v>
      </c>
      <c r="AL958" t="n">
        <v>0.0068504347267009</v>
      </c>
      <c r="AM958">
        <f>IF(AND(ISNUMBER($AC958),ISNUMBER(IF($V958,IF($AL958="","",$AL958),IF($AK958="","",$AK958)))),IF(AND(ABS($AC958-significance_bar)&lt;=2.0*IF($V958,IF($AL958="","",$AL958),IF($AK958="","",$AK958)),OR($Y958="worse",$Y958="better",$Y958="worse, not significant",$Y958="better, not significant",AND(profit_kind="test",$Y958="in line",ISNUMBER($AB958),$AB958&lt;&gt;0))),IF(ROUND($AC958,3)=ROUND(significance_bar,3),TEXT($AC958,"0.0000"),TEXT($AC958,"0.000")),""),"")</f>
        <v/>
      </c>
      <c r="AN958">
        <f>IF(AND(ISNUMBER($AC958),ISNUMBER(IF($V958,IF($AL958="","",$AL958),IF($AK958="","",$AK958)))),IF(AND(ABS($AC958-significance_bar)&lt;=2.0*IF($V958,IF($AL958="","",$AL958),IF($AK958="","",$AK958)),OR($Y958="worse",$Y958="worse, not significant",AND(profit_kind="test",$Y958="in line",ISNUMBER($AB958),$AB958&lt;0))),IF(ROUND($AC958,3)=ROUND(significance_bar,3),TEXT($AC958,"0.0000"),TEXT($AC958,"0.000")),""),"")</f>
        <v/>
      </c>
      <c r="AO958">
        <f>IF(OR($AI958="",$AN958=""),$AI958,$AI958&amp;" · borderline (p "&amp;$AN958&amp;")")</f>
        <v/>
      </c>
    </row>
    <row r="959">
      <c r="A959" t="inlineStr">
        <is>
          <t>three-way</t>
        </is>
      </c>
      <c r="B959" t="inlineStr">
        <is>
          <t>ORIG_BAL x CHANNEL / SYS_FLAG</t>
        </is>
      </c>
      <c r="C959" t="inlineStr">
        <is>
          <t>15,449 - 26,323</t>
        </is>
      </c>
      <c r="D959" t="inlineStr">
        <is>
          <t>Branch / SYS_FLAG N</t>
        </is>
      </c>
      <c r="E959" t="inlineStr">
        <is>
          <t>outcome_loans</t>
        </is>
      </c>
      <c r="F959" t="inlineStr">
        <is>
          <t>Outcome, share of loans</t>
        </is>
      </c>
      <c r="G959" t="n">
        <v>274</v>
      </c>
      <c r="H959" t="n">
        <v>274</v>
      </c>
      <c r="I959" t="b">
        <v>0</v>
      </c>
      <c r="J959" t="b">
        <v>0</v>
      </c>
      <c r="K959" t="n">
        <v>0.9413499384619133</v>
      </c>
      <c r="L959" t="n">
        <v>0.8757111270041525</v>
      </c>
      <c r="M959" t="n">
        <v>0.750297063316924</v>
      </c>
      <c r="N959" t="n">
        <v>0.3636421316566587</v>
      </c>
      <c r="O959" t="n">
        <v>-1.246084142394825</v>
      </c>
      <c r="P959" t="n">
        <v>-6.656108597285069</v>
      </c>
      <c r="Q959">
        <f>'_live'!$C$20</f>
        <v/>
      </c>
      <c r="R959" t="inlineStr">
        <is>
          <t>z test</t>
        </is>
      </c>
      <c r="S959" t="inlineStr">
        <is>
          <t>z test</t>
        </is>
      </c>
      <c r="T959" t="n">
        <v>0.07754045307443366</v>
      </c>
      <c r="U959" t="n">
        <v>0.09728506787330317</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0.072992700729927</v>
      </c>
      <c r="AI959">
        <f>IF($Y959="worse","Yes",IF($Y959="worse, not significant","Not sure",IF(OR($Y959="too few losses to test",$Y959="too few loans to test"),"Too few losses",IF($Y959="","","No"))))</f>
        <v/>
      </c>
      <c r="AJ959">
        <f>IF($AA959="yes","Yes",IF($AA959="","","No"))</f>
        <v/>
      </c>
      <c r="AM959">
        <f>IF(AND(ISNUMBER($AC959),ISNUMBER(IF($V959,IF($AL959="","",$AL959),IF($AK959="","",$AK959)))),IF(AND(ABS($AC959-significance_bar)&lt;=2.0*IF($V959,IF($AL959="","",$AL959),IF($AK959="","",$AK959)),OR($Y959="worse",$Y959="better",$Y959="worse, not significant",$Y959="better, not significant")),IF(ROUND($AC959,3)=ROUND(significance_bar,3),TEXT($AC959,"0.0000"),TEXT($AC959,"0.000")),""),"")</f>
        <v/>
      </c>
      <c r="AN959">
        <f>IF(AND(ISNUMBER($AC959),ISNUMBER(IF($V959,IF($AL959="","",$AL959),IF($AK959="","",$AK959)))),IF(AND(ABS($AC959-significance_bar)&lt;=2.0*IF($V959,IF($AL959="","",$AL959),IF($AK959="","",$AK959)),OR($Y959="worse",$Y959="worse, not significant")),IF(ROUND($AC959,3)=ROUND(significance_bar,3),TEXT($AC959,"0.0000"),TEXT($AC959,"0.000")),""),"")</f>
        <v/>
      </c>
      <c r="AO959">
        <f>IF(OR($AI959="",$AN959=""),$AI959,$AI959&amp;" · borderline (p "&amp;$AN959&amp;")")</f>
        <v/>
      </c>
    </row>
    <row r="960">
      <c r="A960" t="inlineStr">
        <is>
          <t>three-way</t>
        </is>
      </c>
      <c r="B960" t="inlineStr">
        <is>
          <t>ORIG_BAL x CHANNEL / SYS_FLAG</t>
        </is>
      </c>
      <c r="C960" t="inlineStr">
        <is>
          <t>15,449 - 26,323</t>
        </is>
      </c>
      <c r="D960" t="inlineStr">
        <is>
          <t>Branch / SYS_FLAG N</t>
        </is>
      </c>
      <c r="E960" t="inlineStr">
        <is>
          <t>outcome_booked</t>
        </is>
      </c>
      <c r="F960" t="inlineStr">
        <is>
          <t>Outcome, share of booked dollars</t>
        </is>
      </c>
      <c r="G960" t="n">
        <v>274</v>
      </c>
      <c r="H960" t="n">
        <v>5701885.079999999</v>
      </c>
      <c r="I960" t="b">
        <v>0</v>
      </c>
      <c r="J960" t="b">
        <v>0</v>
      </c>
      <c r="K960" t="n">
        <v>0.9052344676471905</v>
      </c>
      <c r="L960" t="n">
        <v>0.8386716883867168</v>
      </c>
      <c r="M960" t="n">
        <v>0.6849040686662522</v>
      </c>
      <c r="N960" t="n">
        <v>0.2690064326900643</v>
      </c>
      <c r="O960" t="n">
        <v>-40518.04219576064</v>
      </c>
      <c r="P960" t="n">
        <v>-178062.381175547</v>
      </c>
      <c r="Q960">
        <f>'_live'!$C$21</f>
        <v/>
      </c>
      <c r="R960" t="inlineStr">
        <is>
          <t>shuffled: 6,848 of 10,000</t>
        </is>
      </c>
      <c r="S960" t="inlineStr">
        <is>
          <t>shuffled: 1,152 of 10,000</t>
        </is>
      </c>
      <c r="T960" t="n">
        <v>0.07498589610223444</v>
      </c>
      <c r="U960" t="n">
        <v>0.09910850416079361</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0.06787981773915373</v>
      </c>
      <c r="AI960">
        <f>IF($Y960="worse","Yes",IF($Y960="worse, not significant","Not sure",IF(OR($Y960="too few losses to test",$Y960="too few loans to test"),"Too few losses",IF($Y960="","","No"))))</f>
        <v/>
      </c>
      <c r="AJ960">
        <f>IF($AA960="yes","Yes",IF($AA960="","","No"))</f>
        <v/>
      </c>
      <c r="AK960" t="n">
        <v>0.004078766993467312</v>
      </c>
      <c r="AL960" t="n">
        <v>0.007451960919437129</v>
      </c>
      <c r="AM960">
        <f>IF(AND(ISNUMBER($AC960),ISNUMBER(IF($V960,IF($AL960="","",$AL960),IF($AK960="","",$AK960)))),IF(AND(ABS($AC960-significance_bar)&lt;=2.0*IF($V960,IF($AL960="","",$AL960),IF($AK960="","",$AK960)),OR($Y960="worse",$Y960="better",$Y960="worse, not significant",$Y960="better, not significant")),IF(ROUND($AC960,3)=ROUND(significance_bar,3),TEXT($AC960,"0.0000"),TEXT($AC960,"0.000")),""),"")</f>
        <v/>
      </c>
      <c r="AN960">
        <f>IF(AND(ISNUMBER($AC960),ISNUMBER(IF($V960,IF($AL960="","",$AL960),IF($AK960="","",$AK960)))),IF(AND(ABS($AC960-significance_bar)&lt;=2.0*IF($V960,IF($AL960="","",$AL960),IF($AK960="","",$AK960)),OR($Y960="worse",$Y960="worse, not significant")),IF(ROUND($AC960,3)=ROUND(significance_bar,3),TEXT($AC960,"0.0000"),TEXT($AC960,"0.000")),""),"")</f>
        <v/>
      </c>
      <c r="AO960">
        <f>IF(OR($AI960="",$AN960=""),$AI960,$AI960&amp;" · borderline (p "&amp;$AN960&amp;")")</f>
        <v/>
      </c>
    </row>
    <row r="961">
      <c r="A961" t="inlineStr">
        <is>
          <t>three-way</t>
        </is>
      </c>
      <c r="B961" t="inlineStr">
        <is>
          <t>ORIG_BAL x CHANNEL / SYS_FLAG</t>
        </is>
      </c>
      <c r="C961" t="inlineStr">
        <is>
          <t>15,449 - 26,323</t>
        </is>
      </c>
      <c r="D961" t="inlineStr">
        <is>
          <t>Branch / SYS_FLAG N</t>
        </is>
      </c>
      <c r="E961" t="inlineStr">
        <is>
          <t>gco_rate</t>
        </is>
      </c>
      <c r="F961" t="inlineStr">
        <is>
          <t>GCO per booked dollar</t>
        </is>
      </c>
      <c r="G961" t="n">
        <v>274</v>
      </c>
      <c r="H961" t="n">
        <v>5701885.079999999</v>
      </c>
      <c r="I961" t="b">
        <v>0</v>
      </c>
      <c r="J961" t="b">
        <v>0</v>
      </c>
      <c r="K961" t="n">
        <v>0.9777003064156815</v>
      </c>
      <c r="L961" t="n">
        <v>0.9822017798220178</v>
      </c>
      <c r="M961" t="n">
        <v>0.7303307171362801</v>
      </c>
      <c r="N961" t="n">
        <v>0.3703096357030963</v>
      </c>
      <c r="O961" t="n">
        <v>-5292.729686660139</v>
      </c>
      <c r="P961" t="n">
        <v>-85683.75345197821</v>
      </c>
      <c r="Q961">
        <f>'_live'!$C$22</f>
        <v/>
      </c>
      <c r="R961" t="inlineStr">
        <is>
          <t>shuffled: 9,292 of 10,000</t>
        </is>
      </c>
      <c r="S961" t="inlineStr">
        <is>
          <t>shuffled: 1,934 of 10,000</t>
        </is>
      </c>
      <c r="T961" t="n">
        <v>0.04162577750280792</v>
      </c>
      <c r="U961" t="n">
        <v>0.05572480311230303</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0.04069753541928629</v>
      </c>
      <c r="AI961">
        <f>IF($Y961="worse","Yes",IF($Y961="worse, not significant","Not sure",IF(OR($Y961="too few losses to test",$Y961="too few loans to test"),"Too few losses",IF($Y961="","","No"))))</f>
        <v/>
      </c>
      <c r="AJ961">
        <f>IF($AA961="yes","Yes",IF($AA961="","","No"))</f>
        <v/>
      </c>
      <c r="AK961" t="n">
        <v>0.001322174101110676</v>
      </c>
      <c r="AL961" t="n">
        <v>0.007443892980275082</v>
      </c>
      <c r="AM961">
        <f>IF(AND(ISNUMBER($AC961),ISNUMBER(IF($V961,IF($AL961="","",$AL961),IF($AK961="","",$AK961)))),IF(AND(ABS($AC961-significance_bar)&lt;=2.0*IF($V961,IF($AL961="","",$AL961),IF($AK961="","",$AK961)),OR($Y961="worse",$Y961="better",$Y961="worse, not significant",$Y961="better, not significant")),IF(ROUND($AC961,3)=ROUND(significance_bar,3),TEXT($AC961,"0.0000"),TEXT($AC961,"0.000")),""),"")</f>
        <v/>
      </c>
      <c r="AN961">
        <f>IF(AND(ISNUMBER($AC961),ISNUMBER(IF($V961,IF($AL961="","",$AL961),IF($AK961="","",$AK961)))),IF(AND(ABS($AC961-significance_bar)&lt;=2.0*IF($V961,IF($AL961="","",$AL961),IF($AK961="","",$AK961)),OR($Y961="worse",$Y961="worse, not significant")),IF(ROUND($AC961,3)=ROUND(significance_bar,3),TEXT($AC961,"0.0000"),TEXT($AC961,"0.000")),""),"")</f>
        <v/>
      </c>
      <c r="AO961">
        <f>IF(OR($AI961="",$AN961=""),$AI961,$AI961&amp;" · borderline (p "&amp;$AN961&amp;")")</f>
        <v/>
      </c>
    </row>
    <row r="962">
      <c r="A962" t="inlineStr">
        <is>
          <t>three-way</t>
        </is>
      </c>
      <c r="B962" t="inlineStr">
        <is>
          <t>ORIG_BAL x CHANNEL / SYS_FLAG</t>
        </is>
      </c>
      <c r="C962" t="inlineStr">
        <is>
          <t>15,449 - 26,323</t>
        </is>
      </c>
      <c r="D962" t="inlineStr">
        <is>
          <t>Branch / SYS_FLAG N</t>
        </is>
      </c>
      <c r="E962" t="inlineStr">
        <is>
          <t>ranr_rate</t>
        </is>
      </c>
      <c r="F962" t="inlineStr">
        <is>
          <t>Profit after losses: RANR per booked dollar</t>
        </is>
      </c>
      <c r="G962" t="n">
        <v>274</v>
      </c>
      <c r="H962" t="n">
        <v>5701885.079999999</v>
      </c>
      <c r="I962" t="b">
        <v>0</v>
      </c>
      <c r="J962" t="b">
        <v>0</v>
      </c>
      <c r="K962" t="n">
        <v>-0.002803187031654858</v>
      </c>
      <c r="L962" t="n">
        <v>0.8516044947229415</v>
      </c>
      <c r="M962" t="n">
        <v>0.007462687768854739</v>
      </c>
      <c r="N962" t="n">
        <v>0.640269306402693</v>
      </c>
      <c r="O962" t="n">
        <v>15983.45031224238</v>
      </c>
      <c r="P962" t="n">
        <v>-42551.38804593135</v>
      </c>
      <c r="Q962">
        <f>'_live'!$C$23</f>
        <v/>
      </c>
      <c r="R962" t="inlineStr">
        <is>
          <t>shuffled: 8,232 of 10,000</t>
        </is>
      </c>
      <c r="S962" t="inlineStr">
        <is>
          <t>shuffled: 5,762 of 10,000</t>
        </is>
      </c>
      <c r="T962" t="n">
        <v>0.1280519845749403</v>
      </c>
      <c r="U962" t="n">
        <v>0.1177861097744307</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0.1252487975432854</v>
      </c>
      <c r="AI962">
        <f>IF($Y962="worse","Yes",IF($Y962="worse, not significant","Not sure",IF(OR($Y962="too few losses to test",$Y962="too few loans to test"),"Too few losses",IF($Y962="","","No"))))</f>
        <v/>
      </c>
      <c r="AJ962">
        <f>IF($AA962="yes","Yes",IF($AA962="","","No"))</f>
        <v/>
      </c>
      <c r="AK962" t="n">
        <v>0.003946390141920216</v>
      </c>
      <c r="AL962" t="n">
        <v>0.00549058790773858</v>
      </c>
      <c r="AM962">
        <f>IF(AND(ISNUMBER($AC962),ISNUMBER(IF($V962,IF($AL962="","",$AL962),IF($AK962="","",$AK962)))),IF(AND(ABS($AC962-significance_bar)&lt;=2.0*IF($V962,IF($AL962="","",$AL962),IF($AK962="","",$AK962)),OR($Y962="worse",$Y962="better",$Y962="worse, not significant",$Y962="better, not significant",AND(profit_kind="test",$Y962="in line",ISNUMBER($AB962),$AB962&lt;&gt;0))),IF(ROUND($AC962,3)=ROUND(significance_bar,3),TEXT($AC962,"0.0000"),TEXT($AC962,"0.000")),""),"")</f>
        <v/>
      </c>
      <c r="AN962">
        <f>IF(AND(ISNUMBER($AC962),ISNUMBER(IF($V962,IF($AL962="","",$AL962),IF($AK962="","",$AK962)))),IF(AND(ABS($AC962-significance_bar)&lt;=2.0*IF($V962,IF($AL962="","",$AL962),IF($AK962="","",$AK962)),OR($Y962="worse",$Y962="worse, not significant",AND(profit_kind="test",$Y962="in line",ISNUMBER($AB962),$AB962&lt;0))),IF(ROUND($AC962,3)=ROUND(significance_bar,3),TEXT($AC962,"0.0000"),TEXT($AC962,"0.000")),""),"")</f>
        <v/>
      </c>
      <c r="AO962">
        <f>IF(OR($AI962="",$AN962=""),$AI962,$AI962&amp;" · borderline (p "&amp;$AN962&amp;")")</f>
        <v/>
      </c>
    </row>
    <row r="963">
      <c r="A963" t="inlineStr">
        <is>
          <t>three-way</t>
        </is>
      </c>
      <c r="B963" t="inlineStr">
        <is>
          <t>ORIG_BAL x CHANNEL / SYS_FLAG</t>
        </is>
      </c>
      <c r="C963" t="inlineStr">
        <is>
          <t>15,449 - 26,323</t>
        </is>
      </c>
      <c r="D963" t="inlineStr">
        <is>
          <t>Branch / SYS_FLAG N</t>
        </is>
      </c>
      <c r="E963" t="inlineStr">
        <is>
          <t>contribution_rate</t>
        </is>
      </c>
      <c r="F963" t="inlineStr">
        <is>
          <t>Contribution before losses per booked dollar</t>
        </is>
      </c>
      <c r="G963" t="n">
        <v>274</v>
      </c>
      <c r="H963" t="n">
        <v>5701885.079999999</v>
      </c>
      <c r="I963" t="b">
        <v>0</v>
      </c>
      <c r="J963" t="b">
        <v>0</v>
      </c>
      <c r="K963" t="n">
        <v>-0.003728514998408761</v>
      </c>
      <c r="L963" t="n">
        <v>0.7192280771922808</v>
      </c>
      <c r="M963" t="n">
        <v>-0.007564579924161957</v>
      </c>
      <c r="N963" t="n">
        <v>0.4235576442355765</v>
      </c>
      <c r="O963" t="n">
        <v>21259.5640399832</v>
      </c>
      <c r="P963" t="n">
        <v>43132.36540604662</v>
      </c>
      <c r="Q963">
        <f>'_live'!$C$24</f>
        <v/>
      </c>
      <c r="R963" t="inlineStr">
        <is>
          <t>shuffled: 6,482 of 10,000</t>
        </is>
      </c>
      <c r="S963" t="inlineStr">
        <is>
          <t>shuffled: 3,529 of 10,000</t>
        </is>
      </c>
      <c r="T963" t="n">
        <v>0.1696748479609805</v>
      </c>
      <c r="U963" t="n">
        <v>0.1735109128867337</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0.1659463329625717</v>
      </c>
      <c r="AI963">
        <f>IF($Y963="worse","Yes",IF($Y963="worse, not significant","Not sure",IF(OR($Y963="too few losses to test",$Y963="too few loans to test"),"Too few losses",IF($Y963="","","No"))))</f>
        <v/>
      </c>
      <c r="AJ963">
        <f>IF($AA963="yes","Yes",IF($AA963="","","No"))</f>
        <v/>
      </c>
      <c r="AK963" t="n">
        <v>0.004493762901740315</v>
      </c>
      <c r="AL963" t="n">
        <v>0.005734702216264594</v>
      </c>
      <c r="AM963">
        <f>IF(AND(ISNUMBER($AC963),ISNUMBER(IF($V963,IF($AL963="","",$AL963),IF($AK963="","",$AK963)))),IF(AND(ABS($AC963-significance_bar)&lt;=2.0*IF($V963,IF($AL963="","",$AL963),IF($AK963="","",$AK963)),OR($Y963="worse",$Y963="better",$Y963="worse, not significant",$Y963="better, not significant",AND(profit_kind="test",$Y963="in line",ISNUMBER($AB963),$AB963&lt;&gt;0))),IF(ROUND($AC963,3)=ROUND(significance_bar,3),TEXT($AC963,"0.0000"),TEXT($AC963,"0.000")),""),"")</f>
        <v/>
      </c>
      <c r="AN963">
        <f>IF(AND(ISNUMBER($AC963),ISNUMBER(IF($V963,IF($AL963="","",$AL963),IF($AK963="","",$AK963)))),IF(AND(ABS($AC963-significance_bar)&lt;=2.0*IF($V963,IF($AL963="","",$AL963),IF($AK963="","",$AK963)),OR($Y963="worse",$Y963="worse, not significant",AND(profit_kind="test",$Y963="in line",ISNUMBER($AB963),$AB963&lt;0))),IF(ROUND($AC963,3)=ROUND(significance_bar,3),TEXT($AC963,"0.0000"),TEXT($AC963,"0.000")),""),"")</f>
        <v/>
      </c>
      <c r="AO963">
        <f>IF(OR($AI963="",$AN963=""),$AI963,$AI963&amp;" · borderline (p "&amp;$AN963&amp;")")</f>
        <v/>
      </c>
    </row>
    <row r="964">
      <c r="A964" t="inlineStr">
        <is>
          <t>three-way</t>
        </is>
      </c>
      <c r="B964" t="inlineStr">
        <is>
          <t>ORIG_BAL x CHANNEL / SYS_FLAG</t>
        </is>
      </c>
      <c r="C964" t="inlineStr">
        <is>
          <t>5,005 - 15,448</t>
        </is>
      </c>
      <c r="D964" t="inlineStr">
        <is>
          <t>Branch / SYS_FLAG Y</t>
        </is>
      </c>
      <c r="E964" t="inlineStr">
        <is>
          <t>outcome_loans</t>
        </is>
      </c>
      <c r="F964" t="inlineStr">
        <is>
          <t>Outcome, share of loans</t>
        </is>
      </c>
      <c r="G964" t="n">
        <v>241</v>
      </c>
      <c r="H964" t="n">
        <v>241</v>
      </c>
      <c r="I964" t="b">
        <v>0</v>
      </c>
      <c r="J964" t="b">
        <v>0</v>
      </c>
      <c r="K964" t="n">
        <v>0.9641192756194723</v>
      </c>
      <c r="L964" t="n">
        <v>0.8973066416828898</v>
      </c>
      <c r="M964" t="n">
        <v>0.9666864256075873</v>
      </c>
      <c r="N964" t="n">
        <v>0.9230174669468612</v>
      </c>
      <c r="O964" t="n">
        <v>-0.6698891466872894</v>
      </c>
      <c r="P964" t="n">
        <v>-0.6203090507726294</v>
      </c>
      <c r="Q964">
        <f>'_live'!$C$20</f>
        <v/>
      </c>
      <c r="R964" t="inlineStr">
        <is>
          <t>z test</t>
        </is>
      </c>
      <c r="S964" t="inlineStr">
        <is>
          <t>z test</t>
        </is>
      </c>
      <c r="T964" t="n">
        <v>0.07746841969579789</v>
      </c>
      <c r="U964" t="n">
        <v>0.0772626931567329</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0.07468879668049792</v>
      </c>
      <c r="AI964">
        <f>IF($Y964="worse","Yes",IF($Y964="worse, not significant","Not sure",IF(OR($Y964="too few losses to test",$Y964="too few loans to test"),"Too few losses",IF($Y964="","","No"))))</f>
        <v/>
      </c>
      <c r="AJ964">
        <f>IF($AA964="yes","Yes",IF($AA964="","","No"))</f>
        <v/>
      </c>
      <c r="AM964">
        <f>IF(AND(ISNUMBER($AC964),ISNUMBER(IF($V964,IF($AL964="","",$AL964),IF($AK964="","",$AK964)))),IF(AND(ABS($AC964-significance_bar)&lt;=2.0*IF($V964,IF($AL964="","",$AL964),IF($AK964="","",$AK964)),OR($Y964="worse",$Y964="better",$Y964="worse, not significant",$Y964="better, not significant")),IF(ROUND($AC964,3)=ROUND(significance_bar,3),TEXT($AC964,"0.0000"),TEXT($AC964,"0.000")),""),"")</f>
        <v/>
      </c>
      <c r="AN964">
        <f>IF(AND(ISNUMBER($AC964),ISNUMBER(IF($V964,IF($AL964="","",$AL964),IF($AK964="","",$AK964)))),IF(AND(ABS($AC964-significance_bar)&lt;=2.0*IF($V964,IF($AL964="","",$AL964),IF($AK964="","",$AK964)),OR($Y964="worse",$Y964="worse, not significant")),IF(ROUND($AC964,3)=ROUND(significance_bar,3),TEXT($AC964,"0.0000"),TEXT($AC964,"0.000")),""),"")</f>
        <v/>
      </c>
      <c r="AO964">
        <f>IF(OR($AI964="",$AN964=""),$AI964,$AI964&amp;" · borderline (p "&amp;$AN964&amp;")")</f>
        <v/>
      </c>
    </row>
    <row r="965">
      <c r="A965" t="inlineStr">
        <is>
          <t>three-way</t>
        </is>
      </c>
      <c r="B965" t="inlineStr">
        <is>
          <t>ORIG_BAL x CHANNEL / SYS_FLAG</t>
        </is>
      </c>
      <c r="C965" t="inlineStr">
        <is>
          <t>5,005 - 15,448</t>
        </is>
      </c>
      <c r="D965" t="inlineStr">
        <is>
          <t>Branch / SYS_FLAG Y</t>
        </is>
      </c>
      <c r="E965" t="inlineStr">
        <is>
          <t>outcome_booked</t>
        </is>
      </c>
      <c r="F965" t="inlineStr">
        <is>
          <t>Outcome, share of booked dollars</t>
        </is>
      </c>
      <c r="G965" t="n">
        <v>241</v>
      </c>
      <c r="H965" t="n">
        <v>2376897.850000001</v>
      </c>
      <c r="I965" t="b">
        <v>0</v>
      </c>
      <c r="J965" t="b">
        <v>0</v>
      </c>
      <c r="K965" t="n">
        <v>1.062843905804446</v>
      </c>
      <c r="L965" t="n">
        <v>0.8386716883867168</v>
      </c>
      <c r="M965" t="n">
        <v>1.061168310229191</v>
      </c>
      <c r="N965" t="n">
        <v>0.9031250721081737</v>
      </c>
      <c r="O965" t="n">
        <v>11170.98649007527</v>
      </c>
      <c r="P965" t="n">
        <v>10890.30531223587</v>
      </c>
      <c r="Q965">
        <f>'_live'!$C$21</f>
        <v/>
      </c>
      <c r="R965" t="inlineStr">
        <is>
          <t>shuffled: 7,975 of 10,000</t>
        </is>
      </c>
      <c r="S965" t="inlineStr">
        <is>
          <t>shuffled: 8,140 of 10,000</t>
        </is>
      </c>
      <c r="T965" t="n">
        <v>0.07478557545496735</v>
      </c>
      <c r="U965" t="n">
        <v>0.07490366264068271</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0.07948539311439064</v>
      </c>
      <c r="AI965">
        <f>IF($Y965="worse","Yes",IF($Y965="worse, not significant","Not sure",IF(OR($Y965="too few losses to test",$Y965="too few loans to test"),"Too few losses",IF($Y965="","","No"))))</f>
        <v/>
      </c>
      <c r="AJ965">
        <f>IF($AA965="yes","Yes",IF($AA965="","","No"))</f>
        <v/>
      </c>
      <c r="AK965" t="n">
        <v>0.004078766993467312</v>
      </c>
      <c r="AL965" t="n">
        <v>0.003961834620863371</v>
      </c>
      <c r="AM965">
        <f>IF(AND(ISNUMBER($AC965),ISNUMBER(IF($V965,IF($AL965="","",$AL965),IF($AK965="","",$AK965)))),IF(AND(ABS($AC965-significance_bar)&lt;=2.0*IF($V965,IF($AL965="","",$AL965),IF($AK965="","",$AK965)),OR($Y965="worse",$Y965="better",$Y965="worse, not significant",$Y965="better, not significant")),IF(ROUND($AC965,3)=ROUND(significance_bar,3),TEXT($AC965,"0.0000"),TEXT($AC965,"0.000")),""),"")</f>
        <v/>
      </c>
      <c r="AN965">
        <f>IF(AND(ISNUMBER($AC965),ISNUMBER(IF($V965,IF($AL965="","",$AL965),IF($AK965="","",$AK965)))),IF(AND(ABS($AC965-significance_bar)&lt;=2.0*IF($V965,IF($AL965="","",$AL965),IF($AK965="","",$AK965)),OR($Y965="worse",$Y965="worse, not significant")),IF(ROUND($AC965,3)=ROUND(significance_bar,3),TEXT($AC965,"0.0000"),TEXT($AC965,"0.000")),""),"")</f>
        <v/>
      </c>
      <c r="AO965">
        <f>IF(OR($AI965="",$AN965=""),$AI965,$AI965&amp;" · borderline (p "&amp;$AN965&amp;")")</f>
        <v/>
      </c>
    </row>
    <row r="966">
      <c r="A966" t="inlineStr">
        <is>
          <t>three-way</t>
        </is>
      </c>
      <c r="B966" t="inlineStr">
        <is>
          <t>ORIG_BAL x CHANNEL / SYS_FLAG</t>
        </is>
      </c>
      <c r="C966" t="inlineStr">
        <is>
          <t>5,005 - 15,448</t>
        </is>
      </c>
      <c r="D966" t="inlineStr">
        <is>
          <t>Branch / SYS_FLAG Y</t>
        </is>
      </c>
      <c r="E966" t="inlineStr">
        <is>
          <t>gco_rate</t>
        </is>
      </c>
      <c r="F966" t="inlineStr">
        <is>
          <t>GCO per booked dollar</t>
        </is>
      </c>
      <c r="G966" t="n">
        <v>241</v>
      </c>
      <c r="H966" t="n">
        <v>2376897.850000001</v>
      </c>
      <c r="I966" t="b">
        <v>0</v>
      </c>
      <c r="J966" t="b">
        <v>0</v>
      </c>
      <c r="K966" t="n">
        <v>1.073942729762702</v>
      </c>
      <c r="L966" t="n">
        <v>0.9822017798220178</v>
      </c>
      <c r="M966" t="n">
        <v>1.093340664062522</v>
      </c>
      <c r="N966" t="n">
        <v>0.8150415727658002</v>
      </c>
      <c r="O966" t="n">
        <v>7307.327595289578</v>
      </c>
      <c r="P966" t="n">
        <v>9060.655243836954</v>
      </c>
      <c r="Q966">
        <f>'_live'!$C$22</f>
        <v/>
      </c>
      <c r="R966" t="inlineStr">
        <is>
          <t>shuffled: 7,789 of 10,000</t>
        </is>
      </c>
      <c r="S966" t="inlineStr">
        <is>
          <t>shuffled: 7,361 of 10,000</t>
        </is>
      </c>
      <c r="T966" t="n">
        <v>0.04157694551522708</v>
      </c>
      <c r="U966" t="n">
        <v>0.04083929175002746</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0.0446512583618181</v>
      </c>
      <c r="AI966">
        <f>IF($Y966="worse","Yes",IF($Y966="worse, not significant","Not sure",IF(OR($Y966="too few losses to test",$Y966="too few loans to test"),"Too few losses",IF($Y966="","","No"))))</f>
        <v/>
      </c>
      <c r="AJ966">
        <f>IF($AA966="yes","Yes",IF($AA966="","","No"))</f>
        <v/>
      </c>
      <c r="AK966" t="n">
        <v>0.001322174101110676</v>
      </c>
      <c r="AL966" t="n">
        <v>0.004620003387732743</v>
      </c>
      <c r="AM966">
        <f>IF(AND(ISNUMBER($AC966),ISNUMBER(IF($V966,IF($AL966="","",$AL966),IF($AK966="","",$AK966)))),IF(AND(ABS($AC966-significance_bar)&lt;=2.0*IF($V966,IF($AL966="","",$AL966),IF($AK966="","",$AK966)),OR($Y966="worse",$Y966="better",$Y966="worse, not significant",$Y966="better, not significant")),IF(ROUND($AC966,3)=ROUND(significance_bar,3),TEXT($AC966,"0.0000"),TEXT($AC966,"0.000")),""),"")</f>
        <v/>
      </c>
      <c r="AN966">
        <f>IF(AND(ISNUMBER($AC966),ISNUMBER(IF($V966,IF($AL966="","",$AL966),IF($AK966="","",$AK966)))),IF(AND(ABS($AC966-significance_bar)&lt;=2.0*IF($V966,IF($AL966="","",$AL966),IF($AK966="","",$AK966)),OR($Y966="worse",$Y966="worse, not significant")),IF(ROUND($AC966,3)=ROUND(significance_bar,3),TEXT($AC966,"0.0000"),TEXT($AC966,"0.000")),""),"")</f>
        <v/>
      </c>
      <c r="AO966">
        <f>IF(OR($AI966="",$AN966=""),$AI966,$AI966&amp;" · borderline (p "&amp;$AN966&amp;")")</f>
        <v/>
      </c>
    </row>
    <row r="967">
      <c r="A967" t="inlineStr">
        <is>
          <t>three-way</t>
        </is>
      </c>
      <c r="B967" t="inlineStr">
        <is>
          <t>ORIG_BAL x CHANNEL / SYS_FLAG</t>
        </is>
      </c>
      <c r="C967" t="inlineStr">
        <is>
          <t>5,005 - 15,448</t>
        </is>
      </c>
      <c r="D967" t="inlineStr">
        <is>
          <t>Branch / SYS_FLAG Y</t>
        </is>
      </c>
      <c r="E967" t="inlineStr">
        <is>
          <t>ranr_rate</t>
        </is>
      </c>
      <c r="F967" t="inlineStr">
        <is>
          <t>Profit after losses: RANR per booked dollar</t>
        </is>
      </c>
      <c r="G967" t="n">
        <v>241</v>
      </c>
      <c r="H967" t="n">
        <v>2376897.850000001</v>
      </c>
      <c r="I967" t="b">
        <v>0</v>
      </c>
      <c r="J967" t="b">
        <v>0</v>
      </c>
      <c r="K967" t="n">
        <v>0.001707123669884847</v>
      </c>
      <c r="L967" t="n">
        <v>0.8973102689731027</v>
      </c>
      <c r="M967" t="n">
        <v>-0.01991437096352439</v>
      </c>
      <c r="N967" t="n">
        <v>0.2465378462153784</v>
      </c>
      <c r="O967" t="n">
        <v>-4057.658580633404</v>
      </c>
      <c r="P967" t="n">
        <v>47334.42552730354</v>
      </c>
      <c r="Q967">
        <f>'_live'!$C$23</f>
        <v/>
      </c>
      <c r="R967" t="inlineStr">
        <is>
          <t>shuffled: 8,973 of 10,000</t>
        </is>
      </c>
      <c r="S967" t="inlineStr">
        <is>
          <t>shuffled: 1,314 of 10,000</t>
        </is>
      </c>
      <c r="T967" t="n">
        <v>0.1279743264605866</v>
      </c>
      <c r="U967" t="n">
        <v>0.1495958210939958</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0.1296814501304714</v>
      </c>
      <c r="AI967">
        <f>IF($Y967="worse","Yes",IF($Y967="worse, not significant","Not sure",IF(OR($Y967="too few losses to test",$Y967="too few loans to test"),"Too few losses",IF($Y967="","","No"))))</f>
        <v/>
      </c>
      <c r="AJ967">
        <f>IF($AA967="yes","Yes",IF($AA967="","","No"))</f>
        <v/>
      </c>
      <c r="AK967" t="n">
        <v>0.003035532081341272</v>
      </c>
      <c r="AL967" t="n">
        <v>0.00633622562759027</v>
      </c>
      <c r="AM967">
        <f>IF(AND(ISNUMBER($AC967),ISNUMBER(IF($V967,IF($AL967="","",$AL967),IF($AK967="","",$AK967)))),IF(AND(ABS($AC967-significance_bar)&lt;=2.0*IF($V967,IF($AL967="","",$AL967),IF($AK967="","",$AK967)),OR($Y967="worse",$Y967="better",$Y967="worse, not significant",$Y967="better, not significant",AND(profit_kind="test",$Y967="in line",ISNUMBER($AB967),$AB967&lt;&gt;0))),IF(ROUND($AC967,3)=ROUND(significance_bar,3),TEXT($AC967,"0.0000"),TEXT($AC967,"0.000")),""),"")</f>
        <v/>
      </c>
      <c r="AN967">
        <f>IF(AND(ISNUMBER($AC967),ISNUMBER(IF($V967,IF($AL967="","",$AL967),IF($AK967="","",$AK967)))),IF(AND(ABS($AC967-significance_bar)&lt;=2.0*IF($V967,IF($AL967="","",$AL967),IF($AK967="","",$AK967)),OR($Y967="worse",$Y967="worse, not significant",AND(profit_kind="test",$Y967="in line",ISNUMBER($AB967),$AB967&lt;0))),IF(ROUND($AC967,3)=ROUND(significance_bar,3),TEXT($AC967,"0.0000"),TEXT($AC967,"0.000")),""),"")</f>
        <v/>
      </c>
      <c r="AO967">
        <f>IF(OR($AI967="",$AN967=""),$AI967,$AI967&amp;" · borderline (p "&amp;$AN967&amp;")")</f>
        <v/>
      </c>
    </row>
    <row r="968">
      <c r="A968" t="inlineStr">
        <is>
          <t>three-way</t>
        </is>
      </c>
      <c r="B968" t="inlineStr">
        <is>
          <t>ORIG_BAL x CHANNEL / SYS_FLAG</t>
        </is>
      </c>
      <c r="C968" t="inlineStr">
        <is>
          <t>5,005 - 15,448</t>
        </is>
      </c>
      <c r="D968" t="inlineStr">
        <is>
          <t>Branch / SYS_FLAG Y</t>
        </is>
      </c>
      <c r="E968" t="inlineStr">
        <is>
          <t>contribution_rate</t>
        </is>
      </c>
      <c r="F968" t="inlineStr">
        <is>
          <t>Contribution before losses per booked dollar</t>
        </is>
      </c>
      <c r="G968" t="n">
        <v>241</v>
      </c>
      <c r="H968" t="n">
        <v>2376897.850000001</v>
      </c>
      <c r="I968" t="b">
        <v>0</v>
      </c>
      <c r="J968" t="b">
        <v>0</v>
      </c>
      <c r="K968" t="n">
        <v>0.004784324787224292</v>
      </c>
      <c r="L968" t="n">
        <v>0.7068493150684932</v>
      </c>
      <c r="M968" t="n">
        <v>-0.01610240435173366</v>
      </c>
      <c r="N968" t="n">
        <v>0.1767323267673233</v>
      </c>
      <c r="O968" t="n">
        <v>-11371.85130045516</v>
      </c>
      <c r="P968" t="n">
        <v>38273.77028346638</v>
      </c>
      <c r="Q968">
        <f>'_live'!$C$24</f>
        <v/>
      </c>
      <c r="R968" t="inlineStr">
        <is>
          <t>shuffled: 5,890 of 10,000</t>
        </is>
      </c>
      <c r="S968" t="inlineStr">
        <is>
          <t>shuffled: 706 of 10,000</t>
        </is>
      </c>
      <c r="T968" t="n">
        <v>0.1695483837050654</v>
      </c>
      <c r="U968" t="n">
        <v>0.1904351128440233</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0.1743327084922897</v>
      </c>
      <c r="AI968">
        <f>IF($Y968="worse","Yes",IF($Y968="worse, not significant","Not sure",IF(OR($Y968="too few losses to test",$Y968="too few loans to test"),"Too few losses",IF($Y968="","","No"))))</f>
        <v/>
      </c>
      <c r="AJ968">
        <f>IF($AA968="yes","Yes",IF($AA968="","","No"))</f>
        <v/>
      </c>
      <c r="AK968" t="n">
        <v>0.005904093697337414</v>
      </c>
      <c r="AL968" t="n">
        <v>0.006407780439385515</v>
      </c>
      <c r="AM968">
        <f>IF(AND(ISNUMBER($AC968),ISNUMBER(IF($V968,IF($AL968="","",$AL968),IF($AK968="","",$AK968)))),IF(AND(ABS($AC968-significance_bar)&lt;=2.0*IF($V968,IF($AL968="","",$AL968),IF($AK968="","",$AK968)),OR($Y968="worse",$Y968="better",$Y968="worse, not significant",$Y968="better, not significant",AND(profit_kind="test",$Y968="in line",ISNUMBER($AB968),$AB968&lt;&gt;0))),IF(ROUND($AC968,3)=ROUND(significance_bar,3),TEXT($AC968,"0.0000"),TEXT($AC968,"0.000")),""),"")</f>
        <v/>
      </c>
      <c r="AN968">
        <f>IF(AND(ISNUMBER($AC968),ISNUMBER(IF($V968,IF($AL968="","",$AL968),IF($AK968="","",$AK968)))),IF(AND(ABS($AC968-significance_bar)&lt;=2.0*IF($V968,IF($AL968="","",$AL968),IF($AK968="","",$AK968)),OR($Y968="worse",$Y968="worse, not significant",AND(profit_kind="test",$Y968="in line",ISNUMBER($AB968),$AB968&lt;0))),IF(ROUND($AC968,3)=ROUND(significance_bar,3),TEXT($AC968,"0.0000"),TEXT($AC968,"0.000")),""),"")</f>
        <v/>
      </c>
      <c r="AO968">
        <f>IF(OR($AI968="",$AN968=""),$AI968,$AI968&amp;" · borderline (p "&amp;$AN968&amp;")")</f>
        <v/>
      </c>
    </row>
    <row r="969">
      <c r="A969" t="inlineStr">
        <is>
          <t>three-way</t>
        </is>
      </c>
      <c r="B969" t="inlineStr">
        <is>
          <t>ORIG_BAL x CHANNEL / SYS_FLAG</t>
        </is>
      </c>
      <c r="C969" t="inlineStr">
        <is>
          <t>37,951 - 49,151</t>
        </is>
      </c>
      <c r="D969" t="inlineStr">
        <is>
          <t>Broker / SYS_FLAG Y</t>
        </is>
      </c>
      <c r="E969" t="inlineStr">
        <is>
          <t>outcome_loans</t>
        </is>
      </c>
      <c r="F969" t="inlineStr">
        <is>
          <t>Outcome, share of loans</t>
        </is>
      </c>
      <c r="G969" t="n">
        <v>249</v>
      </c>
      <c r="H969" t="n">
        <v>249</v>
      </c>
      <c r="I969" t="b">
        <v>0</v>
      </c>
      <c r="J969" t="b">
        <v>0</v>
      </c>
      <c r="K969" t="n">
        <v>1.865338064587116</v>
      </c>
      <c r="L969" t="n">
        <v>0.002105166892985362</v>
      </c>
      <c r="M969" t="n">
        <v>1.918177761551255</v>
      </c>
      <c r="N969" t="n">
        <v>0.01199793971906374</v>
      </c>
      <c r="O969" t="n">
        <v>16.23664516129032</v>
      </c>
      <c r="P969" t="n">
        <v>16.75351591413767</v>
      </c>
      <c r="Q969">
        <f>'_live'!$C$20</f>
        <v/>
      </c>
      <c r="R969" t="inlineStr">
        <is>
          <t>z test</t>
        </is>
      </c>
      <c r="S969" t="inlineStr">
        <is>
          <t>z test</t>
        </is>
      </c>
      <c r="T969" t="n">
        <v>0.07535483870967742</v>
      </c>
      <c r="U969" t="n">
        <v>0.07327905255366396</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0.1405622489959839</v>
      </c>
      <c r="AI969">
        <f>IF($Y969="worse","Yes",IF($Y969="worse, not significant","Not sure",IF(OR($Y969="too few losses to test",$Y969="too few loans to test"),"Too few losses",IF($Y969="","","No"))))</f>
        <v/>
      </c>
      <c r="AJ969">
        <f>IF($AA969="yes","Yes",IF($AA969="","","No"))</f>
        <v/>
      </c>
      <c r="AM969">
        <f>IF(AND(ISNUMBER($AC969),ISNUMBER(IF($V969,IF($AL969="","",$AL969),IF($AK969="","",$AK969)))),IF(AND(ABS($AC969-significance_bar)&lt;=2.0*IF($V969,IF($AL969="","",$AL969),IF($AK969="","",$AK969)),OR($Y969="worse",$Y969="better",$Y969="worse, not significant",$Y969="better, not significant")),IF(ROUND($AC969,3)=ROUND(significance_bar,3),TEXT($AC969,"0.0000"),TEXT($AC969,"0.000")),""),"")</f>
        <v/>
      </c>
      <c r="AN969">
        <f>IF(AND(ISNUMBER($AC969),ISNUMBER(IF($V969,IF($AL969="","",$AL969),IF($AK969="","",$AK969)))),IF(AND(ABS($AC969-significance_bar)&lt;=2.0*IF($V969,IF($AL969="","",$AL969),IF($AK969="","",$AK969)),OR($Y969="worse",$Y969="worse, not significant")),IF(ROUND($AC969,3)=ROUND(significance_bar,3),TEXT($AC969,"0.0000"),TEXT($AC969,"0.000")),""),"")</f>
        <v/>
      </c>
      <c r="AO969">
        <f>IF(OR($AI969="",$AN969=""),$AI969,$AI969&amp;" · borderline (p "&amp;$AN969&amp;")")</f>
        <v/>
      </c>
    </row>
    <row r="970">
      <c r="A970" t="inlineStr">
        <is>
          <t>three-way</t>
        </is>
      </c>
      <c r="B970" t="inlineStr">
        <is>
          <t>ORIG_BAL x CHANNEL / SYS_FLAG</t>
        </is>
      </c>
      <c r="C970" t="inlineStr">
        <is>
          <t>37,951 - 49,151</t>
        </is>
      </c>
      <c r="D970" t="inlineStr">
        <is>
          <t>Broker / SYS_FLAG Y</t>
        </is>
      </c>
      <c r="E970" t="inlineStr">
        <is>
          <t>outcome_booked</t>
        </is>
      </c>
      <c r="F970" t="inlineStr">
        <is>
          <t>Outcome, share of booked dollars</t>
        </is>
      </c>
      <c r="G970" t="n">
        <v>249</v>
      </c>
      <c r="H970" t="n">
        <v>10835298.16</v>
      </c>
      <c r="I970" t="b">
        <v>0</v>
      </c>
      <c r="J970" t="b">
        <v>0</v>
      </c>
      <c r="K970" t="n">
        <v>1.888042833762509</v>
      </c>
      <c r="L970" t="n">
        <v>0.0111988801119888</v>
      </c>
      <c r="M970" t="n">
        <v>1.85781287340994</v>
      </c>
      <c r="N970" t="n">
        <v>0.0205312802053128</v>
      </c>
      <c r="O970" t="n">
        <v>694134.1604620874</v>
      </c>
      <c r="P970" t="n">
        <v>681415.3904700656</v>
      </c>
      <c r="Q970">
        <f>'_live'!$C$21</f>
        <v/>
      </c>
      <c r="R970" t="inlineStr">
        <is>
          <t>shuffled: 6 of 10,000</t>
        </is>
      </c>
      <c r="S970" t="inlineStr">
        <is>
          <t>shuffled: 10 of 10,000</t>
        </is>
      </c>
      <c r="T970" t="n">
        <v>0.07213875409755334</v>
      </c>
      <c r="U970" t="n">
        <v>0.07331258150905687</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0.1362010577104414</v>
      </c>
      <c r="AI970">
        <f>IF($Y970="worse","Yes",IF($Y970="worse, not significant","Not sure",IF(OR($Y970="too few losses to test",$Y970="too few loans to test"),"Too few losses",IF($Y970="","","No"))))</f>
        <v/>
      </c>
      <c r="AJ970">
        <f>IF($AA970="yes","Yes",IF($AA970="","","No"))</f>
        <v/>
      </c>
      <c r="AK970" t="n">
        <v>0.003958016001130876</v>
      </c>
      <c r="AL970" t="n">
        <v>0.004372685084126043</v>
      </c>
      <c r="AM970">
        <f>IF(AND(ISNUMBER($AC970),ISNUMBER(IF($V970,IF($AL970="","",$AL970),IF($AK970="","",$AK970)))),IF(AND(ABS($AC970-significance_bar)&lt;=2.0*IF($V970,IF($AL970="","",$AL970),IF($AK970="","",$AK970)),OR($Y970="worse",$Y970="better",$Y970="worse, not significant",$Y970="better, not significant")),IF(ROUND($AC970,3)=ROUND(significance_bar,3),TEXT($AC970,"0.0000"),TEXT($AC970,"0.000")),""),"")</f>
        <v/>
      </c>
      <c r="AN970">
        <f>IF(AND(ISNUMBER($AC970),ISNUMBER(IF($V970,IF($AL970="","",$AL970),IF($AK970="","",$AK970)))),IF(AND(ABS($AC970-significance_bar)&lt;=2.0*IF($V970,IF($AL970="","",$AL970),IF($AK970="","",$AK970)),OR($Y970="worse",$Y970="worse, not significant")),IF(ROUND($AC970,3)=ROUND(significance_bar,3),TEXT($AC970,"0.0000"),TEXT($AC970,"0.000")),""),"")</f>
        <v/>
      </c>
      <c r="AO970">
        <f>IF(OR($AI970="",$AN970=""),$AI970,$AI970&amp;" · borderline (p "&amp;$AN970&amp;")")</f>
        <v/>
      </c>
    </row>
    <row r="971">
      <c r="A971" t="inlineStr">
        <is>
          <t>three-way</t>
        </is>
      </c>
      <c r="B971" t="inlineStr">
        <is>
          <t>ORIG_BAL x CHANNEL / SYS_FLAG</t>
        </is>
      </c>
      <c r="C971" t="inlineStr">
        <is>
          <t>37,951 - 49,151</t>
        </is>
      </c>
      <c r="D971" t="inlineStr">
        <is>
          <t>Broker / SYS_FLAG Y</t>
        </is>
      </c>
      <c r="E971" t="inlineStr">
        <is>
          <t>gco_rate</t>
        </is>
      </c>
      <c r="F971" t="inlineStr">
        <is>
          <t>GCO per booked dollar</t>
        </is>
      </c>
      <c r="G971" t="n">
        <v>249</v>
      </c>
      <c r="H971" t="n">
        <v>10835298.16</v>
      </c>
      <c r="I971" t="b">
        <v>0</v>
      </c>
      <c r="J971" t="b">
        <v>0</v>
      </c>
      <c r="K971" t="n">
        <v>1.848118714773821</v>
      </c>
      <c r="L971" t="n">
        <v>0.02333100023331</v>
      </c>
      <c r="M971" t="n">
        <v>1.780346860606634</v>
      </c>
      <c r="N971" t="n">
        <v>0.0363963603639636</v>
      </c>
      <c r="O971" t="n">
        <v>369188.0193143846</v>
      </c>
      <c r="P971" t="n">
        <v>352617.5161075343</v>
      </c>
      <c r="Q971">
        <f>'_live'!$C$22</f>
        <v/>
      </c>
      <c r="R971" t="inlineStr">
        <is>
          <t>shuffled: 24 of 10,000</t>
        </is>
      </c>
      <c r="S971" t="inlineStr">
        <is>
          <t>shuffled: 38 of 10,000</t>
        </is>
      </c>
      <c r="T971" t="n">
        <v>0.04017446352261849</v>
      </c>
      <c r="U971" t="n">
        <v>0.04170377106562848</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0.07424717789214945</v>
      </c>
      <c r="AI971">
        <f>IF($Y971="worse","Yes",IF($Y971="worse, not significant","Not sure",IF(OR($Y971="too few losses to test",$Y971="too few loans to test"),"Too few losses",IF($Y971="","","No"))))</f>
        <v/>
      </c>
      <c r="AJ971">
        <f>IF($AA971="yes","Yes",IF($AA971="","","No"))</f>
        <v/>
      </c>
      <c r="AK971" t="n">
        <v>0.004660597242904319</v>
      </c>
      <c r="AL971" t="n">
        <v>0.005816998094801563</v>
      </c>
      <c r="AM971">
        <f>IF(AND(ISNUMBER($AC971),ISNUMBER(IF($V971,IF($AL971="","",$AL971),IF($AK971="","",$AK971)))),IF(AND(ABS($AC971-significance_bar)&lt;=2.0*IF($V971,IF($AL971="","",$AL971),IF($AK971="","",$AK971)),OR($Y971="worse",$Y971="better",$Y971="worse, not significant",$Y971="better, not significant")),IF(ROUND($AC971,3)=ROUND(significance_bar,3),TEXT($AC971,"0.0000"),TEXT($AC971,"0.000")),""),"")</f>
        <v/>
      </c>
      <c r="AN971">
        <f>IF(AND(ISNUMBER($AC971),ISNUMBER(IF($V971,IF($AL971="","",$AL971),IF($AK971="","",$AK971)))),IF(AND(ABS($AC971-significance_bar)&lt;=2.0*IF($V971,IF($AL971="","",$AL971),IF($AK971="","",$AK971)),OR($Y971="worse",$Y971="worse, not significant")),IF(ROUND($AC971,3)=ROUND(significance_bar,3),TEXT($AC971,"0.0000"),TEXT($AC971,"0.000")),""),"")</f>
        <v/>
      </c>
      <c r="AO971">
        <f>IF(OR($AI971="",$AN971=""),$AI971,$AI971&amp;" · borderline (p "&amp;$AN971&amp;")")</f>
        <v/>
      </c>
    </row>
    <row r="972">
      <c r="A972" t="inlineStr">
        <is>
          <t>three-way</t>
        </is>
      </c>
      <c r="B972" t="inlineStr">
        <is>
          <t>ORIG_BAL x CHANNEL / SYS_FLAG</t>
        </is>
      </c>
      <c r="C972" t="inlineStr">
        <is>
          <t>37,951 - 49,151</t>
        </is>
      </c>
      <c r="D972" t="inlineStr">
        <is>
          <t>Broker / SYS_FLAG Y</t>
        </is>
      </c>
      <c r="E972" t="inlineStr">
        <is>
          <t>ranr_rate</t>
        </is>
      </c>
      <c r="F972" t="inlineStr">
        <is>
          <t>Profit after losses: RANR per booked dollar</t>
        </is>
      </c>
      <c r="G972" t="n">
        <v>249</v>
      </c>
      <c r="H972" t="n">
        <v>10835298.16</v>
      </c>
      <c r="I972" t="b">
        <v>0</v>
      </c>
      <c r="J972" t="b">
        <v>0</v>
      </c>
      <c r="K972" t="n">
        <v>-0.03724836260681179</v>
      </c>
      <c r="L972" t="n">
        <v>0.0254974502549745</v>
      </c>
      <c r="M972" t="n">
        <v>-0.03566782748606821</v>
      </c>
      <c r="N972" t="n">
        <v>0.0461953804619538</v>
      </c>
      <c r="O972" t="n">
        <v>403597.1148166007</v>
      </c>
      <c r="P972" t="n">
        <v>386471.5455309923</v>
      </c>
      <c r="Q972">
        <f>'_live'!$C$23</f>
        <v/>
      </c>
      <c r="R972" t="inlineStr">
        <is>
          <t>shuffled: 44 of 10,000</t>
        </is>
      </c>
      <c r="S972" t="inlineStr">
        <is>
          <t>shuffled: 76 of 10,000</t>
        </is>
      </c>
      <c r="T972" t="n">
        <v>0.129553964652192</v>
      </c>
      <c r="U972" t="n">
        <v>0.1279734295314484</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0.09230560204538017</v>
      </c>
      <c r="AI972">
        <f>IF($Y972="worse","Yes",IF($Y972="worse, not significant","Not sure",IF(OR($Y972="too few losses to test",$Y972="too few loans to test"),"Too few losses",IF($Y972="","","No"))))</f>
        <v/>
      </c>
      <c r="AJ972">
        <f>IF($AA972="yes","Yes",IF($AA972="","","No"))</f>
        <v/>
      </c>
      <c r="AK972" t="n">
        <v>0.003561420100260114</v>
      </c>
      <c r="AL972" t="n">
        <v>0.005244409114435087</v>
      </c>
      <c r="AM972">
        <f>IF(AND(ISNUMBER($AC972),ISNUMBER(IF($V972,IF($AL972="","",$AL972),IF($AK972="","",$AK972)))),IF(AND(ABS($AC972-significance_bar)&lt;=2.0*IF($V972,IF($AL972="","",$AL972),IF($AK972="","",$AK972)),OR($Y972="worse",$Y972="better",$Y972="worse, not significant",$Y972="better, not significant",AND(profit_kind="test",$Y972="in line",ISNUMBER($AB972),$AB972&lt;&gt;0))),IF(ROUND($AC972,3)=ROUND(significance_bar,3),TEXT($AC972,"0.0000"),TEXT($AC972,"0.000")),""),"")</f>
        <v/>
      </c>
      <c r="AN972">
        <f>IF(AND(ISNUMBER($AC972),ISNUMBER(IF($V972,IF($AL972="","",$AL972),IF($AK972="","",$AK972)))),IF(AND(ABS($AC972-significance_bar)&lt;=2.0*IF($V972,IF($AL972="","",$AL972),IF($AK972="","",$AK972)),OR($Y972="worse",$Y972="worse, not significant",AND(profit_kind="test",$Y972="in line",ISNUMBER($AB972),$AB972&lt;0))),IF(ROUND($AC972,3)=ROUND(significance_bar,3),TEXT($AC972,"0.0000"),TEXT($AC972,"0.000")),""),"")</f>
        <v/>
      </c>
      <c r="AO972">
        <f>IF(OR($AI972="",$AN972=""),$AI972,$AI972&amp;" · borderline (p "&amp;$AN972&amp;")")</f>
        <v/>
      </c>
    </row>
    <row r="973">
      <c r="A973" t="inlineStr">
        <is>
          <t>three-way</t>
        </is>
      </c>
      <c r="B973" t="inlineStr">
        <is>
          <t>ORIG_BAL x CHANNEL / SYS_FLAG</t>
        </is>
      </c>
      <c r="C973" t="inlineStr">
        <is>
          <t>37,951 - 49,151</t>
        </is>
      </c>
      <c r="D973" t="inlineStr">
        <is>
          <t>Broker / SYS_FLAG Y</t>
        </is>
      </c>
      <c r="E973" t="inlineStr">
        <is>
          <t>contribution_rate</t>
        </is>
      </c>
      <c r="F973" t="inlineStr">
        <is>
          <t>Contribution before losses per booked dollar</t>
        </is>
      </c>
      <c r="G973" t="n">
        <v>249</v>
      </c>
      <c r="H973" t="n">
        <v>10835298.16</v>
      </c>
      <c r="I973" t="b">
        <v>0</v>
      </c>
      <c r="J973" t="b">
        <v>0</v>
      </c>
      <c r="K973" t="n">
        <v>-0.003172914731511045</v>
      </c>
      <c r="L973" t="n">
        <v>0.7192280771922808</v>
      </c>
      <c r="M973" t="n">
        <v>-0.003111867254642603</v>
      </c>
      <c r="N973" t="n">
        <v>0.7119288071192881</v>
      </c>
      <c r="O973" t="n">
        <v>34379.47715217853</v>
      </c>
      <c r="P973" t="n">
        <v>33718.00953839347</v>
      </c>
      <c r="Q973">
        <f>'_live'!$C$24</f>
        <v/>
      </c>
      <c r="R973" t="inlineStr">
        <is>
          <t>shuffled: 7,073 of 10,000</t>
        </is>
      </c>
      <c r="S973" t="inlineStr">
        <is>
          <t>shuffled: 7,019 of 10,000</t>
        </is>
      </c>
      <c r="T973" t="n">
        <v>0.1697256946690406</v>
      </c>
      <c r="U973" t="n">
        <v>0.1696646471921722</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0.1665527799375296</v>
      </c>
      <c r="AI973">
        <f>IF($Y973="worse","Yes",IF($Y973="worse, not significant","Not sure",IF(OR($Y973="too few losses to test",$Y973="too few loans to test"),"Too few losses",IF($Y973="","","No"))))</f>
        <v/>
      </c>
      <c r="AJ973">
        <f>IF($AA973="yes","Yes",IF($AA973="","","No"))</f>
        <v/>
      </c>
      <c r="AK973" t="n">
        <v>0.004493762901740315</v>
      </c>
      <c r="AL973" t="n">
        <v>0.004528644175832272</v>
      </c>
      <c r="AM973">
        <f>IF(AND(ISNUMBER($AC973),ISNUMBER(IF($V973,IF($AL973="","",$AL973),IF($AK973="","",$AK973)))),IF(AND(ABS($AC973-significance_bar)&lt;=2.0*IF($V973,IF($AL973="","",$AL973),IF($AK973="","",$AK973)),OR($Y973="worse",$Y973="better",$Y973="worse, not significant",$Y973="better, not significant",AND(profit_kind="test",$Y973="in line",ISNUMBER($AB973),$AB973&lt;&gt;0))),IF(ROUND($AC973,3)=ROUND(significance_bar,3),TEXT($AC973,"0.0000"),TEXT($AC973,"0.000")),""),"")</f>
        <v/>
      </c>
      <c r="AN973">
        <f>IF(AND(ISNUMBER($AC973),ISNUMBER(IF($V973,IF($AL973="","",$AL973),IF($AK973="","",$AK973)))),IF(AND(ABS($AC973-significance_bar)&lt;=2.0*IF($V973,IF($AL973="","",$AL973),IF($AK973="","",$AK973)),OR($Y973="worse",$Y973="worse, not significant",AND(profit_kind="test",$Y973="in line",ISNUMBER($AB973),$AB973&lt;0))),IF(ROUND($AC973,3)=ROUND(significance_bar,3),TEXT($AC973,"0.0000"),TEXT($AC973,"0.000")),""),"")</f>
        <v/>
      </c>
      <c r="AO973">
        <f>IF(OR($AI973="",$AN973=""),$AI973,$AI973&amp;" · borderline (p "&amp;$AN973&amp;")")</f>
        <v/>
      </c>
    </row>
    <row r="974">
      <c r="A974" t="inlineStr">
        <is>
          <t>three-way</t>
        </is>
      </c>
      <c r="B974" t="inlineStr">
        <is>
          <t>ORIG_BAL x CHANNEL / SYS_FLAG</t>
        </is>
      </c>
      <c r="C974" t="inlineStr">
        <is>
          <t>37,951 - 49,151</t>
        </is>
      </c>
      <c r="D974" t="inlineStr">
        <is>
          <t>Online / SYS_FLAG Y</t>
        </is>
      </c>
      <c r="E974" t="inlineStr">
        <is>
          <t>outcome_loans</t>
        </is>
      </c>
      <c r="F974" t="inlineStr">
        <is>
          <t>Outcome, share of loans</t>
        </is>
      </c>
      <c r="G974" t="n">
        <v>254</v>
      </c>
      <c r="H974" t="n">
        <v>254</v>
      </c>
      <c r="I974" t="b">
        <v>0</v>
      </c>
      <c r="J974" t="b">
        <v>0</v>
      </c>
      <c r="K974" t="n">
        <v>1.717133374539787</v>
      </c>
      <c r="L974" t="n">
        <v>0.01353140857042447</v>
      </c>
      <c r="M974" t="n">
        <v>1.731425898495361</v>
      </c>
      <c r="N974" t="n">
        <v>0.02644088256566899</v>
      </c>
      <c r="O974" t="n">
        <v>13.78192382182053</v>
      </c>
      <c r="P974" t="n">
        <v>13.9405646359584</v>
      </c>
      <c r="Q974">
        <f>'_live'!$C$20</f>
        <v/>
      </c>
      <c r="R974" t="inlineStr">
        <is>
          <t>z test</t>
        </is>
      </c>
      <c r="S974" t="inlineStr">
        <is>
          <t>z test</t>
        </is>
      </c>
      <c r="T974" t="n">
        <v>0.07566171723692705</v>
      </c>
      <c r="U974" t="n">
        <v>0.075037147102526</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0.1299212598425197</v>
      </c>
      <c r="AI974">
        <f>IF($Y974="worse","Yes",IF($Y974="worse, not significant","Not sure",IF(OR($Y974="too few losses to test",$Y974="too few loans to test"),"Too few losses",IF($Y974="","","No"))))</f>
        <v/>
      </c>
      <c r="AJ974">
        <f>IF($AA974="yes","Yes",IF($AA974="","","No"))</f>
        <v/>
      </c>
      <c r="AM974">
        <f>IF(AND(ISNUMBER($AC974),ISNUMBER(IF($V974,IF($AL974="","",$AL974),IF($AK974="","",$AK974)))),IF(AND(ABS($AC974-significance_bar)&lt;=2.0*IF($V974,IF($AL974="","",$AL974),IF($AK974="","",$AK974)),OR($Y974="worse",$Y974="better",$Y974="worse, not significant",$Y974="better, not significant")),IF(ROUND($AC974,3)=ROUND(significance_bar,3),TEXT($AC974,"0.0000"),TEXT($AC974,"0.000")),""),"")</f>
        <v/>
      </c>
      <c r="AN974">
        <f>IF(AND(ISNUMBER($AC974),ISNUMBER(IF($V974,IF($AL974="","",$AL974),IF($AK974="","",$AK974)))),IF(AND(ABS($AC974-significance_bar)&lt;=2.0*IF($V974,IF($AL974="","",$AL974),IF($AK974="","",$AK974)),OR($Y974="worse",$Y974="worse, not significant")),IF(ROUND($AC974,3)=ROUND(significance_bar,3),TEXT($AC974,"0.0000"),TEXT($AC974,"0.000")),""),"")</f>
        <v/>
      </c>
      <c r="AO974">
        <f>IF(OR($AI974="",$AN974=""),$AI974,$AI974&amp;" · borderline (p "&amp;$AN974&amp;")")</f>
        <v/>
      </c>
    </row>
    <row r="975">
      <c r="A975" t="inlineStr">
        <is>
          <t>three-way</t>
        </is>
      </c>
      <c r="B975" t="inlineStr">
        <is>
          <t>ORIG_BAL x CHANNEL / SYS_FLAG</t>
        </is>
      </c>
      <c r="C975" t="inlineStr">
        <is>
          <t>37,951 - 49,151</t>
        </is>
      </c>
      <c r="D975" t="inlineStr">
        <is>
          <t>Online / SYS_FLAG Y</t>
        </is>
      </c>
      <c r="E975" t="inlineStr">
        <is>
          <t>outcome_booked</t>
        </is>
      </c>
      <c r="F975" t="inlineStr">
        <is>
          <t>Outcome, share of booked dollars</t>
        </is>
      </c>
      <c r="G975" t="n">
        <v>254</v>
      </c>
      <c r="H975" t="n">
        <v>11075458.79</v>
      </c>
      <c r="I975" t="b">
        <v>0</v>
      </c>
      <c r="J975" t="b">
        <v>0</v>
      </c>
      <c r="K975" t="n">
        <v>1.827478547228371</v>
      </c>
      <c r="L975" t="n">
        <v>0.0177315601773156</v>
      </c>
      <c r="M975" t="n">
        <v>1.788486021729654</v>
      </c>
      <c r="N975" t="n">
        <v>0.0205312802053128</v>
      </c>
      <c r="O975" t="n">
        <v>662262.3826595702</v>
      </c>
      <c r="P975" t="n">
        <v>644813.4382669386</v>
      </c>
      <c r="Q975">
        <f>'_live'!$C$21</f>
        <v/>
      </c>
      <c r="R975" t="inlineStr">
        <is>
          <t>shuffled: 18 of 10,000</t>
        </is>
      </c>
      <c r="S975" t="inlineStr">
        <is>
          <t>shuffled: 21 of 10,000</t>
        </is>
      </c>
      <c r="T975" t="n">
        <v>0.0722622730593384</v>
      </c>
      <c r="U975" t="n">
        <v>0.07383773324780357</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0.1320577537898996</v>
      </c>
      <c r="AI975">
        <f>IF($Y975="worse","Yes",IF($Y975="worse, not significant","Not sure",IF(OR($Y975="too few losses to test",$Y975="too few loans to test"),"Too few losses",IF($Y975="","","No"))))</f>
        <v/>
      </c>
      <c r="AJ975">
        <f>IF($AA975="yes","Yes",IF($AA975="","","No"))</f>
        <v/>
      </c>
      <c r="AK975" t="n">
        <v>0.004064236132763743</v>
      </c>
      <c r="AL975" t="n">
        <v>0.004372685084126043</v>
      </c>
      <c r="AM975">
        <f>IF(AND(ISNUMBER($AC975),ISNUMBER(IF($V975,IF($AL975="","",$AL975),IF($AK975="","",$AK975)))),IF(AND(ABS($AC975-significance_bar)&lt;=2.0*IF($V975,IF($AL975="","",$AL975),IF($AK975="","",$AK975)),OR($Y975="worse",$Y975="better",$Y975="worse, not significant",$Y975="better, not significant")),IF(ROUND($AC975,3)=ROUND(significance_bar,3),TEXT($AC975,"0.0000"),TEXT($AC975,"0.000")),""),"")</f>
        <v/>
      </c>
      <c r="AN975">
        <f>IF(AND(ISNUMBER($AC975),ISNUMBER(IF($V975,IF($AL975="","",$AL975),IF($AK975="","",$AK975)))),IF(AND(ABS($AC975-significance_bar)&lt;=2.0*IF($V975,IF($AL975="","",$AL975),IF($AK975="","",$AK975)),OR($Y975="worse",$Y975="worse, not significant")),IF(ROUND($AC975,3)=ROUND(significance_bar,3),TEXT($AC975,"0.0000"),TEXT($AC975,"0.000")),""),"")</f>
        <v/>
      </c>
      <c r="AO975">
        <f>IF(OR($AI975="",$AN975=""),$AI975,$AI975&amp;" · borderline (p "&amp;$AN975&amp;")")</f>
        <v/>
      </c>
    </row>
    <row r="976">
      <c r="A976" t="inlineStr">
        <is>
          <t>three-way</t>
        </is>
      </c>
      <c r="B976" t="inlineStr">
        <is>
          <t>ORIG_BAL x CHANNEL / SYS_FLAG</t>
        </is>
      </c>
      <c r="C976" t="inlineStr">
        <is>
          <t>37,951 - 49,151</t>
        </is>
      </c>
      <c r="D976" t="inlineStr">
        <is>
          <t>Online / SYS_FLAG Y</t>
        </is>
      </c>
      <c r="E976" t="inlineStr">
        <is>
          <t>gco_rate</t>
        </is>
      </c>
      <c r="F976" t="inlineStr">
        <is>
          <t>GCO per booked dollar</t>
        </is>
      </c>
      <c r="G976" t="n">
        <v>254</v>
      </c>
      <c r="H976" t="n">
        <v>11075458.79</v>
      </c>
      <c r="I976" t="b">
        <v>0</v>
      </c>
      <c r="J976" t="b">
        <v>0</v>
      </c>
      <c r="K976" t="n">
        <v>1.84394274399716</v>
      </c>
      <c r="L976" t="n">
        <v>0.02333100023331</v>
      </c>
      <c r="M976" t="n">
        <v>1.779265011748837</v>
      </c>
      <c r="N976" t="n">
        <v>0.0363963603639636</v>
      </c>
      <c r="O976" t="n">
        <v>375291.7368475758</v>
      </c>
      <c r="P976" t="n">
        <v>359126.9432321162</v>
      </c>
      <c r="Q976">
        <f>'_live'!$C$22</f>
        <v/>
      </c>
      <c r="R976" t="inlineStr">
        <is>
          <t>shuffled: 17 of 10,000</t>
        </is>
      </c>
      <c r="S976" t="inlineStr">
        <is>
          <t>shuffled: 35 of 10,000</t>
        </is>
      </c>
      <c r="T976" t="n">
        <v>0.04015080833978018</v>
      </c>
      <c r="U976" t="n">
        <v>0.04161032292260312</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0.07403579170375833</v>
      </c>
      <c r="AI976">
        <f>IF($Y976="worse","Yes",IF($Y976="worse, not significant","Not sure",IF(OR($Y976="too few losses to test",$Y976="too few loans to test"),"Too few losses",IF($Y976="","","No"))))</f>
        <v/>
      </c>
      <c r="AJ976">
        <f>IF($AA976="yes","Yes",IF($AA976="","","No"))</f>
        <v/>
      </c>
      <c r="AK976" t="n">
        <v>0.004660597242904319</v>
      </c>
      <c r="AL976" t="n">
        <v>0.005816998094801563</v>
      </c>
      <c r="AM976">
        <f>IF(AND(ISNUMBER($AC976),ISNUMBER(IF($V976,IF($AL976="","",$AL976),IF($AK976="","",$AK976)))),IF(AND(ABS($AC976-significance_bar)&lt;=2.0*IF($V976,IF($AL976="","",$AL976),IF($AK976="","",$AK976)),OR($Y976="worse",$Y976="better",$Y976="worse, not significant",$Y976="better, not significant")),IF(ROUND($AC976,3)=ROUND(significance_bar,3),TEXT($AC976,"0.0000"),TEXT($AC976,"0.000")),""),"")</f>
        <v/>
      </c>
      <c r="AN976">
        <f>IF(AND(ISNUMBER($AC976),ISNUMBER(IF($V976,IF($AL976="","",$AL976),IF($AK976="","",$AK976)))),IF(AND(ABS($AC976-significance_bar)&lt;=2.0*IF($V976,IF($AL976="","",$AL976),IF($AK976="","",$AK976)),OR($Y976="worse",$Y976="worse, not significant")),IF(ROUND($AC976,3)=ROUND(significance_bar,3),TEXT($AC976,"0.0000"),TEXT($AC976,"0.000")),""),"")</f>
        <v/>
      </c>
      <c r="AO976">
        <f>IF(OR($AI976="",$AN976=""),$AI976,$AI976&amp;" · borderline (p "&amp;$AN976&amp;")")</f>
        <v/>
      </c>
    </row>
    <row r="977">
      <c r="A977" t="inlineStr">
        <is>
          <t>three-way</t>
        </is>
      </c>
      <c r="B977" t="inlineStr">
        <is>
          <t>ORIG_BAL x CHANNEL / SYS_FLAG</t>
        </is>
      </c>
      <c r="C977" t="inlineStr">
        <is>
          <t>37,951 - 49,151</t>
        </is>
      </c>
      <c r="D977" t="inlineStr">
        <is>
          <t>Online / SYS_FLAG Y</t>
        </is>
      </c>
      <c r="E977" t="inlineStr">
        <is>
          <t>ranr_rate</t>
        </is>
      </c>
      <c r="F977" t="inlineStr">
        <is>
          <t>Profit after losses: RANR per booked dollar</t>
        </is>
      </c>
      <c r="G977" t="n">
        <v>254</v>
      </c>
      <c r="H977" t="n">
        <v>11075458.79</v>
      </c>
      <c r="I977" t="b">
        <v>0</v>
      </c>
      <c r="J977" t="b">
        <v>0</v>
      </c>
      <c r="K977" t="n">
        <v>-0.02463990442108085</v>
      </c>
      <c r="L977" t="n">
        <v>0.154075501540755</v>
      </c>
      <c r="M977" t="n">
        <v>-0.02142552386860541</v>
      </c>
      <c r="N977" t="n">
        <v>0.2337623380519091</v>
      </c>
      <c r="O977" t="n">
        <v>272898.2460052199</v>
      </c>
      <c r="P977" t="n">
        <v>237297.5066609008</v>
      </c>
      <c r="Q977">
        <f>'_live'!$C$23</f>
        <v/>
      </c>
      <c r="R977" t="inlineStr">
        <is>
          <t>shuffled: 564 of 10,000</t>
        </is>
      </c>
      <c r="S977" t="inlineStr">
        <is>
          <t>shuffled: 1,073 of 10,000</t>
        </is>
      </c>
      <c r="T977" t="n">
        <v>0.1290475142479601</v>
      </c>
      <c r="U977" t="n">
        <v>0.1258331336954847</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0.1044076098268792</v>
      </c>
      <c r="AI977">
        <f>IF($Y977="worse","Yes",IF($Y977="worse, not significant","Not sure",IF(OR($Y977="too few losses to test",$Y977="too few loans to test"),"Too few losses",IF($Y977="","","No"))))</f>
        <v/>
      </c>
      <c r="AJ977">
        <f>IF($AA977="yes","Yes",IF($AA977="","","No"))</f>
        <v/>
      </c>
      <c r="AK977" t="n">
        <v>0.006296559799747264</v>
      </c>
      <c r="AL977" t="n">
        <v>0.0066803777223599</v>
      </c>
      <c r="AM977">
        <f>IF(AND(ISNUMBER($AC977),ISNUMBER(IF($V977,IF($AL977="","",$AL977),IF($AK977="","",$AK977)))),IF(AND(ABS($AC977-significance_bar)&lt;=2.0*IF($V977,IF($AL977="","",$AL977),IF($AK977="","",$AK977)),OR($Y977="worse",$Y977="better",$Y977="worse, not significant",$Y977="better, not significant",AND(profit_kind="test",$Y977="in line",ISNUMBER($AB977),$AB977&lt;&gt;0))),IF(ROUND($AC977,3)=ROUND(significance_bar,3),TEXT($AC977,"0.0000"),TEXT($AC977,"0.000")),""),"")</f>
        <v/>
      </c>
      <c r="AN977">
        <f>IF(AND(ISNUMBER($AC977),ISNUMBER(IF($V977,IF($AL977="","",$AL977),IF($AK977="","",$AK977)))),IF(AND(ABS($AC977-significance_bar)&lt;=2.0*IF($V977,IF($AL977="","",$AL977),IF($AK977="","",$AK977)),OR($Y977="worse",$Y977="worse, not significant",AND(profit_kind="test",$Y977="in line",ISNUMBER($AB977),$AB977&lt;0))),IF(ROUND($AC977,3)=ROUND(significance_bar,3),TEXT($AC977,"0.0000"),TEXT($AC977,"0.000")),""),"")</f>
        <v/>
      </c>
      <c r="AO977">
        <f>IF(OR($AI977="",$AN977=""),$AI977,$AI977&amp;" · borderline (p "&amp;$AN977&amp;")")</f>
        <v/>
      </c>
    </row>
    <row r="978">
      <c r="A978" t="inlineStr">
        <is>
          <t>three-way</t>
        </is>
      </c>
      <c r="B978" t="inlineStr">
        <is>
          <t>ORIG_BAL x CHANNEL / SYS_FLAG</t>
        </is>
      </c>
      <c r="C978" t="inlineStr">
        <is>
          <t>37,951 - 49,151</t>
        </is>
      </c>
      <c r="D978" t="inlineStr">
        <is>
          <t>Online / SYS_FLAG Y</t>
        </is>
      </c>
      <c r="E978" t="inlineStr">
        <is>
          <t>contribution_rate</t>
        </is>
      </c>
      <c r="F978" t="inlineStr">
        <is>
          <t>Contribution before losses per booked dollar</t>
        </is>
      </c>
      <c r="G978" t="n">
        <v>254</v>
      </c>
      <c r="H978" t="n">
        <v>11075458.79</v>
      </c>
      <c r="I978" t="b">
        <v>0</v>
      </c>
      <c r="J978" t="b">
        <v>0</v>
      </c>
      <c r="K978" t="n">
        <v>0.009247896491584723</v>
      </c>
      <c r="L978" t="n">
        <v>0.4120087991200879</v>
      </c>
      <c r="M978" t="n">
        <v>0.01101399963489433</v>
      </c>
      <c r="N978" t="n">
        <v>0.3657759224077592</v>
      </c>
      <c r="O978" t="n">
        <v>-102424.6964867322</v>
      </c>
      <c r="P978" t="n">
        <v>-121985.0990693471</v>
      </c>
      <c r="Q978">
        <f>'_live'!$C$24</f>
        <v/>
      </c>
      <c r="R978" t="inlineStr">
        <is>
          <t>shuffled: 2,746 of 10,000</t>
        </is>
      </c>
      <c r="S978" t="inlineStr">
        <is>
          <t>shuffled: 1,848 of 10,000</t>
        </is>
      </c>
      <c r="T978" t="n">
        <v>0.1691955050390528</v>
      </c>
      <c r="U978" t="n">
        <v>0.1674294018957432</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0.1784434015306375</v>
      </c>
      <c r="AI978">
        <f>IF($Y978="worse","Yes",IF($Y978="worse, not significant","Not sure",IF(OR($Y978="too few losses to test",$Y978="too few loans to test"),"Too few losses",IF($Y978="","","No"))))</f>
        <v/>
      </c>
      <c r="AJ978">
        <f>IF($AA978="yes","Yes",IF($AA978="","","No"))</f>
        <v/>
      </c>
      <c r="AK978" t="n">
        <v>0.006695236725671132</v>
      </c>
      <c r="AL978" t="n">
        <v>0.007429924825335055</v>
      </c>
      <c r="AM978">
        <f>IF(AND(ISNUMBER($AC978),ISNUMBER(IF($V978,IF($AL978="","",$AL978),IF($AK978="","",$AK978)))),IF(AND(ABS($AC978-significance_bar)&lt;=2.0*IF($V978,IF($AL978="","",$AL978),IF($AK978="","",$AK978)),OR($Y978="worse",$Y978="better",$Y978="worse, not significant",$Y978="better, not significant",AND(profit_kind="test",$Y978="in line",ISNUMBER($AB978),$AB978&lt;&gt;0))),IF(ROUND($AC978,3)=ROUND(significance_bar,3),TEXT($AC978,"0.0000"),TEXT($AC978,"0.000")),""),"")</f>
        <v/>
      </c>
      <c r="AN978">
        <f>IF(AND(ISNUMBER($AC978),ISNUMBER(IF($V978,IF($AL978="","",$AL978),IF($AK978="","",$AK978)))),IF(AND(ABS($AC978-significance_bar)&lt;=2.0*IF($V978,IF($AL978="","",$AL978),IF($AK978="","",$AK978)),OR($Y978="worse",$Y978="worse, not significant",AND(profit_kind="test",$Y978="in line",ISNUMBER($AB978),$AB978&lt;0))),IF(ROUND($AC978,3)=ROUND(significance_bar,3),TEXT($AC978,"0.0000"),TEXT($AC978,"0.000")),""),"")</f>
        <v/>
      </c>
      <c r="AO978">
        <f>IF(OR($AI978="",$AN978=""),$AI978,$AI978&amp;" · borderline (p "&amp;$AN978&amp;")")</f>
        <v/>
      </c>
    </row>
    <row r="979">
      <c r="A979" t="inlineStr">
        <is>
          <t>three-way</t>
        </is>
      </c>
      <c r="B979" t="inlineStr">
        <is>
          <t>ORIG_BAL x CHANNEL / SYS_FLAG</t>
        </is>
      </c>
      <c r="C979" t="inlineStr">
        <is>
          <t>15,449 - 26,323</t>
        </is>
      </c>
      <c r="D979" t="inlineStr">
        <is>
          <t>Broker / SYS_FLAG Y</t>
        </is>
      </c>
      <c r="E979" t="inlineStr">
        <is>
          <t>outcome_loans</t>
        </is>
      </c>
      <c r="F979" t="inlineStr">
        <is>
          <t>Outcome, share of loans</t>
        </is>
      </c>
      <c r="G979" t="n">
        <v>244</v>
      </c>
      <c r="H979" t="n">
        <v>244</v>
      </c>
      <c r="I979" t="b">
        <v>0</v>
      </c>
      <c r="J979" t="b">
        <v>0</v>
      </c>
      <c r="K979" t="n">
        <v>1.904790309903436</v>
      </c>
      <c r="L979" t="n">
        <v>0.002105166892985362</v>
      </c>
      <c r="M979" t="n">
        <v>1.706212251941329</v>
      </c>
      <c r="N979" t="n">
        <v>0.02644088256566899</v>
      </c>
      <c r="O979" t="n">
        <v>16.62527401676338</v>
      </c>
      <c r="P979" t="n">
        <v>14.48672566371681</v>
      </c>
      <c r="Q979">
        <f>'_live'!$C$20</f>
        <v/>
      </c>
      <c r="R979" t="inlineStr">
        <is>
          <t>z test</t>
        </is>
      </c>
      <c r="S979" t="inlineStr">
        <is>
          <t>z test</t>
        </is>
      </c>
      <c r="T979" t="n">
        <v>0.07530625402965828</v>
      </c>
      <c r="U979" t="n">
        <v>0.084070796460177</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0.1434426229508197</v>
      </c>
      <c r="AI979">
        <f>IF($Y979="worse","Yes",IF($Y979="worse, not significant","Not sure",IF(OR($Y979="too few losses to test",$Y979="too few loans to test"),"Too few losses",IF($Y979="","","No"))))</f>
        <v/>
      </c>
      <c r="AJ979">
        <f>IF($AA979="yes","Yes",IF($AA979="","","No"))</f>
        <v/>
      </c>
      <c r="AM979">
        <f>IF(AND(ISNUMBER($AC979),ISNUMBER(IF($V979,IF($AL979="","",$AL979),IF($AK979="","",$AK979)))),IF(AND(ABS($AC979-significance_bar)&lt;=2.0*IF($V979,IF($AL979="","",$AL979),IF($AK979="","",$AK979)),OR($Y979="worse",$Y979="better",$Y979="worse, not significant",$Y979="better, not significant")),IF(ROUND($AC979,3)=ROUND(significance_bar,3),TEXT($AC979,"0.0000"),TEXT($AC979,"0.000")),""),"")</f>
        <v/>
      </c>
      <c r="AN979">
        <f>IF(AND(ISNUMBER($AC979),ISNUMBER(IF($V979,IF($AL979="","",$AL979),IF($AK979="","",$AK979)))),IF(AND(ABS($AC979-significance_bar)&lt;=2.0*IF($V979,IF($AL979="","",$AL979),IF($AK979="","",$AK979)),OR($Y979="worse",$Y979="worse, not significant")),IF(ROUND($AC979,3)=ROUND(significance_bar,3),TEXT($AC979,"0.0000"),TEXT($AC979,"0.000")),""),"")</f>
        <v/>
      </c>
      <c r="AO979">
        <f>IF(OR($AI979="",$AN979=""),$AI979,$AI979&amp;" · borderline (p "&amp;$AN979&amp;")")</f>
        <v/>
      </c>
    </row>
    <row r="980">
      <c r="A980" t="inlineStr">
        <is>
          <t>three-way</t>
        </is>
      </c>
      <c r="B980" t="inlineStr">
        <is>
          <t>ORIG_BAL x CHANNEL / SYS_FLAG</t>
        </is>
      </c>
      <c r="C980" t="inlineStr">
        <is>
          <t>15,449 - 26,323</t>
        </is>
      </c>
      <c r="D980" t="inlineStr">
        <is>
          <t>Broker / SYS_FLAG Y</t>
        </is>
      </c>
      <c r="E980" t="inlineStr">
        <is>
          <t>outcome_booked</t>
        </is>
      </c>
      <c r="F980" t="inlineStr">
        <is>
          <t>Outcome, share of booked dollars</t>
        </is>
      </c>
      <c r="G980" t="n">
        <v>244</v>
      </c>
      <c r="H980" t="n">
        <v>5135881.139999999</v>
      </c>
      <c r="I980" t="b">
        <v>0</v>
      </c>
      <c r="J980" t="b">
        <v>0</v>
      </c>
      <c r="K980" t="n">
        <v>1.8882535609389</v>
      </c>
      <c r="L980" t="n">
        <v>0.0111988801119888</v>
      </c>
      <c r="M980" t="n">
        <v>1.622100679267581</v>
      </c>
      <c r="N980" t="n">
        <v>0.0517948205179482</v>
      </c>
      <c r="O980" t="n">
        <v>335436.1869296335</v>
      </c>
      <c r="P980" t="n">
        <v>273474.0593092293</v>
      </c>
      <c r="Q980">
        <f>'_live'!$C$21</f>
        <v/>
      </c>
      <c r="R980" t="inlineStr">
        <is>
          <t>shuffled: 7 of 10,000</t>
        </is>
      </c>
      <c r="S980" t="inlineStr">
        <is>
          <t>shuffled: 109 of 10,000</t>
        </is>
      </c>
      <c r="T980" t="n">
        <v>0.07352888682123331</v>
      </c>
      <c r="U980" t="n">
        <v>0.08559344321016957</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0.1388411823720672</v>
      </c>
      <c r="AI980">
        <f>IF($Y980="worse","Yes",IF($Y980="worse, not significant","Not sure",IF(OR($Y980="too few losses to test",$Y980="too few loans to test"),"Too few losses",IF($Y980="","","No"))))</f>
        <v/>
      </c>
      <c r="AJ980">
        <f>IF($AA980="yes","Yes",IF($AA980="","","No"))</f>
        <v/>
      </c>
      <c r="AK980" t="n">
        <v>0.003958016001130876</v>
      </c>
      <c r="AL980" t="n">
        <v>0.004889033227383561</v>
      </c>
      <c r="AM980">
        <f>IF(AND(ISNUMBER($AC980),ISNUMBER(IF($V980,IF($AL980="","",$AL980),IF($AK980="","",$AK980)))),IF(AND(ABS($AC980-significance_bar)&lt;=2.0*IF($V980,IF($AL980="","",$AL980),IF($AK980="","",$AK980)),OR($Y980="worse",$Y980="better",$Y980="worse, not significant",$Y980="better, not significant")),IF(ROUND($AC980,3)=ROUND(significance_bar,3),TEXT($AC980,"0.0000"),TEXT($AC980,"0.000")),""),"")</f>
        <v/>
      </c>
      <c r="AN980">
        <f>IF(AND(ISNUMBER($AC980),ISNUMBER(IF($V980,IF($AL980="","",$AL980),IF($AK980="","",$AK980)))),IF(AND(ABS($AC980-significance_bar)&lt;=2.0*IF($V980,IF($AL980="","",$AL980),IF($AK980="","",$AK980)),OR($Y980="worse",$Y980="worse, not significant")),IF(ROUND($AC980,3)=ROUND(significance_bar,3),TEXT($AC980,"0.0000"),TEXT($AC980,"0.000")),""),"")</f>
        <v/>
      </c>
      <c r="AO980">
        <f>IF(OR($AI980="",$AN980=""),$AI980,$AI980&amp;" · borderline (p "&amp;$AN980&amp;")")</f>
        <v/>
      </c>
    </row>
    <row r="981">
      <c r="A981" t="inlineStr">
        <is>
          <t>three-way</t>
        </is>
      </c>
      <c r="B981" t="inlineStr">
        <is>
          <t>ORIG_BAL x CHANNEL / SYS_FLAG</t>
        </is>
      </c>
      <c r="C981" t="inlineStr">
        <is>
          <t>15,449 - 26,323</t>
        </is>
      </c>
      <c r="D981" t="inlineStr">
        <is>
          <t>Broker / SYS_FLAG Y</t>
        </is>
      </c>
      <c r="E981" t="inlineStr">
        <is>
          <t>gco_rate</t>
        </is>
      </c>
      <c r="F981" t="inlineStr">
        <is>
          <t>GCO per booked dollar</t>
        </is>
      </c>
      <c r="G981" t="n">
        <v>244</v>
      </c>
      <c r="H981" t="n">
        <v>5135881.139999999</v>
      </c>
      <c r="I981" t="b">
        <v>0</v>
      </c>
      <c r="J981" t="b">
        <v>0</v>
      </c>
      <c r="K981" t="n">
        <v>1.91446577713994</v>
      </c>
      <c r="L981" t="n">
        <v>0.02333100023331</v>
      </c>
      <c r="M981" t="n">
        <v>1.609407256833963</v>
      </c>
      <c r="N981" t="n">
        <v>0.0751258207512582</v>
      </c>
      <c r="O981" t="n">
        <v>191909.6695351376</v>
      </c>
      <c r="P981" t="n">
        <v>152131.3341984655</v>
      </c>
      <c r="Q981">
        <f>'_live'!$C$22</f>
        <v/>
      </c>
      <c r="R981" t="inlineStr">
        <is>
          <t>shuffled: 9 of 10,000</t>
        </is>
      </c>
      <c r="S981" t="inlineStr">
        <is>
          <t>shuffled: 155 of 10,000</t>
        </is>
      </c>
      <c r="T981" t="n">
        <v>0.04086151231779919</v>
      </c>
      <c r="U981" t="n">
        <v>0.04860669454697205</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0.07822796693460864</v>
      </c>
      <c r="AI981">
        <f>IF($Y981="worse","Yes",IF($Y981="worse, not significant","Not sure",IF(OR($Y981="too few losses to test",$Y981="too few loans to test"),"Too few losses",IF($Y981="","","No"))))</f>
        <v/>
      </c>
      <c r="AJ981">
        <f>IF($AA981="yes","Yes",IF($AA981="","","No"))</f>
        <v/>
      </c>
      <c r="AK981" t="n">
        <v>0.004660597242904319</v>
      </c>
      <c r="AL981" t="n">
        <v>0.005873187163391964</v>
      </c>
      <c r="AM981">
        <f>IF(AND(ISNUMBER($AC981),ISNUMBER(IF($V981,IF($AL981="","",$AL981),IF($AK981="","",$AK981)))),IF(AND(ABS($AC981-significance_bar)&lt;=2.0*IF($V981,IF($AL981="","",$AL981),IF($AK981="","",$AK981)),OR($Y981="worse",$Y981="better",$Y981="worse, not significant",$Y981="better, not significant")),IF(ROUND($AC981,3)=ROUND(significance_bar,3),TEXT($AC981,"0.0000"),TEXT($AC981,"0.000")),""),"")</f>
        <v/>
      </c>
      <c r="AN981">
        <f>IF(AND(ISNUMBER($AC981),ISNUMBER(IF($V981,IF($AL981="","",$AL981),IF($AK981="","",$AK981)))),IF(AND(ABS($AC981-significance_bar)&lt;=2.0*IF($V981,IF($AL981="","",$AL981),IF($AK981="","",$AK981)),OR($Y981="worse",$Y981="worse, not significant")),IF(ROUND($AC981,3)=ROUND(significance_bar,3),TEXT($AC981,"0.0000"),TEXT($AC981,"0.000")),""),"")</f>
        <v/>
      </c>
      <c r="AO981">
        <f>IF(OR($AI981="",$AN981=""),$AI981,$AI981&amp;" · borderline (p "&amp;$AN981&amp;")")</f>
        <v/>
      </c>
    </row>
    <row r="982">
      <c r="A982" t="inlineStr">
        <is>
          <t>three-way</t>
        </is>
      </c>
      <c r="B982" t="inlineStr">
        <is>
          <t>ORIG_BAL x CHANNEL / SYS_FLAG</t>
        </is>
      </c>
      <c r="C982" t="inlineStr">
        <is>
          <t>15,449 - 26,323</t>
        </is>
      </c>
      <c r="D982" t="inlineStr">
        <is>
          <t>Broker / SYS_FLAG Y</t>
        </is>
      </c>
      <c r="E982" t="inlineStr">
        <is>
          <t>ranr_rate</t>
        </is>
      </c>
      <c r="F982" t="inlineStr">
        <is>
          <t>Profit after losses: RANR per booked dollar</t>
        </is>
      </c>
      <c r="G982" t="n">
        <v>244</v>
      </c>
      <c r="H982" t="n">
        <v>5135881.139999999</v>
      </c>
      <c r="I982" t="b">
        <v>0</v>
      </c>
      <c r="J982" t="b">
        <v>0</v>
      </c>
      <c r="K982" t="n">
        <v>-0.04058514790036828</v>
      </c>
      <c r="L982" t="n">
        <v>0.01724827517248275</v>
      </c>
      <c r="M982" t="n">
        <v>-0.03645041475546677</v>
      </c>
      <c r="N982" t="n">
        <v>0.0484951504849515</v>
      </c>
      <c r="O982" t="n">
        <v>208440.495665612</v>
      </c>
      <c r="P982" t="n">
        <v>187204.9976877795</v>
      </c>
      <c r="Q982">
        <f>'_live'!$C$23</f>
        <v/>
      </c>
      <c r="R982" t="inlineStr">
        <is>
          <t>shuffled: 22 of 10,000</t>
        </is>
      </c>
      <c r="S982" t="inlineStr">
        <is>
          <t>shuffled: 96 of 10,000</t>
        </is>
      </c>
      <c r="T982" t="n">
        <v>0.1287977442689828</v>
      </c>
      <c r="U982" t="n">
        <v>0.1246630111240813</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0.08821259636861455</v>
      </c>
      <c r="AI982">
        <f>IF($Y982="worse","Yes",IF($Y982="worse, not significant","Not sure",IF(OR($Y982="too few losses to test",$Y982="too few loans to test"),"Too few losses",IF($Y982="","","No"))))</f>
        <v/>
      </c>
      <c r="AJ982">
        <f>IF($AA982="yes","Yes",IF($AA982="","","No"))</f>
        <v/>
      </c>
      <c r="AK982" t="n">
        <v>0.003592555647407496</v>
      </c>
      <c r="AL982" t="n">
        <v>0.004900244614345282</v>
      </c>
      <c r="AM982">
        <f>IF(AND(ISNUMBER($AC982),ISNUMBER(IF($V982,IF($AL982="","",$AL982),IF($AK982="","",$AK982)))),IF(AND(ABS($AC982-significance_bar)&lt;=2.0*IF($V982,IF($AL982="","",$AL982),IF($AK982="","",$AK982)),OR($Y982="worse",$Y982="better",$Y982="worse, not significant",$Y982="better, not significant",AND(profit_kind="test",$Y982="in line",ISNUMBER($AB982),$AB982&lt;&gt;0))),IF(ROUND($AC982,3)=ROUND(significance_bar,3),TEXT($AC982,"0.0000"),TEXT($AC982,"0.000")),""),"")</f>
        <v/>
      </c>
      <c r="AN982">
        <f>IF(AND(ISNUMBER($AC982),ISNUMBER(IF($V982,IF($AL982="","",$AL982),IF($AK982="","",$AK982)))),IF(AND(ABS($AC982-significance_bar)&lt;=2.0*IF($V982,IF($AL982="","",$AL982),IF($AK982="","",$AK982)),OR($Y982="worse",$Y982="worse, not significant",AND(profit_kind="test",$Y982="in line",ISNUMBER($AB982),$AB982&lt;0))),IF(ROUND($AC982,3)=ROUND(significance_bar,3),TEXT($AC982,"0.0000"),TEXT($AC982,"0.000")),""),"")</f>
        <v/>
      </c>
      <c r="AO982">
        <f>IF(OR($AI982="",$AN982=""),$AI982,$AI982&amp;" · borderline (p "&amp;$AN982&amp;")")</f>
        <v/>
      </c>
    </row>
    <row r="983">
      <c r="A983" t="inlineStr">
        <is>
          <t>three-way</t>
        </is>
      </c>
      <c r="B983" t="inlineStr">
        <is>
          <t>ORIG_BAL x CHANNEL / SYS_FLAG</t>
        </is>
      </c>
      <c r="C983" t="inlineStr">
        <is>
          <t>15,449 - 26,323</t>
        </is>
      </c>
      <c r="D983" t="inlineStr">
        <is>
          <t>Broker / SYS_FLAG Y</t>
        </is>
      </c>
      <c r="E983" t="inlineStr">
        <is>
          <t>contribution_rate</t>
        </is>
      </c>
      <c r="F983" t="inlineStr">
        <is>
          <t>Contribution before losses per booked dollar</t>
        </is>
      </c>
      <c r="G983" t="n">
        <v>244</v>
      </c>
      <c r="H983" t="n">
        <v>5135881.139999999</v>
      </c>
      <c r="I983" t="b">
        <v>0</v>
      </c>
      <c r="J983" t="b">
        <v>0</v>
      </c>
      <c r="K983" t="n">
        <v>-0.003215902714950702</v>
      </c>
      <c r="L983" t="n">
        <v>0.7192280771922808</v>
      </c>
      <c r="M983" t="n">
        <v>-0.006829142367830221</v>
      </c>
      <c r="N983" t="n">
        <v>0.4777300047773</v>
      </c>
      <c r="O983" t="n">
        <v>16516.49410179013</v>
      </c>
      <c r="P983" t="n">
        <v>35073.66348931426</v>
      </c>
      <c r="Q983">
        <f>'_live'!$C$24</f>
        <v/>
      </c>
      <c r="R983" t="inlineStr">
        <is>
          <t>shuffled: 7,101 of 10,000</t>
        </is>
      </c>
      <c r="S983" t="inlineStr">
        <is>
          <t>shuffled: 4,299 of 10,000</t>
        </is>
      </c>
      <c r="T983" t="n">
        <v>0.1696564660181738</v>
      </c>
      <c r="U983" t="n">
        <v>0.1732697056710533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0.1664405633032231</v>
      </c>
      <c r="AI983">
        <f>IF($Y983="worse","Yes",IF($Y983="worse, not significant","Not sure",IF(OR($Y983="too few losses to test",$Y983="too few loans to test"),"Too few losses",IF($Y983="","","No"))))</f>
        <v/>
      </c>
      <c r="AJ983">
        <f>IF($AA983="yes","Yes",IF($AA983="","","No"))</f>
        <v/>
      </c>
      <c r="AK983" t="n">
        <v>0.004493762901740315</v>
      </c>
      <c r="AL983" t="n">
        <v>0.005500774117837444</v>
      </c>
      <c r="AM983">
        <f>IF(AND(ISNUMBER($AC983),ISNUMBER(IF($V983,IF($AL983="","",$AL983),IF($AK983="","",$AK983)))),IF(AND(ABS($AC983-significance_bar)&lt;=2.0*IF($V983,IF($AL983="","",$AL983),IF($AK983="","",$AK983)),OR($Y983="worse",$Y983="better",$Y983="worse, not significant",$Y983="better, not significant",AND(profit_kind="test",$Y983="in line",ISNUMBER($AB983),$AB983&lt;&gt;0))),IF(ROUND($AC983,3)=ROUND(significance_bar,3),TEXT($AC983,"0.0000"),TEXT($AC983,"0.000")),""),"")</f>
        <v/>
      </c>
      <c r="AN983">
        <f>IF(AND(ISNUMBER($AC983),ISNUMBER(IF($V983,IF($AL983="","",$AL983),IF($AK983="","",$AK983)))),IF(AND(ABS($AC983-significance_bar)&lt;=2.0*IF($V983,IF($AL983="","",$AL983),IF($AK983="","",$AK983)),OR($Y983="worse",$Y983="worse, not significant",AND(profit_kind="test",$Y983="in line",ISNUMBER($AB983),$AB983&lt;0))),IF(ROUND($AC983,3)=ROUND(significance_bar,3),TEXT($AC983,"0.0000"),TEXT($AC983,"0.000")),""),"")</f>
        <v/>
      </c>
      <c r="AO983">
        <f>IF(OR($AI983="",$AN983=""),$AI983,$AI983&amp;" · borderline (p "&amp;$AN983&amp;")")</f>
        <v/>
      </c>
    </row>
    <row r="984">
      <c r="A984" t="inlineStr">
        <is>
          <t>three-way</t>
        </is>
      </c>
      <c r="B984" t="inlineStr">
        <is>
          <t>ORIG_BAL x CHANNEL / SYS_FLAG</t>
        </is>
      </c>
      <c r="C984" t="inlineStr">
        <is>
          <t>26,324 - 37,950</t>
        </is>
      </c>
      <c r="D984" t="inlineStr">
        <is>
          <t>Online / SYS_FLAG N</t>
        </is>
      </c>
      <c r="E984" t="inlineStr">
        <is>
          <t>outcome_loans</t>
        </is>
      </c>
      <c r="F984" t="inlineStr">
        <is>
          <t>Outcome, share of loans</t>
        </is>
      </c>
      <c r="G984" t="n">
        <v>297</v>
      </c>
      <c r="H984" t="n">
        <v>297</v>
      </c>
      <c r="I984" t="b">
        <v>0</v>
      </c>
      <c r="J984" t="b">
        <v>0</v>
      </c>
      <c r="K984" t="n">
        <v>0.5126720250278736</v>
      </c>
      <c r="L984" t="n">
        <v>0.08439091753235686</v>
      </c>
      <c r="M984" t="n">
        <v>0.536384250669965</v>
      </c>
      <c r="N984" t="n">
        <v>0.08948221866944253</v>
      </c>
      <c r="O984" t="n">
        <v>-11.40677746039989</v>
      </c>
      <c r="P984" t="n">
        <v>-10.37202152190623</v>
      </c>
      <c r="Q984">
        <f>'_live'!$C$20</f>
        <v/>
      </c>
      <c r="R984" t="inlineStr">
        <is>
          <t>z test</t>
        </is>
      </c>
      <c r="S984" t="inlineStr">
        <is>
          <t>z test</t>
        </is>
      </c>
      <c r="T984" t="n">
        <v>0.07881069851986497</v>
      </c>
      <c r="U984" t="n">
        <v>0.07532667179093006</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0.04040404040404041</v>
      </c>
      <c r="AI984">
        <f>IF($Y984="worse","Yes",IF($Y984="worse, not significant","Not sure",IF(OR($Y984="too few losses to test",$Y984="too few loans to test"),"Too few losses",IF($Y984="","","No"))))</f>
        <v/>
      </c>
      <c r="AJ984">
        <f>IF($AA984="yes","Yes",IF($AA984="","","No"))</f>
        <v/>
      </c>
      <c r="AM984">
        <f>IF(AND(ISNUMBER($AC984),ISNUMBER(IF($V984,IF($AL984="","",$AL984),IF($AK984="","",$AK984)))),IF(AND(ABS($AC984-significance_bar)&lt;=2.0*IF($V984,IF($AL984="","",$AL984),IF($AK984="","",$AK984)),OR($Y984="worse",$Y984="better",$Y984="worse, not significant",$Y984="better, not significant")),IF(ROUND($AC984,3)=ROUND(significance_bar,3),TEXT($AC984,"0.0000"),TEXT($AC984,"0.000")),""),"")</f>
        <v/>
      </c>
      <c r="AN984">
        <f>IF(AND(ISNUMBER($AC984),ISNUMBER(IF($V984,IF($AL984="","",$AL984),IF($AK984="","",$AK984)))),IF(AND(ABS($AC984-significance_bar)&lt;=2.0*IF($V984,IF($AL984="","",$AL984),IF($AK984="","",$AK984)),OR($Y984="worse",$Y984="worse, not significant")),IF(ROUND($AC984,3)=ROUND(significance_bar,3),TEXT($AC984,"0.0000"),TEXT($AC984,"0.000")),""),"")</f>
        <v/>
      </c>
      <c r="AO984">
        <f>IF(OR($AI984="",$AN984=""),$AI984,$AI984&amp;" · borderline (p "&amp;$AN984&amp;")")</f>
        <v/>
      </c>
    </row>
    <row r="985">
      <c r="A985" t="inlineStr">
        <is>
          <t>three-way</t>
        </is>
      </c>
      <c r="B985" t="inlineStr">
        <is>
          <t>ORIG_BAL x CHANNEL / SYS_FLAG</t>
        </is>
      </c>
      <c r="C985" t="inlineStr">
        <is>
          <t>26,324 - 37,950</t>
        </is>
      </c>
      <c r="D985" t="inlineStr">
        <is>
          <t>Online / SYS_FLAG N</t>
        </is>
      </c>
      <c r="E985" t="inlineStr">
        <is>
          <t>outcome_booked</t>
        </is>
      </c>
      <c r="F985" t="inlineStr">
        <is>
          <t>Outcome, share of booked dollars</t>
        </is>
      </c>
      <c r="G985" t="n">
        <v>297</v>
      </c>
      <c r="H985" t="n">
        <v>9480834.620000005</v>
      </c>
      <c r="I985" t="b">
        <v>0</v>
      </c>
      <c r="J985" t="b">
        <v>0</v>
      </c>
      <c r="K985" t="n">
        <v>0.5358026155979967</v>
      </c>
      <c r="L985" t="n">
        <v>0.1745158817451588</v>
      </c>
      <c r="M985" t="n">
        <v>0.5479811425668315</v>
      </c>
      <c r="N985" t="n">
        <v>0.1013498650134987</v>
      </c>
      <c r="O985" t="n">
        <v>-335034.5940451715</v>
      </c>
      <c r="P985" t="n">
        <v>-318994.1601392981</v>
      </c>
      <c r="Q985">
        <f>'_live'!$C$21</f>
        <v/>
      </c>
      <c r="R985" t="inlineStr">
        <is>
          <t>shuffled: 373 of 10,000</t>
        </is>
      </c>
      <c r="S985" t="inlineStr">
        <is>
          <t>shuffled: 361 of 10,000</t>
        </is>
      </c>
      <c r="T985" t="n">
        <v>0.07612729395391259</v>
      </c>
      <c r="U985" t="n">
        <v>0.07443541401414064</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0.04078920321890393</v>
      </c>
      <c r="AI985">
        <f>IF($Y985="worse","Yes",IF($Y985="worse, not significant","Not sure",IF(OR($Y985="too few losses to test",$Y985="too few loans to test"),"Too few losses",IF($Y985="","","No"))))</f>
        <v/>
      </c>
      <c r="AJ985">
        <f>IF($AA985="yes","Yes",IF($AA985="","","No"))</f>
        <v/>
      </c>
      <c r="AK985" t="n">
        <v>0.00885410444462219</v>
      </c>
      <c r="AL985" t="n">
        <v>0.005229797576384212</v>
      </c>
      <c r="AM985">
        <f>IF(AND(ISNUMBER($AC985),ISNUMBER(IF($V985,IF($AL985="","",$AL985),IF($AK985="","",$AK985)))),IF(AND(ABS($AC985-significance_bar)&lt;=2.0*IF($V985,IF($AL985="","",$AL985),IF($AK985="","",$AK985)),OR($Y985="worse",$Y985="better",$Y985="worse, not significant",$Y985="better, not significant")),IF(ROUND($AC985,3)=ROUND(significance_bar,3),TEXT($AC985,"0.0000"),TEXT($AC985,"0.000")),""),"")</f>
        <v/>
      </c>
      <c r="AN985">
        <f>IF(AND(ISNUMBER($AC985),ISNUMBER(IF($V985,IF($AL985="","",$AL985),IF($AK985="","",$AK985)))),IF(AND(ABS($AC985-significance_bar)&lt;=2.0*IF($V985,IF($AL985="","",$AL985),IF($AK985="","",$AK985)),OR($Y985="worse",$Y985="worse, not significant")),IF(ROUND($AC985,3)=ROUND(significance_bar,3),TEXT($AC985,"0.0000"),TEXT($AC985,"0.000")),""),"")</f>
        <v/>
      </c>
      <c r="AO985">
        <f>IF(OR($AI985="",$AN985=""),$AI985,$AI985&amp;" · borderline (p "&amp;$AN985&amp;")")</f>
        <v/>
      </c>
    </row>
    <row r="986">
      <c r="A986" t="inlineStr">
        <is>
          <t>three-way</t>
        </is>
      </c>
      <c r="B986" t="inlineStr">
        <is>
          <t>ORIG_BAL x CHANNEL / SYS_FLAG</t>
        </is>
      </c>
      <c r="C986" t="inlineStr">
        <is>
          <t>26,324 - 37,950</t>
        </is>
      </c>
      <c r="D986" t="inlineStr">
        <is>
          <t>Online / SYS_FLAG N</t>
        </is>
      </c>
      <c r="E986" t="inlineStr">
        <is>
          <t>gco_rate</t>
        </is>
      </c>
      <c r="F986" t="inlineStr">
        <is>
          <t>GCO per booked dollar</t>
        </is>
      </c>
      <c r="G986" t="n">
        <v>297</v>
      </c>
      <c r="H986" t="n">
        <v>9480834.620000005</v>
      </c>
      <c r="I986" t="b">
        <v>0</v>
      </c>
      <c r="J986" t="b">
        <v>0</v>
      </c>
      <c r="K986" t="n">
        <v>0.5304659249738507</v>
      </c>
      <c r="L986" t="n">
        <v>0.2001799820017998</v>
      </c>
      <c r="M986" t="n">
        <v>0.5498285531261965</v>
      </c>
      <c r="N986" t="n">
        <v>0.1508349165083492</v>
      </c>
      <c r="O986" t="n">
        <v>-188460.3186653115</v>
      </c>
      <c r="P986" t="n">
        <v>-174325.5136635317</v>
      </c>
      <c r="Q986">
        <f>'_live'!$C$22</f>
        <v/>
      </c>
      <c r="R986" t="inlineStr">
        <is>
          <t>shuffled: 428 of 10,000</t>
        </is>
      </c>
      <c r="S986" t="inlineStr">
        <is>
          <t>shuffled: 430 of 10,000</t>
        </is>
      </c>
      <c r="T986" t="n">
        <v>0.04233565026211915</v>
      </c>
      <c r="U986" t="n">
        <v>0.0408447683336482</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0.02245761987566448</v>
      </c>
      <c r="AI986">
        <f>IF($Y986="worse","Yes",IF($Y986="worse, not significant","Not sure",IF(OR($Y986="too few losses to test",$Y986="too few loans to test"),"Too few losses",IF($Y986="","","No"))))</f>
        <v/>
      </c>
      <c r="AJ986">
        <f>IF($AA986="yes","Yes",IF($AA986="","","No"))</f>
        <v/>
      </c>
      <c r="AK986" t="n">
        <v>0.009455692593075831</v>
      </c>
      <c r="AL986" t="n">
        <v>0.007107538503174931</v>
      </c>
      <c r="AM986">
        <f>IF(AND(ISNUMBER($AC986),ISNUMBER(IF($V986,IF($AL986="","",$AL986),IF($AK986="","",$AK986)))),IF(AND(ABS($AC986-significance_bar)&lt;=2.0*IF($V986,IF($AL986="","",$AL986),IF($AK986="","",$AK986)),OR($Y986="worse",$Y986="better",$Y986="worse, not significant",$Y986="better, not significant")),IF(ROUND($AC986,3)=ROUND(significance_bar,3),TEXT($AC986,"0.0000"),TEXT($AC986,"0.000")),""),"")</f>
        <v/>
      </c>
      <c r="AN986">
        <f>IF(AND(ISNUMBER($AC986),ISNUMBER(IF($V986,IF($AL986="","",$AL986),IF($AK986="","",$AK986)))),IF(AND(ABS($AC986-significance_bar)&lt;=2.0*IF($V986,IF($AL986="","",$AL986),IF($AK986="","",$AK986)),OR($Y986="worse",$Y986="worse, not significant")),IF(ROUND($AC986,3)=ROUND(significance_bar,3),TEXT($AC986,"0.0000"),TEXT($AC986,"0.000")),""),"")</f>
        <v/>
      </c>
      <c r="AO986">
        <f>IF(OR($AI986="",$AN986=""),$AI986,$AI986&amp;" · borderline (p "&amp;$AN986&amp;")")</f>
        <v/>
      </c>
    </row>
    <row r="987">
      <c r="A987" t="inlineStr">
        <is>
          <t>three-way</t>
        </is>
      </c>
      <c r="B987" t="inlineStr">
        <is>
          <t>ORIG_BAL x CHANNEL / SYS_FLAG</t>
        </is>
      </c>
      <c r="C987" t="inlineStr">
        <is>
          <t>26,324 - 37,950</t>
        </is>
      </c>
      <c r="D987" t="inlineStr">
        <is>
          <t>Online / SYS_FLAG N</t>
        </is>
      </c>
      <c r="E987" t="inlineStr">
        <is>
          <t>ranr_rate</t>
        </is>
      </c>
      <c r="F987" t="inlineStr">
        <is>
          <t>Profit after losses: RANR per booked dollar</t>
        </is>
      </c>
      <c r="G987" t="n">
        <v>297</v>
      </c>
      <c r="H987" t="n">
        <v>9480834.620000005</v>
      </c>
      <c r="I987" t="b">
        <v>0</v>
      </c>
      <c r="J987" t="b">
        <v>0</v>
      </c>
      <c r="K987" t="n">
        <v>0.03289723876090131</v>
      </c>
      <c r="L987" t="n">
        <v>0.0254974502549745</v>
      </c>
      <c r="M987" t="n">
        <v>0.03480358427527581</v>
      </c>
      <c r="N987" t="n">
        <v>0.02399760023997601</v>
      </c>
      <c r="O987" t="n">
        <v>-311893.2801467592</v>
      </c>
      <c r="P987" t="n">
        <v>-329967.0266971227</v>
      </c>
      <c r="Q987">
        <f>'_live'!$C$23</f>
        <v/>
      </c>
      <c r="R987" t="inlineStr">
        <is>
          <t>shuffled: 50 of 10,000</t>
        </is>
      </c>
      <c r="S987" t="inlineStr">
        <is>
          <t>shuffled: 25 of 10,000</t>
        </is>
      </c>
      <c r="T987" t="n">
        <v>0.1267814815920964</v>
      </c>
      <c r="U987" t="n">
        <v>0.1248751360777219</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0.1596787203529977</v>
      </c>
      <c r="AI987">
        <f>IF($Y987="worse","Yes",IF($Y987="worse, not significant","Not sure",IF(OR($Y987="too few losses to test",$Y987="too few loans to test"),"Too few losses",IF($Y987="","","No"))))</f>
        <v/>
      </c>
      <c r="AJ987">
        <f>IF($AA987="yes","Yes",IF($AA987="","","No"))</f>
        <v/>
      </c>
      <c r="AK987" t="n">
        <v>0.003561420100260114</v>
      </c>
      <c r="AL987" t="n">
        <v>0.004235635926074646</v>
      </c>
      <c r="AM987">
        <f>IF(AND(ISNUMBER($AC987),ISNUMBER(IF($V987,IF($AL987="","",$AL987),IF($AK987="","",$AK987)))),IF(AND(ABS($AC987-significance_bar)&lt;=2.0*IF($V987,IF($AL987="","",$AL987),IF($AK987="","",$AK987)),OR($Y987="worse",$Y987="better",$Y987="worse, not significant",$Y987="better, not significant",AND(profit_kind="test",$Y987="in line",ISNUMBER($AB987),$AB987&lt;&gt;0))),IF(ROUND($AC987,3)=ROUND(significance_bar,3),TEXT($AC987,"0.0000"),TEXT($AC987,"0.000")),""),"")</f>
        <v/>
      </c>
      <c r="AN987">
        <f>IF(AND(ISNUMBER($AC987),ISNUMBER(IF($V987,IF($AL987="","",$AL987),IF($AK987="","",$AK987)))),IF(AND(ABS($AC987-significance_bar)&lt;=2.0*IF($V987,IF($AL987="","",$AL987),IF($AK987="","",$AK987)),OR($Y987="worse",$Y987="worse, not significant",AND(profit_kind="test",$Y987="in line",ISNUMBER($AB987),$AB987&lt;0))),IF(ROUND($AC987,3)=ROUND(significance_bar,3),TEXT($AC987,"0.0000"),TEXT($AC987,"0.000")),""),"")</f>
        <v/>
      </c>
      <c r="AO987">
        <f>IF(OR($AI987="",$AN987=""),$AI987,$AI987&amp;" · borderline (p "&amp;$AN987&amp;")")</f>
        <v/>
      </c>
    </row>
    <row r="988">
      <c r="A988" t="inlineStr">
        <is>
          <t>three-way</t>
        </is>
      </c>
      <c r="B988" t="inlineStr">
        <is>
          <t>ORIG_BAL x CHANNEL / SYS_FLAG</t>
        </is>
      </c>
      <c r="C988" t="inlineStr">
        <is>
          <t>26,324 - 37,950</t>
        </is>
      </c>
      <c r="D988" t="inlineStr">
        <is>
          <t>Online / SYS_FLAG N</t>
        </is>
      </c>
      <c r="E988" t="inlineStr">
        <is>
          <t>contribution_rate</t>
        </is>
      </c>
      <c r="F988" t="inlineStr">
        <is>
          <t>Contribution before losses per booked dollar</t>
        </is>
      </c>
      <c r="G988" t="n">
        <v>297</v>
      </c>
      <c r="H988" t="n">
        <v>9480834.620000005</v>
      </c>
      <c r="I988" t="b">
        <v>0</v>
      </c>
      <c r="J988" t="b">
        <v>0</v>
      </c>
      <c r="K988" t="n">
        <v>0.01302236965274836</v>
      </c>
      <c r="L988" t="n">
        <v>0.2203625791267027</v>
      </c>
      <c r="M988" t="n">
        <v>0.01641643581729205</v>
      </c>
      <c r="N988" t="n">
        <v>0.1331116888311169</v>
      </c>
      <c r="O988" t="n">
        <v>-123462.9330382142</v>
      </c>
      <c r="P988" t="n">
        <v>-155641.5130335905</v>
      </c>
      <c r="Q988">
        <f>'_live'!$C$24</f>
        <v/>
      </c>
      <c r="R988" t="inlineStr">
        <is>
          <t>shuffled: 954 of 10,000</t>
        </is>
      </c>
      <c r="S988" t="inlineStr">
        <is>
          <t>shuffled: 354 of 10,000</t>
        </is>
      </c>
      <c r="T988" t="n">
        <v>0.1691139705759138</v>
      </c>
      <c r="U988" t="n">
        <v>0.1657199044113701</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0.1821363402286622</v>
      </c>
      <c r="AI988">
        <f>IF($Y988="worse","Yes",IF($Y988="worse, not significant","Not sure",IF(OR($Y988="too few losses to test",$Y988="too few loans to test"),"Too few losses",IF($Y988="","","No"))))</f>
        <v/>
      </c>
      <c r="AJ988">
        <f>IF($AA988="yes","Yes",IF($AA988="","","No"))</f>
        <v/>
      </c>
      <c r="AK988" t="n">
        <v>0.006782104116530187</v>
      </c>
      <c r="AL988" t="n">
        <v>0.00693866061580487</v>
      </c>
      <c r="AM988">
        <f>IF(AND(ISNUMBER($AC988),ISNUMBER(IF($V988,IF($AL988="","",$AL988),IF($AK988="","",$AK988)))),IF(AND(ABS($AC988-significance_bar)&lt;=2.0*IF($V988,IF($AL988="","",$AL988),IF($AK988="","",$AK988)),OR($Y988="worse",$Y988="better",$Y988="worse, not significant",$Y988="better, not significant",AND(profit_kind="test",$Y988="in line",ISNUMBER($AB988),$AB988&lt;&gt;0))),IF(ROUND($AC988,3)=ROUND(significance_bar,3),TEXT($AC988,"0.0000"),TEXT($AC988,"0.000")),""),"")</f>
        <v/>
      </c>
      <c r="AN988">
        <f>IF(AND(ISNUMBER($AC988),ISNUMBER(IF($V988,IF($AL988="","",$AL988),IF($AK988="","",$AK988)))),IF(AND(ABS($AC988-significance_bar)&lt;=2.0*IF($V988,IF($AL988="","",$AL988),IF($AK988="","",$AK988)),OR($Y988="worse",$Y988="worse, not significant",AND(profit_kind="test",$Y988="in line",ISNUMBER($AB988),$AB988&lt;0))),IF(ROUND($AC988,3)=ROUND(significance_bar,3),TEXT($AC988,"0.0000"),TEXT($AC988,"0.000")),""),"")</f>
        <v/>
      </c>
      <c r="AO988">
        <f>IF(OR($AI988="",$AN988=""),$AI988,$AI988&amp;" · borderline (p "&amp;$AN988&amp;")")</f>
        <v/>
      </c>
    </row>
    <row r="989">
      <c r="A989" t="inlineStr">
        <is>
          <t>three-way</t>
        </is>
      </c>
      <c r="B989" t="inlineStr">
        <is>
          <t>ORIG_BAL x CHANNEL / SYS_FLAG</t>
        </is>
      </c>
      <c r="C989" t="inlineStr">
        <is>
          <t>26,324 - 37,950</t>
        </is>
      </c>
      <c r="D989" t="inlineStr">
        <is>
          <t>Broker / SYS_FLAG N</t>
        </is>
      </c>
      <c r="E989" t="inlineStr">
        <is>
          <t>outcome_loans</t>
        </is>
      </c>
      <c r="F989" t="inlineStr">
        <is>
          <t>Outcome, share of loans</t>
        </is>
      </c>
      <c r="G989" t="n">
        <v>305</v>
      </c>
      <c r="H989" t="n">
        <v>305</v>
      </c>
      <c r="I989" t="b">
        <v>0</v>
      </c>
      <c r="J989" t="b">
        <v>0</v>
      </c>
      <c r="K989" t="n">
        <v>0.8422781137962178</v>
      </c>
      <c r="L989" t="n">
        <v>0.6707802217913028</v>
      </c>
      <c r="M989" t="n">
        <v>0.9420765027322405</v>
      </c>
      <c r="N989" t="n">
        <v>0.8987489474994704</v>
      </c>
      <c r="O989" t="n">
        <v>-3.745126072264103</v>
      </c>
      <c r="P989" t="n">
        <v>-1.229698375870068</v>
      </c>
      <c r="Q989">
        <f>'_live'!$C$20</f>
        <v/>
      </c>
      <c r="R989" t="inlineStr">
        <is>
          <t>z test</t>
        </is>
      </c>
      <c r="S989" t="inlineStr">
        <is>
          <t>z test</t>
        </is>
      </c>
      <c r="T989" t="n">
        <v>0.07785287236807903</v>
      </c>
      <c r="U989" t="n">
        <v>0.06960556844547564</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0.06557377049180328</v>
      </c>
      <c r="AI989">
        <f>IF($Y989="worse","Yes",IF($Y989="worse, not significant","Not sure",IF(OR($Y989="too few losses to test",$Y989="too few loans to test"),"Too few losses",IF($Y989="","","No"))))</f>
        <v/>
      </c>
      <c r="AJ989">
        <f>IF($AA989="yes","Yes",IF($AA989="","","No"))</f>
        <v/>
      </c>
      <c r="AM989">
        <f>IF(AND(ISNUMBER($AC989),ISNUMBER(IF($V989,IF($AL989="","",$AL989),IF($AK989="","",$AK989)))),IF(AND(ABS($AC989-significance_bar)&lt;=2.0*IF($V989,IF($AL989="","",$AL989),IF($AK989="","",$AK989)),OR($Y989="worse",$Y989="better",$Y989="worse, not significant",$Y989="better, not significant")),IF(ROUND($AC989,3)=ROUND(significance_bar,3),TEXT($AC989,"0.0000"),TEXT($AC989,"0.000")),""),"")</f>
        <v/>
      </c>
      <c r="AN989">
        <f>IF(AND(ISNUMBER($AC989),ISNUMBER(IF($V989,IF($AL989="","",$AL989),IF($AK989="","",$AK989)))),IF(AND(ABS($AC989-significance_bar)&lt;=2.0*IF($V989,IF($AL989="","",$AL989),IF($AK989="","",$AK989)),OR($Y989="worse",$Y989="worse, not significant")),IF(ROUND($AC989,3)=ROUND(significance_bar,3),TEXT($AC989,"0.0000"),TEXT($AC989,"0.000")),""),"")</f>
        <v/>
      </c>
      <c r="AO989">
        <f>IF(OR($AI989="",$AN989=""),$AI989,$AI989&amp;" · borderline (p "&amp;$AN989&amp;")")</f>
        <v/>
      </c>
    </row>
    <row r="990">
      <c r="A990" t="inlineStr">
        <is>
          <t>three-way</t>
        </is>
      </c>
      <c r="B990" t="inlineStr">
        <is>
          <t>ORIG_BAL x CHANNEL / SYS_FLAG</t>
        </is>
      </c>
      <c r="C990" t="inlineStr">
        <is>
          <t>26,324 - 37,950</t>
        </is>
      </c>
      <c r="D990" t="inlineStr">
        <is>
          <t>Broker / SYS_FLAG N</t>
        </is>
      </c>
      <c r="E990" t="inlineStr">
        <is>
          <t>outcome_booked</t>
        </is>
      </c>
      <c r="F990" t="inlineStr">
        <is>
          <t>Outcome, share of booked dollars</t>
        </is>
      </c>
      <c r="G990" t="n">
        <v>305</v>
      </c>
      <c r="H990" t="n">
        <v>9738367.730000006</v>
      </c>
      <c r="I990" t="b">
        <v>0</v>
      </c>
      <c r="J990" t="b">
        <v>0</v>
      </c>
      <c r="K990" t="n">
        <v>0.877857294794459</v>
      </c>
      <c r="L990" t="n">
        <v>0.8337566243375661</v>
      </c>
      <c r="M990" t="n">
        <v>0.9600173972912874</v>
      </c>
      <c r="N990" t="n">
        <v>0.9031689423650228</v>
      </c>
      <c r="O990" t="n">
        <v>-89418.94006215455</v>
      </c>
      <c r="P990" t="n">
        <v>-26765.6542578669</v>
      </c>
      <c r="Q990">
        <f>'_live'!$C$21</f>
        <v/>
      </c>
      <c r="R990" t="inlineStr">
        <is>
          <t>shuffled: 5,955 of 10,000</t>
        </is>
      </c>
      <c r="S990" t="inlineStr">
        <is>
          <t>shuffled: 8,709 of 10,000</t>
        </is>
      </c>
      <c r="T990" t="n">
        <v>0.07517541135840372</v>
      </c>
      <c r="U990" t="n">
        <v>0.06874175763517473</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0.06599328325014893</v>
      </c>
      <c r="AI990">
        <f>IF($Y990="worse","Yes",IF($Y990="worse, not significant","Not sure",IF(OR($Y990="too few losses to test",$Y990="too few loans to test"),"Too few losses",IF($Y990="","","No"))))</f>
        <v/>
      </c>
      <c r="AJ990">
        <f>IF($AA990="yes","Yes",IF($AA990="","","No"))</f>
        <v/>
      </c>
      <c r="AK990" t="n">
        <v>0.006871020051242895</v>
      </c>
      <c r="AL990" t="n">
        <v>0.00347714689769276</v>
      </c>
      <c r="AM990">
        <f>IF(AND(ISNUMBER($AC990),ISNUMBER(IF($V990,IF($AL990="","",$AL990),IF($AK990="","",$AK990)))),IF(AND(ABS($AC990-significance_bar)&lt;=2.0*IF($V990,IF($AL990="","",$AL990),IF($AK990="","",$AK990)),OR($Y990="worse",$Y990="better",$Y990="worse, not significant",$Y990="better, not significant")),IF(ROUND($AC990,3)=ROUND(significance_bar,3),TEXT($AC990,"0.0000"),TEXT($AC990,"0.000")),""),"")</f>
        <v/>
      </c>
      <c r="AN990">
        <f>IF(AND(ISNUMBER($AC990),ISNUMBER(IF($V990,IF($AL990="","",$AL990),IF($AK990="","",$AK990)))),IF(AND(ABS($AC990-significance_bar)&lt;=2.0*IF($V990,IF($AL990="","",$AL990),IF($AK990="","",$AK990)),OR($Y990="worse",$Y990="worse, not significant")),IF(ROUND($AC990,3)=ROUND(significance_bar,3),TEXT($AC990,"0.0000"),TEXT($AC990,"0.000")),""),"")</f>
        <v/>
      </c>
      <c r="AO990">
        <f>IF(OR($AI990="",$AN990=""),$AI990,$AI990&amp;" · borderline (p "&amp;$AN990&amp;")")</f>
        <v/>
      </c>
    </row>
    <row r="991">
      <c r="A991" t="inlineStr">
        <is>
          <t>three-way</t>
        </is>
      </c>
      <c r="B991" t="inlineStr">
        <is>
          <t>ORIG_BAL x CHANNEL / SYS_FLAG</t>
        </is>
      </c>
      <c r="C991" t="inlineStr">
        <is>
          <t>26,324 - 37,950</t>
        </is>
      </c>
      <c r="D991" t="inlineStr">
        <is>
          <t>Broker / SYS_FLAG N</t>
        </is>
      </c>
      <c r="E991" t="inlineStr">
        <is>
          <t>gco_rate</t>
        </is>
      </c>
      <c r="F991" t="inlineStr">
        <is>
          <t>GCO per booked dollar</t>
        </is>
      </c>
      <c r="G991" t="n">
        <v>305</v>
      </c>
      <c r="H991" t="n">
        <v>9738367.730000006</v>
      </c>
      <c r="I991" t="b">
        <v>0</v>
      </c>
      <c r="J991" t="b">
        <v>0</v>
      </c>
      <c r="K991" t="n">
        <v>0.9614903756153695</v>
      </c>
      <c r="L991" t="n">
        <v>0.9822017798220178</v>
      </c>
      <c r="M991" t="n">
        <v>1.087441088806463</v>
      </c>
      <c r="N991" t="n">
        <v>0.8150415727658002</v>
      </c>
      <c r="O991" t="n">
        <v>-15625.55365307548</v>
      </c>
      <c r="P991" t="n">
        <v>31370.46030437824</v>
      </c>
      <c r="Q991">
        <f>'_live'!$C$22</f>
        <v/>
      </c>
      <c r="R991" t="inlineStr">
        <is>
          <t>shuffled: 8,728 of 10,000</t>
        </is>
      </c>
      <c r="S991" t="inlineStr">
        <is>
          <t>shuffled: 7,346 of 10,000</t>
        </is>
      </c>
      <c r="T991" t="n">
        <v>0.04166582274389788</v>
      </c>
      <c r="U991" t="n">
        <v>0.03683996123810591</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0.04006128756035378</v>
      </c>
      <c r="AI991">
        <f>IF($Y991="worse","Yes",IF($Y991="worse, not significant","Not sure",IF(OR($Y991="too few losses to test",$Y991="too few loans to test"),"Too few losses",IF($Y991="","","No"))))</f>
        <v/>
      </c>
      <c r="AJ991">
        <f>IF($AA991="yes","Yes",IF($AA991="","","No"))</f>
        <v/>
      </c>
      <c r="AK991" t="n">
        <v>0.001322174101110676</v>
      </c>
      <c r="AL991" t="n">
        <v>0.004620003387732743</v>
      </c>
      <c r="AM991">
        <f>IF(AND(ISNUMBER($AC991),ISNUMBER(IF($V991,IF($AL991="","",$AL991),IF($AK991="","",$AK991)))),IF(AND(ABS($AC991-significance_bar)&lt;=2.0*IF($V991,IF($AL991="","",$AL991),IF($AK991="","",$AK991)),OR($Y991="worse",$Y991="better",$Y991="worse, not significant",$Y991="better, not significant")),IF(ROUND($AC991,3)=ROUND(significance_bar,3),TEXT($AC991,"0.0000"),TEXT($AC991,"0.000")),""),"")</f>
        <v/>
      </c>
      <c r="AN991">
        <f>IF(AND(ISNUMBER($AC991),ISNUMBER(IF($V991,IF($AL991="","",$AL991),IF($AK991="","",$AK991)))),IF(AND(ABS($AC991-significance_bar)&lt;=2.0*IF($V991,IF($AL991="","",$AL991),IF($AK991="","",$AK991)),OR($Y991="worse",$Y991="worse, not significant")),IF(ROUND($AC991,3)=ROUND(significance_bar,3),TEXT($AC991,"0.0000"),TEXT($AC991,"0.000")),""),"")</f>
        <v/>
      </c>
      <c r="AO991">
        <f>IF(OR($AI991="",$AN991=""),$AI991,$AI991&amp;" · borderline (p "&amp;$AN991&amp;")")</f>
        <v/>
      </c>
    </row>
    <row r="992">
      <c r="A992" t="inlineStr">
        <is>
          <t>three-way</t>
        </is>
      </c>
      <c r="B992" t="inlineStr">
        <is>
          <t>ORIG_BAL x CHANNEL / SYS_FLAG</t>
        </is>
      </c>
      <c r="C992" t="inlineStr">
        <is>
          <t>26,324 - 37,950</t>
        </is>
      </c>
      <c r="D992" t="inlineStr">
        <is>
          <t>Broker / SYS_FLAG N</t>
        </is>
      </c>
      <c r="E992" t="inlineStr">
        <is>
          <t>ranr_rate</t>
        </is>
      </c>
      <c r="F992" t="inlineStr">
        <is>
          <t>Profit after losses: RANR per booked dollar</t>
        </is>
      </c>
      <c r="G992" t="n">
        <v>305</v>
      </c>
      <c r="H992" t="n">
        <v>9738367.730000006</v>
      </c>
      <c r="I992" t="b">
        <v>0</v>
      </c>
      <c r="J992" t="b">
        <v>0</v>
      </c>
      <c r="K992" t="n">
        <v>-0.01230460137439589</v>
      </c>
      <c r="L992" t="n">
        <v>0.5609439056094391</v>
      </c>
      <c r="M992" t="n">
        <v>-0.01869410666824319</v>
      </c>
      <c r="N992" t="n">
        <v>0.2337623380519091</v>
      </c>
      <c r="O992" t="n">
        <v>119826.7329549307</v>
      </c>
      <c r="P992" t="n">
        <v>182050.0851191974</v>
      </c>
      <c r="Q992">
        <f>'_live'!$C$23</f>
        <v/>
      </c>
      <c r="R992" t="inlineStr">
        <is>
          <t>shuffled: 2,991 of 10,000</t>
        </is>
      </c>
      <c r="S992" t="inlineStr">
        <is>
          <t>shuffled: 1,045 of 10,000</t>
        </is>
      </c>
      <c r="T992" t="n">
        <v>0.1284543711674903</v>
      </c>
      <c r="U992" t="n">
        <v>0.1348438764613376</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0.1161497697930944</v>
      </c>
      <c r="AI992">
        <f>IF($Y992="worse","Yes",IF($Y992="worse, not significant","Not sure",IF(OR($Y992="too few losses to test",$Y992="too few loans to test"),"Too few losses",IF($Y992="","","No"))))</f>
        <v/>
      </c>
      <c r="AJ992">
        <f>IF($AA992="yes","Yes",IF($AA992="","","No"))</f>
        <v/>
      </c>
      <c r="AK992" t="n">
        <v>0.008585521287477697</v>
      </c>
      <c r="AL992" t="n">
        <v>0.0066803777223599</v>
      </c>
      <c r="AM992">
        <f>IF(AND(ISNUMBER($AC992),ISNUMBER(IF($V992,IF($AL992="","",$AL992),IF($AK992="","",$AK992)))),IF(AND(ABS($AC992-significance_bar)&lt;=2.0*IF($V992,IF($AL992="","",$AL992),IF($AK992="","",$AK992)),OR($Y992="worse",$Y992="better",$Y992="worse, not significant",$Y992="better, not significant",AND(profit_kind="test",$Y992="in line",ISNUMBER($AB992),$AB992&lt;&gt;0))),IF(ROUND($AC992,3)=ROUND(significance_bar,3),TEXT($AC992,"0.0000"),TEXT($AC992,"0.000")),""),"")</f>
        <v/>
      </c>
      <c r="AN992">
        <f>IF(AND(ISNUMBER($AC992),ISNUMBER(IF($V992,IF($AL992="","",$AL992),IF($AK992="","",$AK992)))),IF(AND(ABS($AC992-significance_bar)&lt;=2.0*IF($V992,IF($AL992="","",$AL992),IF($AK992="","",$AK992)),OR($Y992="worse",$Y992="worse, not significant",AND(profit_kind="test",$Y992="in line",ISNUMBER($AB992),$AB992&lt;0))),IF(ROUND($AC992,3)=ROUND(significance_bar,3),TEXT($AC992,"0.0000"),TEXT($AC992,"0.000")),""),"")</f>
        <v/>
      </c>
      <c r="AO992">
        <f>IF(OR($AI992="",$AN992=""),$AI992,$AI992&amp;" · borderline (p "&amp;$AN992&amp;")")</f>
        <v/>
      </c>
    </row>
    <row r="993">
      <c r="A993" t="inlineStr">
        <is>
          <t>three-way</t>
        </is>
      </c>
      <c r="B993" t="inlineStr">
        <is>
          <t>ORIG_BAL x CHANNEL / SYS_FLAG</t>
        </is>
      </c>
      <c r="C993" t="inlineStr">
        <is>
          <t>26,324 - 37,950</t>
        </is>
      </c>
      <c r="D993" t="inlineStr">
        <is>
          <t>Broker / SYS_FLAG N</t>
        </is>
      </c>
      <c r="E993" t="inlineStr">
        <is>
          <t>contribution_rate</t>
        </is>
      </c>
      <c r="F993" t="inlineStr">
        <is>
          <t>Contribution before losses per booked dollar</t>
        </is>
      </c>
      <c r="G993" t="n">
        <v>305</v>
      </c>
      <c r="H993" t="n">
        <v>9738367.730000006</v>
      </c>
      <c r="I993" t="b">
        <v>0</v>
      </c>
      <c r="J993" t="b">
        <v>0</v>
      </c>
      <c r="K993" t="n">
        <v>-0.01390623937980909</v>
      </c>
      <c r="L993" t="n">
        <v>0.1942305769423057</v>
      </c>
      <c r="M993" t="n">
        <v>-0.01547278034599539</v>
      </c>
      <c r="N993" t="n">
        <v>0.1433856614338566</v>
      </c>
      <c r="O993" t="n">
        <v>135424.0728219883</v>
      </c>
      <c r="P993" t="n">
        <v>150679.6248148198</v>
      </c>
      <c r="Q993">
        <f>'_live'!$C$24</f>
        <v/>
      </c>
      <c r="R993" t="inlineStr">
        <is>
          <t>shuffled: 744 of 10,000</t>
        </is>
      </c>
      <c r="S993" t="inlineStr">
        <is>
          <t>shuffled: 477 of 10,000</t>
        </is>
      </c>
      <c r="T993" t="n">
        <v>0.1701172967332572</v>
      </c>
      <c r="U993" t="n">
        <v>0.1716838376994435</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0.1562110573534481</v>
      </c>
      <c r="AI993">
        <f>IF($Y993="worse","Yes",IF($Y993="worse, not significant","Not sure",IF(OR($Y993="too few losses to test",$Y993="too few loans to test"),"Too few losses",IF($Y993="","","No"))))</f>
        <v/>
      </c>
      <c r="AJ993">
        <f>IF($AA993="yes","Yes",IF($AA993="","","No"))</f>
        <v/>
      </c>
      <c r="AK993" t="n">
        <v>0.006692166505224025</v>
      </c>
      <c r="AL993" t="n">
        <v>0.006399980753070631</v>
      </c>
      <c r="AM993">
        <f>IF(AND(ISNUMBER($AC993),ISNUMBER(IF($V993,IF($AL993="","",$AL993),IF($AK993="","",$AK993)))),IF(AND(ABS($AC993-significance_bar)&lt;=2.0*IF($V993,IF($AL993="","",$AL993),IF($AK993="","",$AK993)),OR($Y993="worse",$Y993="better",$Y993="worse, not significant",$Y993="better, not significant",AND(profit_kind="test",$Y993="in line",ISNUMBER($AB993),$AB993&lt;&gt;0))),IF(ROUND($AC993,3)=ROUND(significance_bar,3),TEXT($AC993,"0.0000"),TEXT($AC993,"0.000")),""),"")</f>
        <v/>
      </c>
      <c r="AN993">
        <f>IF(AND(ISNUMBER($AC993),ISNUMBER(IF($V993,IF($AL993="","",$AL993),IF($AK993="","",$AK993)))),IF(AND(ABS($AC993-significance_bar)&lt;=2.0*IF($V993,IF($AL993="","",$AL993),IF($AK993="","",$AK993)),OR($Y993="worse",$Y993="worse, not significant",AND(profit_kind="test",$Y993="in line",ISNUMBER($AB993),$AB993&lt;0))),IF(ROUND($AC993,3)=ROUND(significance_bar,3),TEXT($AC993,"0.0000"),TEXT($AC993,"0.000")),""),"")</f>
        <v/>
      </c>
      <c r="AO993">
        <f>IF(OR($AI993="",$AN993=""),$AI993,$AI993&amp;" · borderline (p "&amp;$AN993&amp;")")</f>
        <v/>
      </c>
    </row>
    <row r="994">
      <c r="A994" t="inlineStr">
        <is>
          <t>three-way</t>
        </is>
      </c>
      <c r="B994" t="inlineStr">
        <is>
          <t>ORIG_BAL x ASSET_CLASS / SYS_FLAG</t>
        </is>
      </c>
      <c r="C994" t="inlineStr">
        <is>
          <t>5,005 - 15,448</t>
        </is>
      </c>
      <c r="D994" t="inlineStr">
        <is>
          <t>1 / SYS_FLAG N</t>
        </is>
      </c>
      <c r="E994" t="inlineStr">
        <is>
          <t>outcome_loans</t>
        </is>
      </c>
      <c r="F994" t="inlineStr">
        <is>
          <t>Outcome, share of loans</t>
        </is>
      </c>
      <c r="G994" t="n">
        <v>237</v>
      </c>
      <c r="H994" t="n">
        <v>237</v>
      </c>
      <c r="I994" t="b">
        <v>1</v>
      </c>
      <c r="J994" t="b">
        <v>0</v>
      </c>
      <c r="K994" t="n">
        <v>0.4288190488028893</v>
      </c>
      <c r="M994" t="n">
        <v>0.4000733810310035</v>
      </c>
      <c r="O994" t="n">
        <v>-10.65588765782015</v>
      </c>
      <c r="P994" t="n">
        <v>-11.99633162142333</v>
      </c>
      <c r="Q994">
        <f>'_live'!$C$20</f>
        <v/>
      </c>
      <c r="T994" t="n">
        <v>0.07871682556042257</v>
      </c>
      <c r="U994" t="n">
        <v>0.08437270726338958</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0.03375527426160337</v>
      </c>
      <c r="AI994">
        <f>IF($Y994="worse","Yes",IF($Y994="worse, not significant","Not sure",IF(OR($Y994="too few losses to test",$Y994="too few loans to test"),"Too few losses",IF($Y994="","","No"))))</f>
        <v/>
      </c>
      <c r="AJ994">
        <f>IF($AA994="yes","Yes",IF($AA994="","","No"))</f>
        <v/>
      </c>
      <c r="AM994">
        <f>IF(AND(ISNUMBER($AC994),ISNUMBER(IF($V994,IF($AL994="","",$AL994),IF($AK994="","",$AK994)))),IF(AND(ABS($AC994-significance_bar)&lt;=2.0*IF($V994,IF($AL994="","",$AL994),IF($AK994="","",$AK994)),OR($Y994="worse",$Y994="better",$Y994="worse, not significant",$Y994="better, not significant")),IF(ROUND($AC994,3)=ROUND(significance_bar,3),TEXT($AC994,"0.0000"),TEXT($AC994,"0.000")),""),"")</f>
        <v/>
      </c>
      <c r="AN994">
        <f>IF(AND(ISNUMBER($AC994),ISNUMBER(IF($V994,IF($AL994="","",$AL994),IF($AK994="","",$AK994)))),IF(AND(ABS($AC994-significance_bar)&lt;=2.0*IF($V994,IF($AL994="","",$AL994),IF($AK994="","",$AK994)),OR($Y994="worse",$Y994="worse, not significant")),IF(ROUND($AC994,3)=ROUND(significance_bar,3),TEXT($AC994,"0.0000"),TEXT($AC994,"0.000")),""),"")</f>
        <v/>
      </c>
      <c r="AO994">
        <f>IF(OR($AI994="",$AN994=""),$AI994,$AI994&amp;" · borderline (p "&amp;$AN994&amp;")")</f>
        <v/>
      </c>
    </row>
    <row r="995">
      <c r="A995" t="inlineStr">
        <is>
          <t>three-way</t>
        </is>
      </c>
      <c r="B995" t="inlineStr">
        <is>
          <t>ORIG_BAL x ASSET_CLASS / SYS_FLAG</t>
        </is>
      </c>
      <c r="C995" t="inlineStr">
        <is>
          <t>5,005 - 15,448</t>
        </is>
      </c>
      <c r="D995" t="inlineStr">
        <is>
          <t>1 / SYS_FLAG N</t>
        </is>
      </c>
      <c r="E995" t="inlineStr">
        <is>
          <t>outcome_booked</t>
        </is>
      </c>
      <c r="F995" t="inlineStr">
        <is>
          <t>Outcome, share of booked dollars</t>
        </is>
      </c>
      <c r="G995" t="n">
        <v>237</v>
      </c>
      <c r="H995" t="n">
        <v>2421156.480000001</v>
      </c>
      <c r="I995" t="b">
        <v>1</v>
      </c>
      <c r="J995" t="b">
        <v>0</v>
      </c>
      <c r="K995" t="n">
        <v>0.4894318420269163</v>
      </c>
      <c r="M995" t="n">
        <v>0.4467555303132408</v>
      </c>
      <c r="O995" t="n">
        <v>-92946.14071751722</v>
      </c>
      <c r="P995" t="n">
        <v>-110335.9403093059</v>
      </c>
      <c r="Q995">
        <f>'_live'!$C$21</f>
        <v/>
      </c>
      <c r="T995" t="n">
        <v>0.07518908101202823</v>
      </c>
      <c r="U995" t="n">
        <v>0.08237151623892802</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0.03679993042002801</v>
      </c>
      <c r="AI995">
        <f>IF($Y995="worse","Yes",IF($Y995="worse, not significant","Not sure",IF(OR($Y995="too few losses to test",$Y995="too few loans to test"),"Too few losses",IF($Y995="","","No"))))</f>
        <v/>
      </c>
      <c r="AJ995">
        <f>IF($AA995="yes","Yes",IF($AA995="","","No"))</f>
        <v/>
      </c>
      <c r="AM995">
        <f>IF(AND(ISNUMBER($AC995),ISNUMBER(IF($V995,IF($AL995="","",$AL995),IF($AK995="","",$AK995)))),IF(AND(ABS($AC995-significance_bar)&lt;=2.0*IF($V995,IF($AL995="","",$AL995),IF($AK995="","",$AK995)),OR($Y995="worse",$Y995="better",$Y995="worse, not significant",$Y995="better, not significant")),IF(ROUND($AC995,3)=ROUND(significance_bar,3),TEXT($AC995,"0.0000"),TEXT($AC995,"0.000")),""),"")</f>
        <v/>
      </c>
      <c r="AN995">
        <f>IF(AND(ISNUMBER($AC995),ISNUMBER(IF($V995,IF($AL995="","",$AL995),IF($AK995="","",$AK995)))),IF(AND(ABS($AC995-significance_bar)&lt;=2.0*IF($V995,IF($AL995="","",$AL995),IF($AK995="","",$AK995)),OR($Y995="worse",$Y995="worse, not significant")),IF(ROUND($AC995,3)=ROUND(significance_bar,3),TEXT($AC995,"0.0000"),TEXT($AC995,"0.000")),""),"")</f>
        <v/>
      </c>
      <c r="AO995">
        <f>IF(OR($AI995="",$AN995=""),$AI995,$AI995&amp;" · borderline (p "&amp;$AN995&amp;")")</f>
        <v/>
      </c>
    </row>
    <row r="996">
      <c r="A996" t="inlineStr">
        <is>
          <t>three-way</t>
        </is>
      </c>
      <c r="B996" t="inlineStr">
        <is>
          <t>ORIG_BAL x ASSET_CLASS / SYS_FLAG</t>
        </is>
      </c>
      <c r="C996" t="inlineStr">
        <is>
          <t>5,005 - 15,448</t>
        </is>
      </c>
      <c r="D996" t="inlineStr">
        <is>
          <t>1 / SYS_FLAG N</t>
        </is>
      </c>
      <c r="E996" t="inlineStr">
        <is>
          <t>gco_rate</t>
        </is>
      </c>
      <c r="F996" t="inlineStr">
        <is>
          <t>GCO per booked dollar</t>
        </is>
      </c>
      <c r="G996" t="n">
        <v>237</v>
      </c>
      <c r="H996" t="n">
        <v>2421156.480000001</v>
      </c>
      <c r="I996" t="b">
        <v>1</v>
      </c>
      <c r="J996" t="b">
        <v>0</v>
      </c>
      <c r="K996" t="n">
        <v>0.516383508152929</v>
      </c>
      <c r="M996" t="n">
        <v>0.4809839539991057</v>
      </c>
      <c r="O996" t="n">
        <v>-48938.14817960555</v>
      </c>
      <c r="P996" t="n">
        <v>-56385.70170749817</v>
      </c>
      <c r="Q996">
        <f>'_live'!$C$22</f>
        <v/>
      </c>
      <c r="T996" t="n">
        <v>0.04179492693491892</v>
      </c>
      <c r="U996" t="n">
        <v>0.04487095840558728</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0.02158221099364878</v>
      </c>
      <c r="AI996">
        <f>IF($Y996="worse","Yes",IF($Y996="worse, not significant","Not sure",IF(OR($Y996="too few losses to test",$Y996="too few loans to test"),"Too few losses",IF($Y996="","","No"))))</f>
        <v/>
      </c>
      <c r="AJ996">
        <f>IF($AA996="yes","Yes",IF($AA996="","","No"))</f>
        <v/>
      </c>
      <c r="AM996">
        <f>IF(AND(ISNUMBER($AC996),ISNUMBER(IF($V996,IF($AL996="","",$AL996),IF($AK996="","",$AK996)))),IF(AND(ABS($AC996-significance_bar)&lt;=2.0*IF($V996,IF($AL996="","",$AL996),IF($AK996="","",$AK996)),OR($Y996="worse",$Y996="better",$Y996="worse, not significant",$Y996="better, not significant")),IF(ROUND($AC996,3)=ROUND(significance_bar,3),TEXT($AC996,"0.0000"),TEXT($AC996,"0.000")),""),"")</f>
        <v/>
      </c>
      <c r="AN996">
        <f>IF(AND(ISNUMBER($AC996),ISNUMBER(IF($V996,IF($AL996="","",$AL996),IF($AK996="","",$AK996)))),IF(AND(ABS($AC996-significance_bar)&lt;=2.0*IF($V996,IF($AL996="","",$AL996),IF($AK996="","",$AK996)),OR($Y996="worse",$Y996="worse, not significant")),IF(ROUND($AC996,3)=ROUND(significance_bar,3),TEXT($AC996,"0.0000"),TEXT($AC996,"0.000")),""),"")</f>
        <v/>
      </c>
      <c r="AO996">
        <f>IF(OR($AI996="",$AN996=""),$AI996,$AI996&amp;" · borderline (p "&amp;$AN996&amp;")")</f>
        <v/>
      </c>
    </row>
    <row r="997">
      <c r="A997" t="inlineStr">
        <is>
          <t>three-way</t>
        </is>
      </c>
      <c r="B997" t="inlineStr">
        <is>
          <t>ORIG_BAL x ASSET_CLASS / SYS_FLAG</t>
        </is>
      </c>
      <c r="C997" t="inlineStr">
        <is>
          <t>5,005 - 15,448</t>
        </is>
      </c>
      <c r="D997" t="inlineStr">
        <is>
          <t>1 / SYS_FLAG N</t>
        </is>
      </c>
      <c r="E997" t="inlineStr">
        <is>
          <t>ranr_rate</t>
        </is>
      </c>
      <c r="F997" t="inlineStr">
        <is>
          <t>Profit after losses: RANR per booked dollar</t>
        </is>
      </c>
      <c r="G997" t="n">
        <v>237</v>
      </c>
      <c r="H997" t="n">
        <v>2421156.480000001</v>
      </c>
      <c r="I997" t="b">
        <v>0</v>
      </c>
      <c r="J997" t="b">
        <v>0</v>
      </c>
      <c r="K997" t="n">
        <v>0.04870634033654386</v>
      </c>
      <c r="L997" t="n">
        <v>0.007999200079992001</v>
      </c>
      <c r="M997" t="n">
        <v>0.03474116846948072</v>
      </c>
      <c r="N997" t="n">
        <v>0.169316401693164</v>
      </c>
      <c r="O997" t="n">
        <v>-117925.6715229086</v>
      </c>
      <c r="P997" t="n">
        <v>-84113.80516265496</v>
      </c>
      <c r="Q997">
        <f>'_live'!$C$23</f>
        <v/>
      </c>
      <c r="R997" t="inlineStr">
        <is>
          <t>shuffled: 3 of 10,000</t>
        </is>
      </c>
      <c r="S997" t="inlineStr">
        <is>
          <t>shuffled: 96 of 10,000</t>
        </is>
      </c>
      <c r="T997" t="n">
        <v>0.1275330946296752</v>
      </c>
      <c r="U997" t="n">
        <v>0.1414982664967383</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0.176239434966219</v>
      </c>
      <c r="AI997">
        <f>IF($Y997="worse","Yes",IF($Y997="worse, not significant","Not sure",IF(OR($Y997="too few losses to test",$Y997="too few loans to test"),"Too few losses",IF($Y997="","","No"))))</f>
        <v/>
      </c>
      <c r="AJ997">
        <f>IF($AA997="yes","Yes",IF($AA997="","","No"))</f>
        <v/>
      </c>
      <c r="AK997" t="n">
        <v>0.00399900005498775</v>
      </c>
      <c r="AL997" t="n">
        <v>0.01492944733971489</v>
      </c>
      <c r="AM997">
        <f>IF(AND(ISNUMBER($AC997),ISNUMBER(IF($V997,IF($AL997="","",$AL997),IF($AK997="","",$AK997)))),IF(AND(ABS($AC997-significance_bar)&lt;=2.0*IF($V997,IF($AL997="","",$AL997),IF($AK997="","",$AK997)),OR($Y997="worse",$Y997="better",$Y997="worse, not significant",$Y997="better, not significant",AND(profit_kind="test",$Y997="in line",ISNUMBER($AB997),$AB997&lt;&gt;0))),IF(ROUND($AC997,3)=ROUND(significance_bar,3),TEXT($AC997,"0.0000"),TEXT($AC997,"0.000")),""),"")</f>
        <v/>
      </c>
      <c r="AN997">
        <f>IF(AND(ISNUMBER($AC997),ISNUMBER(IF($V997,IF($AL997="","",$AL997),IF($AK997="","",$AK997)))),IF(AND(ABS($AC997-significance_bar)&lt;=2.0*IF($V997,IF($AL997="","",$AL997),IF($AK997="","",$AK997)),OR($Y997="worse",$Y997="worse, not significant",AND(profit_kind="test",$Y997="in line",ISNUMBER($AB997),$AB997&lt;0))),IF(ROUND($AC997,3)=ROUND(significance_bar,3),TEXT($AC997,"0.0000"),TEXT($AC997,"0.000")),""),"")</f>
        <v/>
      </c>
      <c r="AO997">
        <f>IF(OR($AI997="",$AN997=""),$AI997,$AI997&amp;" · borderline (p "&amp;$AN997&amp;")")</f>
        <v/>
      </c>
    </row>
    <row r="998">
      <c r="A998" t="inlineStr">
        <is>
          <t>three-way</t>
        </is>
      </c>
      <c r="B998" t="inlineStr">
        <is>
          <t>ORIG_BAL x ASSET_CLASS / SYS_FLAG</t>
        </is>
      </c>
      <c r="C998" t="inlineStr">
        <is>
          <t>5,005 - 15,448</t>
        </is>
      </c>
      <c r="D998" t="inlineStr">
        <is>
          <t>1 / SYS_FLAG N</t>
        </is>
      </c>
      <c r="E998" t="inlineStr">
        <is>
          <t>contribution_rate</t>
        </is>
      </c>
      <c r="F998" t="inlineStr">
        <is>
          <t>Contribution before losses per booked dollar</t>
        </is>
      </c>
      <c r="G998" t="n">
        <v>237</v>
      </c>
      <c r="H998" t="n">
        <v>2421156.480000001</v>
      </c>
      <c r="I998" t="b">
        <v>0</v>
      </c>
      <c r="J998" t="b">
        <v>0</v>
      </c>
      <c r="K998" t="n">
        <v>0.02849658166969901</v>
      </c>
      <c r="L998" t="n">
        <v>0.051994800519948</v>
      </c>
      <c r="M998" t="n">
        <v>0.01145242105754232</v>
      </c>
      <c r="N998" t="n">
        <v>0.798978925636848</v>
      </c>
      <c r="O998" t="n">
        <v>-68994.68336744106</v>
      </c>
      <c r="P998" t="n">
        <v>-27728.10345515708</v>
      </c>
      <c r="Q998">
        <f>'_live'!$C$24</f>
        <v/>
      </c>
      <c r="R998" t="inlineStr">
        <is>
          <t>shuffled: 12 of 10,000</t>
        </is>
      </c>
      <c r="S998" t="inlineStr">
        <is>
          <t>shuffled: 1,965 of 10,000</t>
        </is>
      </c>
      <c r="T998" t="n">
        <v>0.1693250642901688</v>
      </c>
      <c r="U998" t="n">
        <v>0.1863692249023255</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0.1978216459598678</v>
      </c>
      <c r="AI998">
        <f>IF($Y998="worse","Yes",IF($Y998="worse, not significant","Not sure",IF(OR($Y998="too few losses to test",$Y998="too few loans to test"),"Too few losses",IF($Y998="","","No"))))</f>
        <v/>
      </c>
      <c r="AJ998">
        <f>IF($AA998="yes","Yes",IF($AA998="","","No"))</f>
        <v/>
      </c>
      <c r="AK998" t="n">
        <v>0.01441210797044212</v>
      </c>
      <c r="AL998" t="n">
        <v>0.0111426347407216</v>
      </c>
      <c r="AM998">
        <f>IF(AND(ISNUMBER($AC998),ISNUMBER(IF($V998,IF($AL998="","",$AL998),IF($AK998="","",$AK998)))),IF(AND(ABS($AC998-significance_bar)&lt;=2.0*IF($V998,IF($AL998="","",$AL998),IF($AK998="","",$AK998)),OR($Y998="worse",$Y998="better",$Y998="worse, not significant",$Y998="better, not significant",AND(profit_kind="test",$Y998="in line",ISNUMBER($AB998),$AB998&lt;&gt;0))),IF(ROUND($AC998,3)=ROUND(significance_bar,3),TEXT($AC998,"0.0000"),TEXT($AC998,"0.000")),""),"")</f>
        <v/>
      </c>
      <c r="AN998">
        <f>IF(AND(ISNUMBER($AC998),ISNUMBER(IF($V998,IF($AL998="","",$AL998),IF($AK998="","",$AK998)))),IF(AND(ABS($AC998-significance_bar)&lt;=2.0*IF($V998,IF($AL998="","",$AL998),IF($AK998="","",$AK998)),OR($Y998="worse",$Y998="worse, not significant",AND(profit_kind="test",$Y998="in line",ISNUMBER($AB998),$AB998&lt;0))),IF(ROUND($AC998,3)=ROUND(significance_bar,3),TEXT($AC998,"0.0000"),TEXT($AC998,"0.000")),""),"")</f>
        <v/>
      </c>
      <c r="AO998">
        <f>IF(OR($AI998="",$AN998=""),$AI998,$AI998&amp;" · borderline (p "&amp;$AN998&amp;")")</f>
        <v/>
      </c>
    </row>
    <row r="999">
      <c r="A999" t="inlineStr">
        <is>
          <t>three-way</t>
        </is>
      </c>
      <c r="B999" t="inlineStr">
        <is>
          <t>ORIG_BAL x ASSET_CLASS / SYS_FLAG</t>
        </is>
      </c>
      <c r="C999" t="inlineStr">
        <is>
          <t>26,324 - 37,950</t>
        </is>
      </c>
      <c r="D999" t="inlineStr">
        <is>
          <t>2 / SYS_FLAG Y</t>
        </is>
      </c>
      <c r="E999" t="inlineStr">
        <is>
          <t>outcome_loans</t>
        </is>
      </c>
      <c r="F999" t="inlineStr">
        <is>
          <t>Outcome, share of loans</t>
        </is>
      </c>
      <c r="G999" t="n">
        <v>179</v>
      </c>
      <c r="H999" t="n">
        <v>179</v>
      </c>
      <c r="I999" t="b">
        <v>0</v>
      </c>
      <c r="J999" t="b">
        <v>0</v>
      </c>
      <c r="K999" t="n">
        <v>1.084945798956676</v>
      </c>
      <c r="L999" t="n">
        <v>0.8833366391231683</v>
      </c>
      <c r="M999" t="n">
        <v>1.251690679211996</v>
      </c>
      <c r="N999" t="n">
        <v>0.6362547681114774</v>
      </c>
      <c r="O999" t="n">
        <v>1.174424552429668</v>
      </c>
      <c r="P999" t="n">
        <v>3.016208597603946</v>
      </c>
      <c r="Q999">
        <f>'_live'!$C$20</f>
        <v/>
      </c>
      <c r="R999" t="inlineStr">
        <is>
          <t>z test</t>
        </is>
      </c>
      <c r="S999" t="inlineStr">
        <is>
          <t>z test</t>
        </is>
      </c>
      <c r="T999" t="n">
        <v>0.07723785166240409</v>
      </c>
      <c r="U999" t="n">
        <v>0.06694855532064835</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0.08379888268156424</v>
      </c>
      <c r="AI999">
        <f>IF($Y999="worse","Yes",IF($Y999="worse, not significant","Not sure",IF(OR($Y999="too few losses to test",$Y999="too few loans to test"),"Too few losses",IF($Y999="","","No"))))</f>
        <v/>
      </c>
      <c r="AJ999">
        <f>IF($AA999="yes","Yes",IF($AA999="","","No"))</f>
        <v/>
      </c>
      <c r="AM999">
        <f>IF(AND(ISNUMBER($AC999),ISNUMBER(IF($V999,IF($AL999="","",$AL999),IF($AK999="","",$AK999)))),IF(AND(ABS($AC999-significance_bar)&lt;=2.0*IF($V999,IF($AL999="","",$AL999),IF($AK999="","",$AK999)),OR($Y999="worse",$Y999="better",$Y999="worse, not significant",$Y999="better, not significant")),IF(ROUND($AC999,3)=ROUND(significance_bar,3),TEXT($AC999,"0.0000"),TEXT($AC999,"0.000")),""),"")</f>
        <v/>
      </c>
      <c r="AN999">
        <f>IF(AND(ISNUMBER($AC999),ISNUMBER(IF($V999,IF($AL999="","",$AL999),IF($AK999="","",$AK999)))),IF(AND(ABS($AC999-significance_bar)&lt;=2.0*IF($V999,IF($AL999="","",$AL999),IF($AK999="","",$AK999)),OR($Y999="worse",$Y999="worse, not significant")),IF(ROUND($AC999,3)=ROUND(significance_bar,3),TEXT($AC999,"0.0000"),TEXT($AC999,"0.000")),""),"")</f>
        <v/>
      </c>
      <c r="AO999">
        <f>IF(OR($AI999="",$AN999=""),$AI999,$AI999&amp;" · borderline (p "&amp;$AN999&amp;")")</f>
        <v/>
      </c>
    </row>
    <row r="1000">
      <c r="A1000" t="inlineStr">
        <is>
          <t>three-way</t>
        </is>
      </c>
      <c r="B1000" t="inlineStr">
        <is>
          <t>ORIG_BAL x ASSET_CLASS / SYS_FLAG</t>
        </is>
      </c>
      <c r="C1000" t="inlineStr">
        <is>
          <t>26,324 - 37,950</t>
        </is>
      </c>
      <c r="D1000" t="inlineStr">
        <is>
          <t>2 / SYS_FLAG Y</t>
        </is>
      </c>
      <c r="E1000" t="inlineStr">
        <is>
          <t>outcome_booked</t>
        </is>
      </c>
      <c r="F1000" t="inlineStr">
        <is>
          <t>Outcome, share of booked dollars</t>
        </is>
      </c>
      <c r="G1000" t="n">
        <v>179</v>
      </c>
      <c r="H1000" t="n">
        <v>5848463.189999999</v>
      </c>
      <c r="I1000" t="b">
        <v>0</v>
      </c>
      <c r="J1000" t="b">
        <v>0</v>
      </c>
      <c r="K1000" t="n">
        <v>1.119427660971901</v>
      </c>
      <c r="L1000" t="n">
        <v>0.8613995743282814</v>
      </c>
      <c r="M1000" t="n">
        <v>1.260968194832982</v>
      </c>
      <c r="N1000" t="n">
        <v>0.6170582941705829</v>
      </c>
      <c r="O1000" t="n">
        <v>52124.49467109755</v>
      </c>
      <c r="P1000" t="n">
        <v>101115.1927473558</v>
      </c>
      <c r="Q1000">
        <f>'_live'!$C$21</f>
        <v/>
      </c>
      <c r="R1000" t="inlineStr">
        <is>
          <t>shuffled: 6,930 of 10,000</t>
        </is>
      </c>
      <c r="S1000" t="inlineStr">
        <is>
          <t>shuffled: 3,776 of 10,000</t>
        </is>
      </c>
      <c r="T1000" t="n">
        <v>0.07462686027932451</v>
      </c>
      <c r="U1000" t="n">
        <v>0.06625018140067053</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0.08353937164816114</v>
      </c>
      <c r="AI1000">
        <f>IF($Y1000="worse","Yes",IF($Y1000="worse, not significant","Not sure",IF(OR($Y1000="too few losses to test",$Y1000="too few loans to test"),"Too few losses",IF($Y1000="","","No"))))</f>
        <v/>
      </c>
      <c r="AJ1000">
        <f>IF($AA1000="yes","Yes",IF($AA1000="","","No"))</f>
        <v/>
      </c>
      <c r="AK1000" t="n">
        <v>0.004923895101667321</v>
      </c>
      <c r="AL1000" t="n">
        <v>0.007788018568726085</v>
      </c>
      <c r="AM1000">
        <f>IF(AND(ISNUMBER($AC1000),ISNUMBER(IF($V1000,IF($AL1000="","",$AL1000),IF($AK1000="","",$AK1000)))),IF(AND(ABS($AC1000-significance_bar)&lt;=2.0*IF($V1000,IF($AL1000="","",$AL1000),IF($AK1000="","",$AK1000)),OR($Y1000="worse",$Y1000="better",$Y1000="worse, not significant",$Y1000="better, not significant")),IF(ROUND($AC1000,3)=ROUND(significance_bar,3),TEXT($AC1000,"0.0000"),TEXT($AC1000,"0.000")),""),"")</f>
        <v/>
      </c>
      <c r="AN1000">
        <f>IF(AND(ISNUMBER($AC1000),ISNUMBER(IF($V1000,IF($AL1000="","",$AL1000),IF($AK1000="","",$AK1000)))),IF(AND(ABS($AC1000-significance_bar)&lt;=2.0*IF($V1000,IF($AL1000="","",$AL1000),IF($AK1000="","",$AK1000)),OR($Y1000="worse",$Y1000="worse, not significant")),IF(ROUND($AC1000,3)=ROUND(significance_bar,3),TEXT($AC1000,"0.0000"),TEXT($AC1000,"0.000")),""),"")</f>
        <v/>
      </c>
      <c r="AO1000">
        <f>IF(OR($AI1000="",$AN1000=""),$AI1000,$AI1000&amp;" · borderline (p "&amp;$AN1000&amp;")")</f>
        <v/>
      </c>
    </row>
    <row r="1001">
      <c r="A1001" t="inlineStr">
        <is>
          <t>three-way</t>
        </is>
      </c>
      <c r="B1001" t="inlineStr">
        <is>
          <t>ORIG_BAL x ASSET_CLASS / SYS_FLAG</t>
        </is>
      </c>
      <c r="C1001" t="inlineStr">
        <is>
          <t>26,324 - 37,950</t>
        </is>
      </c>
      <c r="D1001" t="inlineStr">
        <is>
          <t>2 / SYS_FLAG Y</t>
        </is>
      </c>
      <c r="E1001" t="inlineStr">
        <is>
          <t>gco_rate</t>
        </is>
      </c>
      <c r="F1001" t="inlineStr">
        <is>
          <t>GCO per booked dollar</t>
        </is>
      </c>
      <c r="G1001" t="n">
        <v>179</v>
      </c>
      <c r="H1001" t="n">
        <v>5848463.189999999</v>
      </c>
      <c r="I1001" t="b">
        <v>0</v>
      </c>
      <c r="J1001" t="b">
        <v>0</v>
      </c>
      <c r="K1001" t="n">
        <v>1.030771234385173</v>
      </c>
      <c r="L1001" t="n">
        <v>0.9867813218678132</v>
      </c>
      <c r="M1001" t="n">
        <v>1.165942362928114</v>
      </c>
      <c r="N1001" t="n">
        <v>0.7896543678965436</v>
      </c>
      <c r="O1001" t="n">
        <v>7482.249367103737</v>
      </c>
      <c r="P1001" t="n">
        <v>35672.18716327971</v>
      </c>
      <c r="Q1001">
        <f>'_live'!$C$22</f>
        <v/>
      </c>
      <c r="R1001" t="inlineStr">
        <is>
          <t>shuffled: 9,251 of 10,000</t>
        </is>
      </c>
      <c r="S1001" t="inlineStr">
        <is>
          <t>shuffled: 5,922 of 10,000</t>
        </is>
      </c>
      <c r="T1001" t="n">
        <v>0.04157626759943689</v>
      </c>
      <c r="U1001" t="n">
        <v>0.03675620857190012</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0.04285562067459982</v>
      </c>
      <c r="AI1001">
        <f>IF($Y1001="worse","Yes",IF($Y1001="worse, not significant","Not sure",IF(OR($Y1001="too few losses to test",$Y1001="too few loans to test"),"Too few losses",IF($Y1001="","","No"))))</f>
        <v/>
      </c>
      <c r="AJ1001">
        <f>IF($AA1001="yes","Yes",IF($AA1001="","","No"))</f>
        <v/>
      </c>
      <c r="AK1001" t="n">
        <v>0.002807656783484738</v>
      </c>
      <c r="AL1001" t="n">
        <v>0.006552239844439724</v>
      </c>
      <c r="AM1001">
        <f>IF(AND(ISNUMBER($AC1001),ISNUMBER(IF($V1001,IF($AL1001="","",$AL1001),IF($AK1001="","",$AK1001)))),IF(AND(ABS($AC1001-significance_bar)&lt;=2.0*IF($V1001,IF($AL1001="","",$AL1001),IF($AK1001="","",$AK1001)),OR($Y1001="worse",$Y1001="better",$Y1001="worse, not significant",$Y1001="better, not significant")),IF(ROUND($AC1001,3)=ROUND(significance_bar,3),TEXT($AC1001,"0.0000"),TEXT($AC1001,"0.000")),""),"")</f>
        <v/>
      </c>
      <c r="AN1001">
        <f>IF(AND(ISNUMBER($AC1001),ISNUMBER(IF($V1001,IF($AL1001="","",$AL1001),IF($AK1001="","",$AK1001)))),IF(AND(ABS($AC1001-significance_bar)&lt;=2.0*IF($V1001,IF($AL1001="","",$AL1001),IF($AK1001="","",$AK1001)),OR($Y1001="worse",$Y1001="worse, not significant")),IF(ROUND($AC1001,3)=ROUND(significance_bar,3),TEXT($AC1001,"0.0000"),TEXT($AC1001,"0.000")),""),"")</f>
        <v/>
      </c>
      <c r="AO1001">
        <f>IF(OR($AI1001="",$AN1001=""),$AI1001,$AI1001&amp;" · borderline (p "&amp;$AN1001&amp;")")</f>
        <v/>
      </c>
    </row>
    <row r="1002">
      <c r="A1002" t="inlineStr">
        <is>
          <t>three-way</t>
        </is>
      </c>
      <c r="B1002" t="inlineStr">
        <is>
          <t>ORIG_BAL x ASSET_CLASS / SYS_FLAG</t>
        </is>
      </c>
      <c r="C1002" t="inlineStr">
        <is>
          <t>26,324 - 37,950</t>
        </is>
      </c>
      <c r="D1002" t="inlineStr">
        <is>
          <t>2 / SYS_FLAG Y</t>
        </is>
      </c>
      <c r="E1002" t="inlineStr">
        <is>
          <t>ranr_rate</t>
        </is>
      </c>
      <c r="F1002" t="inlineStr">
        <is>
          <t>Profit after losses: RANR per booked dollar</t>
        </is>
      </c>
      <c r="G1002" t="n">
        <v>179</v>
      </c>
      <c r="H1002" t="n">
        <v>5848463.189999999</v>
      </c>
      <c r="I1002" t="b">
        <v>0</v>
      </c>
      <c r="J1002" t="b">
        <v>0</v>
      </c>
      <c r="K1002" t="n">
        <v>-0.005209369630206281</v>
      </c>
      <c r="L1002" t="n">
        <v>0.888517208885172</v>
      </c>
      <c r="M1002" t="n">
        <v>-0.009480186621488071</v>
      </c>
      <c r="N1002" t="n">
        <v>0.738148407381484</v>
      </c>
      <c r="O1002" t="n">
        <v>30466.80652536533</v>
      </c>
      <c r="P1002" t="n">
        <v>55444.52249010338</v>
      </c>
      <c r="Q1002">
        <f>'_live'!$C$23</f>
        <v/>
      </c>
      <c r="R1002" t="inlineStr">
        <is>
          <t>shuffled: 7,330 of 10,000</t>
        </is>
      </c>
      <c r="S1002" t="inlineStr">
        <is>
          <t>shuffled: 4,956 of 10,000</t>
        </is>
      </c>
      <c r="T1002" t="n">
        <v>0.1281081067256175</v>
      </c>
      <c r="U1002" t="n">
        <v>0.1323789237168993</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0.1228987370954112</v>
      </c>
      <c r="AI1002">
        <f>IF($Y1002="worse","Yes",IF($Y1002="worse, not significant","Not sure",IF(OR($Y1002="too few losses to test",$Y1002="too few loans to test"),"Too few losses",IF($Y1002="","","No"))))</f>
        <v/>
      </c>
      <c r="AJ1002">
        <f>IF($AA1002="yes","Yes",IF($AA1002="","","No"))</f>
        <v/>
      </c>
      <c r="AK1002" t="n">
        <v>0.005362161185001385</v>
      </c>
      <c r="AL1002" t="n">
        <v>0.007407362045970859</v>
      </c>
      <c r="AM1002">
        <f>IF(AND(ISNUMBER($AC1002),ISNUMBER(IF($V1002,IF($AL1002="","",$AL1002),IF($AK1002="","",$AK1002)))),IF(AND(ABS($AC1002-significance_bar)&lt;=2.0*IF($V1002,IF($AL1002="","",$AL1002),IF($AK1002="","",$AK1002)),OR($Y1002="worse",$Y1002="better",$Y1002="worse, not significant",$Y1002="better, not significant",AND(profit_kind="test",$Y1002="in line",ISNUMBER($AB1002),$AB1002&lt;&gt;0))),IF(ROUND($AC1002,3)=ROUND(significance_bar,3),TEXT($AC1002,"0.0000"),TEXT($AC1002,"0.000")),""),"")</f>
        <v/>
      </c>
      <c r="AN1002">
        <f>IF(AND(ISNUMBER($AC1002),ISNUMBER(IF($V1002,IF($AL1002="","",$AL1002),IF($AK1002="","",$AK1002)))),IF(AND(ABS($AC1002-significance_bar)&lt;=2.0*IF($V1002,IF($AL1002="","",$AL1002),IF($AK1002="","",$AK1002)),OR($Y1002="worse",$Y1002="worse, not significant",AND(profit_kind="test",$Y1002="in line",ISNUMBER($AB1002),$AB1002&lt;0))),IF(ROUND($AC1002,3)=ROUND(significance_bar,3),TEXT($AC1002,"0.0000"),TEXT($AC1002,"0.000")),""),"")</f>
        <v/>
      </c>
      <c r="AO1002">
        <f>IF(OR($AI1002="",$AN1002=""),$AI1002,$AI1002&amp;" · borderline (p "&amp;$AN1002&amp;")")</f>
        <v/>
      </c>
    </row>
    <row r="1003">
      <c r="A1003" t="inlineStr">
        <is>
          <t>three-way</t>
        </is>
      </c>
      <c r="B1003" t="inlineStr">
        <is>
          <t>ORIG_BAL x ASSET_CLASS / SYS_FLAG</t>
        </is>
      </c>
      <c r="C1003" t="inlineStr">
        <is>
          <t>26,324 - 37,950</t>
        </is>
      </c>
      <c r="D1003" t="inlineStr">
        <is>
          <t>2 / SYS_FLAG Y</t>
        </is>
      </c>
      <c r="E1003" t="inlineStr">
        <is>
          <t>contribution_rate</t>
        </is>
      </c>
      <c r="F1003" t="inlineStr">
        <is>
          <t>Contribution before losses per booked dollar</t>
        </is>
      </c>
      <c r="G1003" t="n">
        <v>179</v>
      </c>
      <c r="H1003" t="n">
        <v>5848463.189999999</v>
      </c>
      <c r="I1003" t="b">
        <v>0</v>
      </c>
      <c r="J1003" t="b">
        <v>0</v>
      </c>
      <c r="K1003" t="n">
        <v>-0.0039271095761442</v>
      </c>
      <c r="L1003" t="n">
        <v>0.9955004499550044</v>
      </c>
      <c r="M1003" t="n">
        <v>-0.003380774518788432</v>
      </c>
      <c r="N1003" t="n">
        <v>0.892759208927592</v>
      </c>
      <c r="O1003" t="n">
        <v>22967.55579917587</v>
      </c>
      <c r="P1003" t="n">
        <v>19772.3353268241</v>
      </c>
      <c r="Q1003">
        <f>'_live'!$C$24</f>
        <v/>
      </c>
      <c r="R1003" t="inlineStr">
        <is>
          <t>shuffled: 6,941 of 10,000</t>
        </is>
      </c>
      <c r="S1003" t="inlineStr">
        <is>
          <t>shuffled: 7,217 of 10,000</t>
        </is>
      </c>
      <c r="T1003" t="n">
        <v>0.1696814673461552</v>
      </c>
      <c r="U1003" t="n">
        <v>0.1691351322887995</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0.165754357770011</v>
      </c>
      <c r="AI1003">
        <f>IF($Y1003="worse","Yes",IF($Y1003="worse, not significant","Not sure",IF(OR($Y1003="too few losses to test",$Y1003="too few loans to test"),"Too few losses",IF($Y1003="","","No"))))</f>
        <v/>
      </c>
      <c r="AJ1003">
        <f>IF($AA1003="yes","Yes",IF($AA1003="","","No"))</f>
        <v/>
      </c>
      <c r="AK1003" t="n">
        <v>0.0006692760338147521</v>
      </c>
      <c r="AL1003" t="n">
        <v>0.005339600821528397</v>
      </c>
      <c r="AM1003">
        <f>IF(AND(ISNUMBER($AC1003),ISNUMBER(IF($V1003,IF($AL1003="","",$AL1003),IF($AK1003="","",$AK1003)))),IF(AND(ABS($AC1003-significance_bar)&lt;=2.0*IF($V1003,IF($AL1003="","",$AL1003),IF($AK1003="","",$AK1003)),OR($Y1003="worse",$Y1003="better",$Y1003="worse, not significant",$Y1003="better, not significant",AND(profit_kind="test",$Y1003="in line",ISNUMBER($AB1003),$AB1003&lt;&gt;0))),IF(ROUND($AC1003,3)=ROUND(significance_bar,3),TEXT($AC1003,"0.0000"),TEXT($AC1003,"0.000")),""),"")</f>
        <v/>
      </c>
      <c r="AN1003">
        <f>IF(AND(ISNUMBER($AC1003),ISNUMBER(IF($V1003,IF($AL1003="","",$AL1003),IF($AK1003="","",$AK1003)))),IF(AND(ABS($AC1003-significance_bar)&lt;=2.0*IF($V1003,IF($AL1003="","",$AL1003),IF($AK1003="","",$AK1003)),OR($Y1003="worse",$Y1003="worse, not significant",AND(profit_kind="test",$Y1003="in line",ISNUMBER($AB1003),$AB1003&lt;0))),IF(ROUND($AC1003,3)=ROUND(significance_bar,3),TEXT($AC1003,"0.0000"),TEXT($AC1003,"0.000")),""),"")</f>
        <v/>
      </c>
      <c r="AO1003">
        <f>IF(OR($AI1003="",$AN1003=""),$AI1003,$AI1003&amp;" · borderline (p "&amp;$AN1003&amp;")")</f>
        <v/>
      </c>
    </row>
    <row r="1004">
      <c r="A1004" t="inlineStr">
        <is>
          <t>three-way</t>
        </is>
      </c>
      <c r="B1004" t="inlineStr">
        <is>
          <t>ORIG_BAL x ASSET_CLASS / SYS_FLAG</t>
        </is>
      </c>
      <c r="C1004" t="inlineStr">
        <is>
          <t>37,951 - 49,151</t>
        </is>
      </c>
      <c r="D1004" t="inlineStr">
        <is>
          <t>1 / SYS_FLAG N</t>
        </is>
      </c>
      <c r="E1004" t="inlineStr">
        <is>
          <t>outcome_loans</t>
        </is>
      </c>
      <c r="F1004" t="inlineStr">
        <is>
          <t>Outcome, share of loans</t>
        </is>
      </c>
      <c r="G1004" t="n">
        <v>207</v>
      </c>
      <c r="H1004" t="n">
        <v>207</v>
      </c>
      <c r="I1004" t="b">
        <v>1</v>
      </c>
      <c r="J1004" t="b">
        <v>0</v>
      </c>
      <c r="K1004" t="n">
        <v>0.3684422063030475</v>
      </c>
      <c r="M1004" t="n">
        <v>0.3154438405797101</v>
      </c>
      <c r="O1004" t="n">
        <v>-10.28477926078029</v>
      </c>
      <c r="P1004" t="n">
        <v>-13.0208183776023</v>
      </c>
      <c r="Q1004">
        <f>'_live'!$C$20</f>
        <v/>
      </c>
      <c r="T1004" t="n">
        <v>0.07867043121149897</v>
      </c>
      <c r="U1004" t="n">
        <v>0.09188801148600144</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0.02898550724637681</v>
      </c>
      <c r="AI1004">
        <f>IF($Y1004="worse","Yes",IF($Y1004="worse, not significant","Not sure",IF(OR($Y1004="too few losses to test",$Y1004="too few loans to test"),"Too few losses",IF($Y1004="","","No"))))</f>
        <v/>
      </c>
      <c r="AJ1004">
        <f>IF($AA1004="yes","Yes",IF($AA1004="","","No"))</f>
        <v/>
      </c>
      <c r="AM1004">
        <f>IF(AND(ISNUMBER($AC1004),ISNUMBER(IF($V1004,IF($AL1004="","",$AL1004),IF($AK1004="","",$AK1004)))),IF(AND(ABS($AC1004-significance_bar)&lt;=2.0*IF($V1004,IF($AL1004="","",$AL1004),IF($AK1004="","",$AK1004)),OR($Y1004="worse",$Y1004="better",$Y1004="worse, not significant",$Y1004="better, not significant")),IF(ROUND($AC1004,3)=ROUND(significance_bar,3),TEXT($AC1004,"0.0000"),TEXT($AC1004,"0.000")),""),"")</f>
        <v/>
      </c>
      <c r="AN1004">
        <f>IF(AND(ISNUMBER($AC1004),ISNUMBER(IF($V1004,IF($AL1004="","",$AL1004),IF($AK1004="","",$AK1004)))),IF(AND(ABS($AC1004-significance_bar)&lt;=2.0*IF($V1004,IF($AL1004="","",$AL1004),IF($AK1004="","",$AK1004)),OR($Y1004="worse",$Y1004="worse, not significant")),IF(ROUND($AC1004,3)=ROUND(significance_bar,3),TEXT($AC1004,"0.0000"),TEXT($AC1004,"0.000")),""),"")</f>
        <v/>
      </c>
      <c r="AO1004">
        <f>IF(OR($AI1004="",$AN1004=""),$AI1004,$AI1004&amp;" · borderline (p "&amp;$AN1004&amp;")")</f>
        <v/>
      </c>
    </row>
    <row r="1005">
      <c r="A1005" t="inlineStr">
        <is>
          <t>three-way</t>
        </is>
      </c>
      <c r="B1005" t="inlineStr">
        <is>
          <t>ORIG_BAL x ASSET_CLASS / SYS_FLAG</t>
        </is>
      </c>
      <c r="C1005" t="inlineStr">
        <is>
          <t>37,951 - 49,151</t>
        </is>
      </c>
      <c r="D1005" t="inlineStr">
        <is>
          <t>1 / SYS_FLAG N</t>
        </is>
      </c>
      <c r="E1005" t="inlineStr">
        <is>
          <t>outcome_booked</t>
        </is>
      </c>
      <c r="F1005" t="inlineStr">
        <is>
          <t>Outcome, share of booked dollars</t>
        </is>
      </c>
      <c r="G1005" t="n">
        <v>207</v>
      </c>
      <c r="H1005" t="n">
        <v>8976766.350000007</v>
      </c>
      <c r="I1005" t="b">
        <v>1</v>
      </c>
      <c r="J1005" t="b">
        <v>0</v>
      </c>
      <c r="K1005" t="n">
        <v>0.3912553829975983</v>
      </c>
      <c r="M1005" t="n">
        <v>0.3288654249826622</v>
      </c>
      <c r="O1005" t="n">
        <v>-417753.8459876639</v>
      </c>
      <c r="P1005" t="n">
        <v>-547945.0968574712</v>
      </c>
      <c r="Q1005">
        <f>'_live'!$C$21</f>
        <v/>
      </c>
      <c r="T1005" t="n">
        <v>0.0764478721213083</v>
      </c>
      <c r="U1005" t="n">
        <v>0.09095100674615091</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0.02991064148617389</v>
      </c>
      <c r="AI1005">
        <f>IF($Y1005="worse","Yes",IF($Y1005="worse, not significant","Not sure",IF(OR($Y1005="too few losses to test",$Y1005="too few loans to test"),"Too few losses",IF($Y1005="","","No"))))</f>
        <v/>
      </c>
      <c r="AJ1005">
        <f>IF($AA1005="yes","Yes",IF($AA1005="","","No"))</f>
        <v/>
      </c>
      <c r="AM1005">
        <f>IF(AND(ISNUMBER($AC1005),ISNUMBER(IF($V1005,IF($AL1005="","",$AL1005),IF($AK1005="","",$AK1005)))),IF(AND(ABS($AC1005-significance_bar)&lt;=2.0*IF($V1005,IF($AL1005="","",$AL1005),IF($AK1005="","",$AK1005)),OR($Y1005="worse",$Y1005="better",$Y1005="worse, not significant",$Y1005="better, not significant")),IF(ROUND($AC1005,3)=ROUND(significance_bar,3),TEXT($AC1005,"0.0000"),TEXT($AC1005,"0.000")),""),"")</f>
        <v/>
      </c>
      <c r="AN1005">
        <f>IF(AND(ISNUMBER($AC1005),ISNUMBER(IF($V1005,IF($AL1005="","",$AL1005),IF($AK1005="","",$AK1005)))),IF(AND(ABS($AC1005-significance_bar)&lt;=2.0*IF($V1005,IF($AL1005="","",$AL1005),IF($AK1005="","",$AK1005)),OR($Y1005="worse",$Y1005="worse, not significant")),IF(ROUND($AC1005,3)=ROUND(significance_bar,3),TEXT($AC1005,"0.0000"),TEXT($AC1005,"0.000")),""),"")</f>
        <v/>
      </c>
      <c r="AO1005">
        <f>IF(OR($AI1005="",$AN1005=""),$AI1005,$AI1005&amp;" · borderline (p "&amp;$AN1005&amp;")")</f>
        <v/>
      </c>
    </row>
    <row r="1006">
      <c r="A1006" t="inlineStr">
        <is>
          <t>three-way</t>
        </is>
      </c>
      <c r="B1006" t="inlineStr">
        <is>
          <t>ORIG_BAL x ASSET_CLASS / SYS_FLAG</t>
        </is>
      </c>
      <c r="C1006" t="inlineStr">
        <is>
          <t>37,951 - 49,151</t>
        </is>
      </c>
      <c r="D1006" t="inlineStr">
        <is>
          <t>1 / SYS_FLAG N</t>
        </is>
      </c>
      <c r="E1006" t="inlineStr">
        <is>
          <t>gco_rate</t>
        </is>
      </c>
      <c r="F1006" t="inlineStr">
        <is>
          <t>GCO per booked dollar</t>
        </is>
      </c>
      <c r="G1006" t="n">
        <v>206</v>
      </c>
      <c r="H1006" t="n">
        <v>8937081.920000007</v>
      </c>
      <c r="I1006" t="b">
        <v>1</v>
      </c>
      <c r="J1006" t="b">
        <v>0</v>
      </c>
      <c r="K1006" t="n">
        <v>0.4650498352088664</v>
      </c>
      <c r="M1006" t="n">
        <v>0.3884683537165003</v>
      </c>
      <c r="O1006" t="n">
        <v>-202665.4327351603</v>
      </c>
      <c r="P1006" t="n">
        <v>-277350.6198255968</v>
      </c>
      <c r="Q1006">
        <f>'_live'!$C$22</f>
        <v/>
      </c>
      <c r="T1006" t="n">
        <v>0.04239070270658993</v>
      </c>
      <c r="U1006" t="n">
        <v>0.05074747819091228</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0.0197137893080877</v>
      </c>
      <c r="AI1006">
        <f>IF($Y1006="worse","Yes",IF($Y1006="worse, not significant","Not sure",IF(OR($Y1006="too few losses to test",$Y1006="too few loans to test"),"Too few losses",IF($Y1006="","","No"))))</f>
        <v/>
      </c>
      <c r="AJ1006">
        <f>IF($AA1006="yes","Yes",IF($AA1006="","","No"))</f>
        <v/>
      </c>
      <c r="AM1006">
        <f>IF(AND(ISNUMBER($AC1006),ISNUMBER(IF($V1006,IF($AL1006="","",$AL1006),IF($AK1006="","",$AK1006)))),IF(AND(ABS($AC1006-significance_bar)&lt;=2.0*IF($V1006,IF($AL1006="","",$AL1006),IF($AK1006="","",$AK1006)),OR($Y1006="worse",$Y1006="better",$Y1006="worse, not significant",$Y1006="better, not significant")),IF(ROUND($AC1006,3)=ROUND(significance_bar,3),TEXT($AC1006,"0.0000"),TEXT($AC1006,"0.000")),""),"")</f>
        <v/>
      </c>
      <c r="AN1006">
        <f>IF(AND(ISNUMBER($AC1006),ISNUMBER(IF($V1006,IF($AL1006="","",$AL1006),IF($AK1006="","",$AK1006)))),IF(AND(ABS($AC1006-significance_bar)&lt;=2.0*IF($V1006,IF($AL1006="","",$AL1006),IF($AK1006="","",$AK1006)),OR($Y1006="worse",$Y1006="worse, not significant")),IF(ROUND($AC1006,3)=ROUND(significance_bar,3),TEXT($AC1006,"0.0000"),TEXT($AC1006,"0.000")),""),"")</f>
        <v/>
      </c>
      <c r="AO1006">
        <f>IF(OR($AI1006="",$AN1006=""),$AI1006,$AI1006&amp;" · borderline (p "&amp;$AN1006&amp;")")</f>
        <v/>
      </c>
    </row>
    <row r="1007">
      <c r="A1007" t="inlineStr">
        <is>
          <t>three-way</t>
        </is>
      </c>
      <c r="B1007" t="inlineStr">
        <is>
          <t>ORIG_BAL x ASSET_CLASS / SYS_FLAG</t>
        </is>
      </c>
      <c r="C1007" t="inlineStr">
        <is>
          <t>37,951 - 49,151</t>
        </is>
      </c>
      <c r="D1007" t="inlineStr">
        <is>
          <t>1 / SYS_FLAG N</t>
        </is>
      </c>
      <c r="E1007" t="inlineStr">
        <is>
          <t>ranr_rate</t>
        </is>
      </c>
      <c r="F1007" t="inlineStr">
        <is>
          <t>Profit after losses: RANR per booked dollar</t>
        </is>
      </c>
      <c r="G1007" t="n">
        <v>207</v>
      </c>
      <c r="H1007" t="n">
        <v>8976766.350000007</v>
      </c>
      <c r="I1007" t="b">
        <v>0</v>
      </c>
      <c r="J1007" t="b">
        <v>0</v>
      </c>
      <c r="K1007" t="n">
        <v>0.01251636873909279</v>
      </c>
      <c r="L1007" t="n">
        <v>0.6950214069502141</v>
      </c>
      <c r="M1007" t="n">
        <v>0.02025077744210883</v>
      </c>
      <c r="N1007" t="n">
        <v>0.4690057310058468</v>
      </c>
      <c r="O1007" t="n">
        <v>-112356.5177212802</v>
      </c>
      <c r="P1007" t="n">
        <v>-181786.4975036618</v>
      </c>
      <c r="Q1007">
        <f>'_live'!$C$23</f>
        <v/>
      </c>
      <c r="R1007" t="inlineStr">
        <is>
          <t>shuffled: 3,742 of 10,000</t>
        </is>
      </c>
      <c r="S1007" t="inlineStr">
        <is>
          <t>shuffled: 1,676 of 10,000</t>
        </is>
      </c>
      <c r="T1007" t="n">
        <v>0.1275546747720262</v>
      </c>
      <c r="U1007" t="n">
        <v>0.1198202660690102</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0.140071043511119</v>
      </c>
      <c r="AI1007">
        <f>IF($Y1007="worse","Yes",IF($Y1007="worse, not significant","Not sure",IF(OR($Y1007="too few losses to test",$Y1007="too few loans to test"),"Too few losses",IF($Y1007="","","No"))))</f>
        <v/>
      </c>
      <c r="AJ1007">
        <f>IF($AA1007="yes","Yes",IF($AA1007="","","No"))</f>
        <v/>
      </c>
      <c r="AK1007" t="n">
        <v>0.008835273222968095</v>
      </c>
      <c r="AL1007" t="n">
        <v>0.008760217523622172</v>
      </c>
      <c r="AM1007">
        <f>IF(AND(ISNUMBER($AC1007),ISNUMBER(IF($V1007,IF($AL1007="","",$AL1007),IF($AK1007="","",$AK1007)))),IF(AND(ABS($AC1007-significance_bar)&lt;=2.0*IF($V1007,IF($AL1007="","",$AL1007),IF($AK1007="","",$AK1007)),OR($Y1007="worse",$Y1007="better",$Y1007="worse, not significant",$Y1007="better, not significant",AND(profit_kind="test",$Y1007="in line",ISNUMBER($AB1007),$AB1007&lt;&gt;0))),IF(ROUND($AC1007,3)=ROUND(significance_bar,3),TEXT($AC1007,"0.0000"),TEXT($AC1007,"0.000")),""),"")</f>
        <v/>
      </c>
      <c r="AN1007">
        <f>IF(AND(ISNUMBER($AC1007),ISNUMBER(IF($V1007,IF($AL1007="","",$AL1007),IF($AK1007="","",$AK1007)))),IF(AND(ABS($AC1007-significance_bar)&lt;=2.0*IF($V1007,IF($AL1007="","",$AL1007),IF($AK1007="","",$AK1007)),OR($Y1007="worse",$Y1007="worse, not significant",AND(profit_kind="test",$Y1007="in line",ISNUMBER($AB1007),$AB1007&lt;0))),IF(ROUND($AC1007,3)=ROUND(significance_bar,3),TEXT($AC1007,"0.0000"),TEXT($AC1007,"0.000")),""),"")</f>
        <v/>
      </c>
      <c r="AO1007">
        <f>IF(OR($AI1007="",$AN1007=""),$AI1007,$AI1007&amp;" · borderline (p "&amp;$AN1007&amp;")")</f>
        <v/>
      </c>
    </row>
    <row r="1008">
      <c r="A1008" t="inlineStr">
        <is>
          <t>three-way</t>
        </is>
      </c>
      <c r="B1008" t="inlineStr">
        <is>
          <t>ORIG_BAL x ASSET_CLASS / SYS_FLAG</t>
        </is>
      </c>
      <c r="C1008" t="inlineStr">
        <is>
          <t>37,951 - 49,151</t>
        </is>
      </c>
      <c r="D1008" t="inlineStr">
        <is>
          <t>1 / SYS_FLAG N</t>
        </is>
      </c>
      <c r="E1008" t="inlineStr">
        <is>
          <t>contribution_rate</t>
        </is>
      </c>
      <c r="F1008" t="inlineStr">
        <is>
          <t>Contribution before losses per booked dollar</t>
        </is>
      </c>
      <c r="G1008" t="n">
        <v>206</v>
      </c>
      <c r="H1008" t="n">
        <v>8937081.920000007</v>
      </c>
      <c r="I1008" t="b">
        <v>0</v>
      </c>
      <c r="J1008" t="b">
        <v>0</v>
      </c>
      <c r="K1008" t="n">
        <v>-0.01018945123999887</v>
      </c>
      <c r="L1008" t="n">
        <v>0.774705138181834</v>
      </c>
      <c r="M1008" t="n">
        <v>-0.01081181802130526</v>
      </c>
      <c r="N1008" t="n">
        <v>0.798978925636848</v>
      </c>
      <c r="O1008" t="n">
        <v>91063.96045171563</v>
      </c>
      <c r="P1008" t="n">
        <v>96626.10336053744</v>
      </c>
      <c r="Q1008">
        <f>'_live'!$C$24</f>
        <v/>
      </c>
      <c r="R1008" t="inlineStr">
        <is>
          <t>shuffled: 2,814 of 10,000</t>
        </is>
      </c>
      <c r="S1008" t="inlineStr">
        <is>
          <t>shuffled: 2,353 of 10,000</t>
        </is>
      </c>
      <c r="T1008" t="n">
        <v>0.169945377478616</v>
      </c>
      <c r="U1008" t="n">
        <v>0.1705677442599224</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0.1597559262386171</v>
      </c>
      <c r="AI1008">
        <f>IF($Y1008="worse","Yes",IF($Y1008="worse, not significant","Not sure",IF(OR($Y1008="too few losses to test",$Y1008="too few loans to test"),"Too few losses",IF($Y1008="","","No"))))</f>
        <v/>
      </c>
      <c r="AJ1008">
        <f>IF($AA1008="yes","Yes",IF($AA1008="","","No"))</f>
        <v/>
      </c>
      <c r="AK1008" t="n">
        <v>0.008643756316955952</v>
      </c>
      <c r="AL1008" t="n">
        <v>0.0111426347407216</v>
      </c>
      <c r="AM1008">
        <f>IF(AND(ISNUMBER($AC1008),ISNUMBER(IF($V1008,IF($AL1008="","",$AL1008),IF($AK1008="","",$AK1008)))),IF(AND(ABS($AC1008-significance_bar)&lt;=2.0*IF($V1008,IF($AL1008="","",$AL1008),IF($AK1008="","",$AK1008)),OR($Y1008="worse",$Y1008="better",$Y1008="worse, not significant",$Y1008="better, not significant",AND(profit_kind="test",$Y1008="in line",ISNUMBER($AB1008),$AB1008&lt;&gt;0))),IF(ROUND($AC1008,3)=ROUND(significance_bar,3),TEXT($AC1008,"0.0000"),TEXT($AC1008,"0.000")),""),"")</f>
        <v/>
      </c>
      <c r="AN1008">
        <f>IF(AND(ISNUMBER($AC1008),ISNUMBER(IF($V1008,IF($AL1008="","",$AL1008),IF($AK1008="","",$AK1008)))),IF(AND(ABS($AC1008-significance_bar)&lt;=2.0*IF($V1008,IF($AL1008="","",$AL1008),IF($AK1008="","",$AK1008)),OR($Y1008="worse",$Y1008="worse, not significant",AND(profit_kind="test",$Y1008="in line",ISNUMBER($AB1008),$AB1008&lt;0))),IF(ROUND($AC1008,3)=ROUND(significance_bar,3),TEXT($AC1008,"0.0000"),TEXT($AC1008,"0.000")),""),"")</f>
        <v/>
      </c>
      <c r="AO1008">
        <f>IF(OR($AI1008="",$AN1008=""),$AI1008,$AI1008&amp;" · borderline (p "&amp;$AN1008&amp;")")</f>
        <v/>
      </c>
    </row>
    <row r="1009">
      <c r="A1009" t="inlineStr">
        <is>
          <t>three-way</t>
        </is>
      </c>
      <c r="B1009" t="inlineStr">
        <is>
          <t>ORIG_BAL x ASSET_CLASS / SYS_FLAG</t>
        </is>
      </c>
      <c r="C1009" t="inlineStr">
        <is>
          <t>(blank)</t>
        </is>
      </c>
      <c r="D1009" t="inlineStr">
        <is>
          <t>2 / SYS_FLAG Y</t>
        </is>
      </c>
      <c r="E1009" t="inlineStr">
        <is>
          <t>outcome_loans</t>
        </is>
      </c>
      <c r="F1009" t="inlineStr">
        <is>
          <t>Outcome, share of loans</t>
        </is>
      </c>
      <c r="G1009" t="n">
        <v>1</v>
      </c>
      <c r="H1009" t="n">
        <v>1</v>
      </c>
      <c r="I1009" t="b">
        <v>1</v>
      </c>
      <c r="J1009" t="b">
        <v>1</v>
      </c>
      <c r="K1009" t="n">
        <v>0</v>
      </c>
      <c r="O1009" t="n">
        <v>-0.07739434858714679</v>
      </c>
      <c r="Q1009">
        <f>'_live'!$C$20</f>
        <v/>
      </c>
      <c r="T1009" t="n">
        <v>0.07739434858714679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c r="AM1009">
        <f>IF(AND(ISNUMBER($AC1009),ISNUMBER(IF($V1009,IF($AL1009="","",$AL1009),IF($AK1009="","",$AK1009)))),IF(AND(ABS($AC1009-significance_bar)&lt;=2.0*IF($V1009,IF($AL1009="","",$AL1009),IF($AK1009="","",$AK1009)),OR($Y1009="worse",$Y1009="better",$Y1009="worse, not significant",$Y1009="better, not significant")),IF(ROUND($AC1009,3)=ROUND(significance_bar,3),TEXT($AC1009,"0.0000"),TEXT($AC1009,"0.000")),""),"")</f>
        <v/>
      </c>
      <c r="AN1009">
        <f>IF(AND(ISNUMBER($AC1009),ISNUMBER(IF($V1009,IF($AL1009="","",$AL1009),IF($AK1009="","",$AK1009)))),IF(AND(ABS($AC1009-significance_bar)&lt;=2.0*IF($V1009,IF($AL1009="","",$AL1009),IF($AK1009="","",$AK1009)),OR($Y1009="worse",$Y1009="worse, not significant")),IF(ROUND($AC1009,3)=ROUND(significance_bar,3),TEXT($AC1009,"0.0000"),TEXT($AC1009,"0.000")),""),"")</f>
        <v/>
      </c>
      <c r="AO1009">
        <f>IF(OR($AI1009="",$AN1009=""),$AI1009,$AI1009&amp;" · borderline (p "&amp;$AN1009&amp;")")</f>
        <v/>
      </c>
    </row>
    <row r="1010">
      <c r="A1010" t="inlineStr">
        <is>
          <t>three-way</t>
        </is>
      </c>
      <c r="B1010" t="inlineStr">
        <is>
          <t>ORIG_BAL x ASSET_CLASS / SYS_FLAG</t>
        </is>
      </c>
      <c r="C1010" t="inlineStr">
        <is>
          <t>(blank)</t>
        </is>
      </c>
      <c r="D1010" t="inlineStr">
        <is>
          <t>2 / SYS_FLAG Y</t>
        </is>
      </c>
      <c r="E1010" t="inlineStr">
        <is>
          <t>outcome_booked</t>
        </is>
      </c>
      <c r="F1010" t="inlineStr">
        <is>
          <t>Outcome, share of booked dollars</t>
        </is>
      </c>
      <c r="G1010" t="n">
        <v>0</v>
      </c>
      <c r="H1010" t="n">
        <v>0</v>
      </c>
      <c r="I1010" t="b">
        <v>1</v>
      </c>
      <c r="J1010" t="b">
        <v>1</v>
      </c>
      <c r="O1010" t="n">
        <v>0</v>
      </c>
      <c r="Q1010">
        <f>'_live'!$C$21</f>
        <v/>
      </c>
      <c r="R1010" t="inlineStr"/>
      <c r="S1010" t="inlineStr"/>
      <c r="T1010" t="n">
        <v>0.07482886857347235</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I1010">
        <f>IF($Y1010="worse","Yes",IF($Y1010="worse, not significant","Not sure",IF(OR($Y1010="too few losses to test",$Y1010="too few loans to test"),"Too few losses",IF($Y1010="","","No"))))</f>
        <v/>
      </c>
      <c r="AJ1010">
        <f>IF($AA1010="yes","Yes",IF($AA1010="","","No"))</f>
        <v/>
      </c>
      <c r="AM1010">
        <f>IF(AND(ISNUMBER($AC1010),ISNUMBER(IF($V1010,IF($AL1010="","",$AL1010),IF($AK1010="","",$AK1010)))),IF(AND(ABS($AC1010-significance_bar)&lt;=2.0*IF($V1010,IF($AL1010="","",$AL1010),IF($AK1010="","",$AK1010)),OR($Y1010="worse",$Y1010="better",$Y1010="worse, not significant",$Y1010="better, not significant")),IF(ROUND($AC1010,3)=ROUND(significance_bar,3),TEXT($AC1010,"0.0000"),TEXT($AC1010,"0.000")),""),"")</f>
        <v/>
      </c>
      <c r="AN1010">
        <f>IF(AND(ISNUMBER($AC1010),ISNUMBER(IF($V1010,IF($AL1010="","",$AL1010),IF($AK1010="","",$AK1010)))),IF(AND(ABS($AC1010-significance_bar)&lt;=2.0*IF($V1010,IF($AL1010="","",$AL1010),IF($AK1010="","",$AK1010)),OR($Y1010="worse",$Y1010="worse, not significant")),IF(ROUND($AC1010,3)=ROUND(significance_bar,3),TEXT($AC1010,"0.0000"),TEXT($AC1010,"0.000")),""),"")</f>
        <v/>
      </c>
      <c r="AO1010">
        <f>IF(OR($AI1010="",$AN1010=""),$AI1010,$AI1010&amp;" · borderline (p "&amp;$AN1010&amp;")")</f>
        <v/>
      </c>
    </row>
    <row r="1011">
      <c r="A1011" t="inlineStr">
        <is>
          <t>three-way</t>
        </is>
      </c>
      <c r="B1011" t="inlineStr">
        <is>
          <t>ORIG_BAL x ASSET_CLASS / SYS_FLAG</t>
        </is>
      </c>
      <c r="C1011" t="inlineStr">
        <is>
          <t>(blank)</t>
        </is>
      </c>
      <c r="D1011" t="inlineStr">
        <is>
          <t>2 / SYS_FLAG Y</t>
        </is>
      </c>
      <c r="E1011" t="inlineStr">
        <is>
          <t>gco_rate</t>
        </is>
      </c>
      <c r="F1011" t="inlineStr">
        <is>
          <t>GCO per booked dollar</t>
        </is>
      </c>
      <c r="G1011" t="n">
        <v>0</v>
      </c>
      <c r="H1011" t="n">
        <v>0</v>
      </c>
      <c r="I1011" t="b">
        <v>1</v>
      </c>
      <c r="J1011" t="b">
        <v>1</v>
      </c>
      <c r="O1011" t="n">
        <v>0</v>
      </c>
      <c r="Q1011">
        <f>'_live'!$C$22</f>
        <v/>
      </c>
      <c r="R1011" t="inlineStr"/>
      <c r="S1011" t="inlineStr"/>
      <c r="T1011" t="n">
        <v>0.04160526533333565</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I1011">
        <f>IF($Y1011="worse","Yes",IF($Y1011="worse, not significant","Not sure",IF(OR($Y1011="too few losses to test",$Y1011="too few loans to test"),"Too few losses",IF($Y1011="","","No"))))</f>
        <v/>
      </c>
      <c r="AJ1011">
        <f>IF($AA1011="yes","Yes",IF($AA1011="","","No"))</f>
        <v/>
      </c>
      <c r="AM1011">
        <f>IF(AND(ISNUMBER($AC1011),ISNUMBER(IF($V1011,IF($AL1011="","",$AL1011),IF($AK1011="","",$AK1011)))),IF(AND(ABS($AC1011-significance_bar)&lt;=2.0*IF($V1011,IF($AL1011="","",$AL1011),IF($AK1011="","",$AK1011)),OR($Y1011="worse",$Y1011="better",$Y1011="worse, not significant",$Y1011="better, not significant")),IF(ROUND($AC1011,3)=ROUND(significance_bar,3),TEXT($AC1011,"0.0000"),TEXT($AC1011,"0.000")),""),"")</f>
        <v/>
      </c>
      <c r="AN1011">
        <f>IF(AND(ISNUMBER($AC1011),ISNUMBER(IF($V1011,IF($AL1011="","",$AL1011),IF($AK1011="","",$AK1011)))),IF(AND(ABS($AC1011-significance_bar)&lt;=2.0*IF($V1011,IF($AL1011="","",$AL1011),IF($AK1011="","",$AK1011)),OR($Y1011="worse",$Y1011="worse, not significant")),IF(ROUND($AC1011,3)=ROUND(significance_bar,3),TEXT($AC1011,"0.0000"),TEXT($AC1011,"0.000")),""),"")</f>
        <v/>
      </c>
      <c r="AO1011">
        <f>IF(OR($AI1011="",$AN1011=""),$AI1011,$AI1011&amp;" · borderline (p "&amp;$AN1011&amp;")")</f>
        <v/>
      </c>
    </row>
    <row r="1012">
      <c r="A1012" t="inlineStr">
        <is>
          <t>three-way</t>
        </is>
      </c>
      <c r="B1012" t="inlineStr">
        <is>
          <t>ORIG_BAL x ASSET_CLASS / SYS_FLAG</t>
        </is>
      </c>
      <c r="C1012" t="inlineStr">
        <is>
          <t>(blank)</t>
        </is>
      </c>
      <c r="D1012" t="inlineStr">
        <is>
          <t>2 / SYS_FLAG Y</t>
        </is>
      </c>
      <c r="E1012" t="inlineStr">
        <is>
          <t>ranr_rate</t>
        </is>
      </c>
      <c r="F1012" t="inlineStr">
        <is>
          <t>Profit after losses: RANR per booked dollar</t>
        </is>
      </c>
      <c r="G1012" t="n">
        <v>0</v>
      </c>
      <c r="H1012" t="n">
        <v>0</v>
      </c>
      <c r="I1012" t="b">
        <v>0</v>
      </c>
      <c r="J1012" t="b">
        <v>1</v>
      </c>
      <c r="O1012" t="n">
        <v>0</v>
      </c>
      <c r="Q1012">
        <f>'_live'!$C$23</f>
        <v/>
      </c>
      <c r="R1012" t="inlineStr"/>
      <c r="S1012" t="inlineStr"/>
      <c r="T1012" t="n">
        <v>0.1279900496481481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I1012">
        <f>IF($Y1012="worse","Yes",IF($Y1012="worse, not significant","Not sure",IF(OR($Y1012="too few losses to test",$Y1012="too few loans to test"),"Too few losses",IF($Y1012="","","No"))))</f>
        <v/>
      </c>
      <c r="AJ1012">
        <f>IF($AA1012="yes","Yes",IF($AA1012="","","No"))</f>
        <v/>
      </c>
      <c r="AM1012">
        <f>IF(AND(ISNUMBER($AC1012),ISNUMBER(IF($V1012,IF($AL1012="","",$AL1012),IF($AK1012="","",$AK1012)))),IF(AND(ABS($AC1012-significance_bar)&lt;=2.0*IF($V1012,IF($AL1012="","",$AL1012),IF($AK1012="","",$AK1012)),OR($Y1012="worse",$Y1012="better",$Y1012="worse, not significant",$Y1012="better, not significant",AND(profit_kind="test",$Y1012="in line",ISNUMBER($AB1012),$AB1012&lt;&gt;0))),IF(ROUND($AC1012,3)=ROUND(significance_bar,3),TEXT($AC1012,"0.0000"),TEXT($AC1012,"0.000")),""),"")</f>
        <v/>
      </c>
      <c r="AN1012">
        <f>IF(AND(ISNUMBER($AC1012),ISNUMBER(IF($V1012,IF($AL1012="","",$AL1012),IF($AK1012="","",$AK1012)))),IF(AND(ABS($AC1012-significance_bar)&lt;=2.0*IF($V1012,IF($AL1012="","",$AL1012),IF($AK1012="","",$AK1012)),OR($Y1012="worse",$Y1012="worse, not significant",AND(profit_kind="test",$Y1012="in line",ISNUMBER($AB1012),$AB1012&lt;0))),IF(ROUND($AC1012,3)=ROUND(significance_bar,3),TEXT($AC1012,"0.0000"),TEXT($AC1012,"0.000")),""),"")</f>
        <v/>
      </c>
      <c r="AO1012">
        <f>IF(OR($AI1012="",$AN1012=""),$AI1012,$AI1012&amp;" · borderline (p "&amp;$AN1012&amp;")")</f>
        <v/>
      </c>
    </row>
    <row r="1013">
      <c r="A1013" t="inlineStr">
        <is>
          <t>three-way</t>
        </is>
      </c>
      <c r="B1013" t="inlineStr">
        <is>
          <t>ORIG_BAL x ASSET_CLASS / SYS_FLAG</t>
        </is>
      </c>
      <c r="C1013" t="inlineStr">
        <is>
          <t>(blank)</t>
        </is>
      </c>
      <c r="D1013" t="inlineStr">
        <is>
          <t>2 / SYS_FLAG Y</t>
        </is>
      </c>
      <c r="E1013" t="inlineStr">
        <is>
          <t>contribution_rate</t>
        </is>
      </c>
      <c r="F1013" t="inlineStr">
        <is>
          <t>Contribution before losses per booked dollar</t>
        </is>
      </c>
      <c r="G1013" t="n">
        <v>0</v>
      </c>
      <c r="H1013" t="n">
        <v>0</v>
      </c>
      <c r="I1013" t="b">
        <v>0</v>
      </c>
      <c r="J1013" t="b">
        <v>1</v>
      </c>
      <c r="O1013" t="n">
        <v>0</v>
      </c>
      <c r="Q1013">
        <f>'_live'!$C$24</f>
        <v/>
      </c>
      <c r="R1013" t="inlineStr"/>
      <c r="S1013" t="inlineStr"/>
      <c r="T1013" t="n">
        <v>0.1695924557349815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I1013">
        <f>IF($Y1013="worse","Yes",IF($Y1013="worse, not significant","Not sure",IF(OR($Y1013="too few losses to test",$Y1013="too few loans to test"),"Too few losses",IF($Y1013="","","No"))))</f>
        <v/>
      </c>
      <c r="AJ1013">
        <f>IF($AA1013="yes","Yes",IF($AA1013="","","No"))</f>
        <v/>
      </c>
      <c r="AM1013">
        <f>IF(AND(ISNUMBER($AC1013),ISNUMBER(IF($V1013,IF($AL1013="","",$AL1013),IF($AK1013="","",$AK1013)))),IF(AND(ABS($AC1013-significance_bar)&lt;=2.0*IF($V1013,IF($AL1013="","",$AL1013),IF($AK1013="","",$AK1013)),OR($Y1013="worse",$Y1013="better",$Y1013="worse, not significant",$Y1013="better, not significant",AND(profit_kind="test",$Y1013="in line",ISNUMBER($AB1013),$AB1013&lt;&gt;0))),IF(ROUND($AC1013,3)=ROUND(significance_bar,3),TEXT($AC1013,"0.0000"),TEXT($AC1013,"0.000")),""),"")</f>
        <v/>
      </c>
      <c r="AN1013">
        <f>IF(AND(ISNUMBER($AC1013),ISNUMBER(IF($V1013,IF($AL1013="","",$AL1013),IF($AK1013="","",$AK1013)))),IF(AND(ABS($AC1013-significance_bar)&lt;=2.0*IF($V1013,IF($AL1013="","",$AL1013),IF($AK1013="","",$AK1013)),OR($Y1013="worse",$Y1013="worse, not significant",AND(profit_kind="test",$Y1013="in line",ISNUMBER($AB1013),$AB1013&lt;0))),IF(ROUND($AC1013,3)=ROUND(significance_bar,3),TEXT($AC1013,"0.0000"),TEXT($AC1013,"0.000")),""),"")</f>
        <v/>
      </c>
      <c r="AO1013">
        <f>IF(OR($AI1013="",$AN1013=""),$AI1013,$AI1013&amp;" · borderline (p "&amp;$AN1013&amp;")")</f>
        <v/>
      </c>
    </row>
    <row r="1014">
      <c r="A1014" t="inlineStr">
        <is>
          <t>three-way</t>
        </is>
      </c>
      <c r="B1014" t="inlineStr">
        <is>
          <t>ORIG_BAL x ASSET_CLASS / SYS_FLAG</t>
        </is>
      </c>
      <c r="C1014" t="inlineStr">
        <is>
          <t>26,324 - 37,950</t>
        </is>
      </c>
      <c r="D1014" t="inlineStr">
        <is>
          <t>2 / SYS_FLAG N</t>
        </is>
      </c>
      <c r="E1014" t="inlineStr">
        <is>
          <t>outcome_loans</t>
        </is>
      </c>
      <c r="F1014" t="inlineStr">
        <is>
          <t>Outcome, share of loans</t>
        </is>
      </c>
      <c r="G1014" t="n">
        <v>252</v>
      </c>
      <c r="H1014" t="n">
        <v>252</v>
      </c>
      <c r="I1014" t="b">
        <v>1</v>
      </c>
      <c r="J1014" t="b">
        <v>0</v>
      </c>
      <c r="K1014" t="n">
        <v>0.4025147429402748</v>
      </c>
      <c r="M1014" t="n">
        <v>0.4189231248054778</v>
      </c>
      <c r="O1014" t="n">
        <v>-11.87504840583452</v>
      </c>
      <c r="P1014" t="n">
        <v>-11.09658246656761</v>
      </c>
      <c r="Q1014">
        <f>'_live'!$C$20</f>
        <v/>
      </c>
      <c r="T1014" t="n">
        <v>0.07886923970569253</v>
      </c>
      <c r="U1014" t="n">
        <v>0.07578008915304606</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0.03174603174603174</v>
      </c>
      <c r="AI1014">
        <f>IF($Y1014="worse","Yes",IF($Y1014="worse, not significant","Not sure",IF(OR($Y1014="too few losses to test",$Y1014="too few loans to test"),"Too few losses",IF($Y1014="","","No"))))</f>
        <v/>
      </c>
      <c r="AJ1014">
        <f>IF($AA1014="yes","Yes",IF($AA1014="","","No"))</f>
        <v/>
      </c>
      <c r="AM1014">
        <f>IF(AND(ISNUMBER($AC1014),ISNUMBER(IF($V1014,IF($AL1014="","",$AL1014),IF($AK1014="","",$AK1014)))),IF(AND(ABS($AC1014-significance_bar)&lt;=2.0*IF($V1014,IF($AL1014="","",$AL1014),IF($AK1014="","",$AK1014)),OR($Y1014="worse",$Y1014="better",$Y1014="worse, not significant",$Y1014="better, not significant")),IF(ROUND($AC1014,3)=ROUND(significance_bar,3),TEXT($AC1014,"0.0000"),TEXT($AC1014,"0.000")),""),"")</f>
        <v/>
      </c>
      <c r="AN1014">
        <f>IF(AND(ISNUMBER($AC1014),ISNUMBER(IF($V1014,IF($AL1014="","",$AL1014),IF($AK1014="","",$AK1014)))),IF(AND(ABS($AC1014-significance_bar)&lt;=2.0*IF($V1014,IF($AL1014="","",$AL1014),IF($AK1014="","",$AK1014)),OR($Y1014="worse",$Y1014="worse, not significant")),IF(ROUND($AC1014,3)=ROUND(significance_bar,3),TEXT($AC1014,"0.0000"),TEXT($AC1014,"0.000")),""),"")</f>
        <v/>
      </c>
      <c r="AO1014">
        <f>IF(OR($AI1014="",$AN1014=""),$AI1014,$AI1014&amp;" · borderline (p "&amp;$AN1014&amp;")")</f>
        <v/>
      </c>
    </row>
    <row r="1015">
      <c r="A1015" t="inlineStr">
        <is>
          <t>three-way</t>
        </is>
      </c>
      <c r="B1015" t="inlineStr">
        <is>
          <t>ORIG_BAL x ASSET_CLASS / SYS_FLAG</t>
        </is>
      </c>
      <c r="C1015" t="inlineStr">
        <is>
          <t>26,324 - 37,950</t>
        </is>
      </c>
      <c r="D1015" t="inlineStr">
        <is>
          <t>2 / SYS_FLAG N</t>
        </is>
      </c>
      <c r="E1015" t="inlineStr">
        <is>
          <t>outcome_booked</t>
        </is>
      </c>
      <c r="F1015" t="inlineStr">
        <is>
          <t>Outcome, share of booked dollars</t>
        </is>
      </c>
      <c r="G1015" t="n">
        <v>252</v>
      </c>
      <c r="H1015" t="n">
        <v>8084379.330000008</v>
      </c>
      <c r="I1015" t="b">
        <v>1</v>
      </c>
      <c r="J1015" t="b">
        <v>0</v>
      </c>
      <c r="K1015" t="n">
        <v>0.4049214684380589</v>
      </c>
      <c r="M1015" t="n">
        <v>0.4105654847760398</v>
      </c>
      <c r="O1015" t="n">
        <v>-366829.0636907824</v>
      </c>
      <c r="P1015" t="n">
        <v>-358354.9306029461</v>
      </c>
      <c r="Q1015">
        <f>'_live'!$C$21</f>
        <v/>
      </c>
      <c r="T1015" t="n">
        <v>0.07625051330820988</v>
      </c>
      <c r="U1015" t="n">
        <v>0.07520230258702439</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0.0308754698179161</v>
      </c>
      <c r="AI1015">
        <f>IF($Y1015="worse","Yes",IF($Y1015="worse, not significant","Not sure",IF(OR($Y1015="too few losses to test",$Y1015="too few loans to test"),"Too few losses",IF($Y1015="","","No"))))</f>
        <v/>
      </c>
      <c r="AJ1015">
        <f>IF($AA1015="yes","Yes",IF($AA1015="","","No"))</f>
        <v/>
      </c>
      <c r="AM1015">
        <f>IF(AND(ISNUMBER($AC1015),ISNUMBER(IF($V1015,IF($AL1015="","",$AL1015),IF($AK1015="","",$AK1015)))),IF(AND(ABS($AC1015-significance_bar)&lt;=2.0*IF($V1015,IF($AL1015="","",$AL1015),IF($AK1015="","",$AK1015)),OR($Y1015="worse",$Y1015="better",$Y1015="worse, not significant",$Y1015="better, not significant")),IF(ROUND($AC1015,3)=ROUND(significance_bar,3),TEXT($AC1015,"0.0000"),TEXT($AC1015,"0.000")),""),"")</f>
        <v/>
      </c>
      <c r="AN1015">
        <f>IF(AND(ISNUMBER($AC1015),ISNUMBER(IF($V1015,IF($AL1015="","",$AL1015),IF($AK1015="","",$AK1015)))),IF(AND(ABS($AC1015-significance_bar)&lt;=2.0*IF($V1015,IF($AL1015="","",$AL1015),IF($AK1015="","",$AK1015)),OR($Y1015="worse",$Y1015="worse, not significant")),IF(ROUND($AC1015,3)=ROUND(significance_bar,3),TEXT($AC1015,"0.0000"),TEXT($AC1015,"0.000")),""),"")</f>
        <v/>
      </c>
      <c r="AO1015">
        <f>IF(OR($AI1015="",$AN1015=""),$AI1015,$AI1015&amp;" · borderline (p "&amp;$AN1015&amp;")")</f>
        <v/>
      </c>
    </row>
    <row r="1016">
      <c r="A1016" t="inlineStr">
        <is>
          <t>three-way</t>
        </is>
      </c>
      <c r="B1016" t="inlineStr">
        <is>
          <t>ORIG_BAL x ASSET_CLASS / SYS_FLAG</t>
        </is>
      </c>
      <c r="C1016" t="inlineStr">
        <is>
          <t>26,324 - 37,950</t>
        </is>
      </c>
      <c r="D1016" t="inlineStr">
        <is>
          <t>2 / SYS_FLAG N</t>
        </is>
      </c>
      <c r="E1016" t="inlineStr">
        <is>
          <t>gco_rate</t>
        </is>
      </c>
      <c r="F1016" t="inlineStr">
        <is>
          <t>GCO per booked dollar</t>
        </is>
      </c>
      <c r="G1016" t="n">
        <v>253</v>
      </c>
      <c r="H1016" t="n">
        <v>8121367.340000007</v>
      </c>
      <c r="I1016" t="b">
        <v>1</v>
      </c>
      <c r="J1016" t="b">
        <v>0</v>
      </c>
      <c r="K1016" t="n">
        <v>0.4136033811584541</v>
      </c>
      <c r="M1016" t="n">
        <v>0.4256095936680659</v>
      </c>
      <c r="O1016" t="n">
        <v>-201864.2515770246</v>
      </c>
      <c r="P1016" t="n">
        <v>-192153.2823992904</v>
      </c>
      <c r="Q1016">
        <f>'_live'!$C$22</f>
        <v/>
      </c>
      <c r="T1016" t="n">
        <v>0.04238759769940714</v>
      </c>
      <c r="U1016" t="n">
        <v>0.04119186688571706</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0.0175316537276591</v>
      </c>
      <c r="AI1016">
        <f>IF($Y1016="worse","Yes",IF($Y1016="worse, not significant","Not sure",IF(OR($Y1016="too few losses to test",$Y1016="too few loans to test"),"Too few losses",IF($Y1016="","","No"))))</f>
        <v/>
      </c>
      <c r="AJ1016">
        <f>IF($AA1016="yes","Yes",IF($AA1016="","","No"))</f>
        <v/>
      </c>
      <c r="AM1016">
        <f>IF(AND(ISNUMBER($AC1016),ISNUMBER(IF($V1016,IF($AL1016="","",$AL1016),IF($AK1016="","",$AK1016)))),IF(AND(ABS($AC1016-significance_bar)&lt;=2.0*IF($V1016,IF($AL1016="","",$AL1016),IF($AK1016="","",$AK1016)),OR($Y1016="worse",$Y1016="better",$Y1016="worse, not significant",$Y1016="better, not significant")),IF(ROUND($AC1016,3)=ROUND(significance_bar,3),TEXT($AC1016,"0.0000"),TEXT($AC1016,"0.000")),""),"")</f>
        <v/>
      </c>
      <c r="AN1016">
        <f>IF(AND(ISNUMBER($AC1016),ISNUMBER(IF($V1016,IF($AL1016="","",$AL1016),IF($AK1016="","",$AK1016)))),IF(AND(ABS($AC1016-significance_bar)&lt;=2.0*IF($V1016,IF($AL1016="","",$AL1016),IF($AK1016="","",$AK1016)),OR($Y1016="worse",$Y1016="worse, not significant")),IF(ROUND($AC1016,3)=ROUND(significance_bar,3),TEXT($AC1016,"0.0000"),TEXT($AC1016,"0.000")),""),"")</f>
        <v/>
      </c>
      <c r="AO1016">
        <f>IF(OR($AI1016="",$AN1016=""),$AI1016,$AI1016&amp;" · borderline (p "&amp;$AN1016&amp;")")</f>
        <v/>
      </c>
    </row>
    <row r="1017">
      <c r="A1017" t="inlineStr">
        <is>
          <t>three-way</t>
        </is>
      </c>
      <c r="B1017" t="inlineStr">
        <is>
          <t>ORIG_BAL x ASSET_CLASS / SYS_FLAG</t>
        </is>
      </c>
      <c r="C1017" t="inlineStr">
        <is>
          <t>26,324 - 37,950</t>
        </is>
      </c>
      <c r="D1017" t="inlineStr">
        <is>
          <t>2 / SYS_FLAG N</t>
        </is>
      </c>
      <c r="E1017" t="inlineStr">
        <is>
          <t>ranr_rate</t>
        </is>
      </c>
      <c r="F1017" t="inlineStr">
        <is>
          <t>Profit after losses: RANR per booked dollar</t>
        </is>
      </c>
      <c r="G1017" t="n">
        <v>253</v>
      </c>
      <c r="H1017" t="n">
        <v>8121367.340000007</v>
      </c>
      <c r="I1017" t="b">
        <v>0</v>
      </c>
      <c r="J1017" t="b">
        <v>0</v>
      </c>
      <c r="K1017" t="n">
        <v>0.01153184462264956</v>
      </c>
      <c r="L1017" t="n">
        <v>0.6950214069502141</v>
      </c>
      <c r="M1017" t="n">
        <v>0.009335699716574747</v>
      </c>
      <c r="N1017" t="n">
        <v>0.7223277672232777</v>
      </c>
      <c r="O1017" t="n">
        <v>-93654.34628834086</v>
      </c>
      <c r="P1017" t="n">
        <v>-75818.64677423751</v>
      </c>
      <c r="Q1017">
        <f>'_live'!$C$23</f>
        <v/>
      </c>
      <c r="R1017" t="inlineStr">
        <is>
          <t>shuffled: 3,765 of 10,000</t>
        </is>
      </c>
      <c r="S1017" t="inlineStr">
        <is>
          <t>shuffled: 4,514 of 10,000</t>
        </is>
      </c>
      <c r="T1017" t="n">
        <v>0.127627144582732</v>
      </c>
      <c r="U1017" t="n">
        <v>0.1298232894888068</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0.1391589892053816</v>
      </c>
      <c r="AI1017">
        <f>IF($Y1017="worse","Yes",IF($Y1017="worse, not significant","Not sure",IF(OR($Y1017="too few losses to test",$Y1017="too few loans to test"),"Too few losses",IF($Y1017="","","No"))))</f>
        <v/>
      </c>
      <c r="AJ1017">
        <f>IF($AA1017="yes","Yes",IF($AA1017="","","No"))</f>
        <v/>
      </c>
      <c r="AK1017" t="n">
        <v>0.008835273222968095</v>
      </c>
      <c r="AL1017" t="n">
        <v>0.007962204620929298</v>
      </c>
      <c r="AM1017">
        <f>IF(AND(ISNUMBER($AC1017),ISNUMBER(IF($V1017,IF($AL1017="","",$AL1017),IF($AK1017="","",$AK1017)))),IF(AND(ABS($AC1017-significance_bar)&lt;=2.0*IF($V1017,IF($AL1017="","",$AL1017),IF($AK1017="","",$AK1017)),OR($Y1017="worse",$Y1017="better",$Y1017="worse, not significant",$Y1017="better, not significant",AND(profit_kind="test",$Y1017="in line",ISNUMBER($AB1017),$AB1017&lt;&gt;0))),IF(ROUND($AC1017,3)=ROUND(significance_bar,3),TEXT($AC1017,"0.0000"),TEXT($AC1017,"0.000")),""),"")</f>
        <v/>
      </c>
      <c r="AN1017">
        <f>IF(AND(ISNUMBER($AC1017),ISNUMBER(IF($V1017,IF($AL1017="","",$AL1017),IF($AK1017="","",$AK1017)))),IF(AND(ABS($AC1017-significance_bar)&lt;=2.0*IF($V1017,IF($AL1017="","",$AL1017),IF($AK1017="","",$AK1017)),OR($Y1017="worse",$Y1017="worse, not significant",AND(profit_kind="test",$Y1017="in line",ISNUMBER($AB1017),$AB1017&lt;0))),IF(ROUND($AC1017,3)=ROUND(significance_bar,3),TEXT($AC1017,"0.0000"),TEXT($AC1017,"0.000")),""),"")</f>
        <v/>
      </c>
      <c r="AO1017">
        <f>IF(OR($AI1017="",$AN1017=""),$AI1017,$AI1017&amp;" · borderline (p "&amp;$AN1017&amp;")")</f>
        <v/>
      </c>
    </row>
    <row r="1018">
      <c r="A1018" t="inlineStr">
        <is>
          <t>three-way</t>
        </is>
      </c>
      <c r="B1018" t="inlineStr">
        <is>
          <t>ORIG_BAL x ASSET_CLASS / SYS_FLAG</t>
        </is>
      </c>
      <c r="C1018" t="inlineStr">
        <is>
          <t>26,324 - 37,950</t>
        </is>
      </c>
      <c r="D1018" t="inlineStr">
        <is>
          <t>2 / SYS_FLAG N</t>
        </is>
      </c>
      <c r="E1018" t="inlineStr">
        <is>
          <t>contribution_rate</t>
        </is>
      </c>
      <c r="F1018" t="inlineStr">
        <is>
          <t>Contribution before losses per booked dollar</t>
        </is>
      </c>
      <c r="G1018" t="n">
        <v>253</v>
      </c>
      <c r="H1018" t="n">
        <v>8121367.340000007</v>
      </c>
      <c r="I1018" t="b">
        <v>0</v>
      </c>
      <c r="J1018" t="b">
        <v>0</v>
      </c>
      <c r="K1018" t="n">
        <v>-0.013321089556143</v>
      </c>
      <c r="L1018" t="n">
        <v>0.4863513648635137</v>
      </c>
      <c r="M1018" t="n">
        <v>-0.01432451344148325</v>
      </c>
      <c r="N1018" t="n">
        <v>0.5462310911765966</v>
      </c>
      <c r="O1018" t="n">
        <v>108185.461654475</v>
      </c>
      <c r="P1018" t="n">
        <v>116334.6356250532</v>
      </c>
      <c r="Q1018">
        <f>'_live'!$C$24</f>
        <v/>
      </c>
      <c r="R1018" t="inlineStr">
        <is>
          <t>shuffled: 1,215 of 10,000</t>
        </is>
      </c>
      <c r="S1018" t="inlineStr">
        <is>
          <t>shuffled: 880 of 10,000</t>
        </is>
      </c>
      <c r="T1018" t="n">
        <v>0.1700117324891837</v>
      </c>
      <c r="U1018" t="n">
        <v>0.171015156374524</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0.1566906429330407</v>
      </c>
      <c r="AI1018">
        <f>IF($Y1018="worse","Yes",IF($Y1018="worse, not significant","Not sure",IF(OR($Y1018="too few losses to test",$Y1018="too few loans to test"),"Too few losses",IF($Y1018="","","No"))))</f>
        <v/>
      </c>
      <c r="AJ1018">
        <f>IF($AA1018="yes","Yes",IF($AA1018="","","No"))</f>
        <v/>
      </c>
      <c r="AK1018" t="n">
        <v>0.01307236707467111</v>
      </c>
      <c r="AL1018" t="n">
        <v>0.01680164312215073</v>
      </c>
      <c r="AM1018">
        <f>IF(AND(ISNUMBER($AC1018),ISNUMBER(IF($V1018,IF($AL1018="","",$AL1018),IF($AK1018="","",$AK1018)))),IF(AND(ABS($AC1018-significance_bar)&lt;=2.0*IF($V1018,IF($AL1018="","",$AL1018),IF($AK1018="","",$AK1018)),OR($Y1018="worse",$Y1018="better",$Y1018="worse, not significant",$Y1018="better, not significant",AND(profit_kind="test",$Y1018="in line",ISNUMBER($AB1018),$AB1018&lt;&gt;0))),IF(ROUND($AC1018,3)=ROUND(significance_bar,3),TEXT($AC1018,"0.0000"),TEXT($AC1018,"0.000")),""),"")</f>
        <v/>
      </c>
      <c r="AN1018">
        <f>IF(AND(ISNUMBER($AC1018),ISNUMBER(IF($V1018,IF($AL1018="","",$AL1018),IF($AK1018="","",$AK1018)))),IF(AND(ABS($AC1018-significance_bar)&lt;=2.0*IF($V1018,IF($AL1018="","",$AL1018),IF($AK1018="","",$AK1018)),OR($Y1018="worse",$Y1018="worse, not significant",AND(profit_kind="test",$Y1018="in line",ISNUMBER($AB1018),$AB1018&lt;0))),IF(ROUND($AC1018,3)=ROUND(significance_bar,3),TEXT($AC1018,"0.0000"),TEXT($AC1018,"0.000")),""),"")</f>
        <v/>
      </c>
      <c r="AO1018">
        <f>IF(OR($AI1018="",$AN1018=""),$AI1018,$AI1018&amp;" · borderline (p "&amp;$AN1018&amp;")")</f>
        <v/>
      </c>
    </row>
    <row r="1019">
      <c r="A1019" t="inlineStr">
        <is>
          <t>three-way</t>
        </is>
      </c>
      <c r="B1019" t="inlineStr">
        <is>
          <t>ORIG_BAL x ASSET_CLASS / SYS_FLAG</t>
        </is>
      </c>
      <c r="C1019" t="inlineStr">
        <is>
          <t>26,324 - 37,950</t>
        </is>
      </c>
      <c r="D1019" t="inlineStr">
        <is>
          <t>4 / SYS_FLAG Y</t>
        </is>
      </c>
      <c r="E1019" t="inlineStr">
        <is>
          <t>outcome_loans</t>
        </is>
      </c>
      <c r="F1019" t="inlineStr">
        <is>
          <t>Outcome, share of loans</t>
        </is>
      </c>
      <c r="G1019" t="n">
        <v>194</v>
      </c>
      <c r="H1019" t="n">
        <v>194</v>
      </c>
      <c r="I1019" t="b">
        <v>0</v>
      </c>
      <c r="J1019" t="b">
        <v>0</v>
      </c>
      <c r="K1019" t="n">
        <v>1.622801697998787</v>
      </c>
      <c r="L1019" t="n">
        <v>0.1546376767426414</v>
      </c>
      <c r="M1019" t="n">
        <v>2.019659554063774</v>
      </c>
      <c r="N1019" t="n">
        <v>0.01363633880561689</v>
      </c>
      <c r="O1019" t="n">
        <v>9.210762331838566</v>
      </c>
      <c r="P1019" t="n">
        <v>12.11680911680912</v>
      </c>
      <c r="Q1019">
        <f>'_live'!$C$20</f>
        <v/>
      </c>
      <c r="R1019" t="inlineStr">
        <is>
          <t>z test</t>
        </is>
      </c>
      <c r="S1019" t="inlineStr">
        <is>
          <t>z test</t>
        </is>
      </c>
      <c r="T1019" t="n">
        <v>0.07623318385650224</v>
      </c>
      <c r="U1019" t="n">
        <v>0.06125356125356125</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0.1237113402061856</v>
      </c>
      <c r="AI1019">
        <f>IF($Y1019="worse","Yes",IF($Y1019="worse, not significant","Not sure",IF(OR($Y1019="too few losses to test",$Y1019="too few loans to test"),"Too few losses",IF($Y1019="","","No"))))</f>
        <v/>
      </c>
      <c r="AJ1019">
        <f>IF($AA1019="yes","Yes",IF($AA1019="","","No"))</f>
        <v/>
      </c>
      <c r="AM1019">
        <f>IF(AND(ISNUMBER($AC1019),ISNUMBER(IF($V1019,IF($AL1019="","",$AL1019),IF($AK1019="","",$AK1019)))),IF(AND(ABS($AC1019-significance_bar)&lt;=2.0*IF($V1019,IF($AL1019="","",$AL1019),IF($AK1019="","",$AK1019)),OR($Y1019="worse",$Y1019="better",$Y1019="worse, not significant",$Y1019="better, not significant")),IF(ROUND($AC1019,3)=ROUND(significance_bar,3),TEXT($AC1019,"0.0000"),TEXT($AC1019,"0.000")),""),"")</f>
        <v/>
      </c>
      <c r="AN1019">
        <f>IF(AND(ISNUMBER($AC1019),ISNUMBER(IF($V1019,IF($AL1019="","",$AL1019),IF($AK1019="","",$AK1019)))),IF(AND(ABS($AC1019-significance_bar)&lt;=2.0*IF($V1019,IF($AL1019="","",$AL1019),IF($AK1019="","",$AK1019)),OR($Y1019="worse",$Y1019="worse, not significant")),IF(ROUND($AC1019,3)=ROUND(significance_bar,3),TEXT($AC1019,"0.0000"),TEXT($AC1019,"0.000")),""),"")</f>
        <v/>
      </c>
      <c r="AO1019">
        <f>IF(OR($AI1019="",$AN1019=""),$AI1019,$AI1019&amp;" · borderline (p "&amp;$AN1019&amp;")")</f>
        <v/>
      </c>
    </row>
    <row r="1020">
      <c r="A1020" t="inlineStr">
        <is>
          <t>three-way</t>
        </is>
      </c>
      <c r="B1020" t="inlineStr">
        <is>
          <t>ORIG_BAL x ASSET_CLASS / SYS_FLAG</t>
        </is>
      </c>
      <c r="C1020" t="inlineStr">
        <is>
          <t>26,324 - 37,950</t>
        </is>
      </c>
      <c r="D1020" t="inlineStr">
        <is>
          <t>4 / SYS_FLAG Y</t>
        </is>
      </c>
      <c r="E1020" t="inlineStr">
        <is>
          <t>outcome_booked</t>
        </is>
      </c>
      <c r="F1020" t="inlineStr">
        <is>
          <t>Outcome, share of booked dollars</t>
        </is>
      </c>
      <c r="G1020" t="n">
        <v>194</v>
      </c>
      <c r="H1020" t="n">
        <v>6265985.869999997</v>
      </c>
      <c r="I1020" t="b">
        <v>0</v>
      </c>
      <c r="J1020" t="b">
        <v>0</v>
      </c>
      <c r="K1020" t="n">
        <v>1.612144398112509</v>
      </c>
      <c r="L1020" t="n">
        <v>0.2349479337780508</v>
      </c>
      <c r="M1020" t="n">
        <v>1.94301198795135</v>
      </c>
      <c r="N1020" t="n">
        <v>0.0330633603306336</v>
      </c>
      <c r="O1020" t="n">
        <v>282816.0878635875</v>
      </c>
      <c r="P1020" t="n">
        <v>361489.6797805513</v>
      </c>
      <c r="Q1020">
        <f>'_live'!$C$21</f>
        <v/>
      </c>
      <c r="R1020" t="inlineStr">
        <is>
          <t>shuffled: 333 of 10,000</t>
        </is>
      </c>
      <c r="S1020" t="inlineStr">
        <is>
          <t>shuffled: 30 of 10,000</t>
        </is>
      </c>
      <c r="T1020" t="n">
        <v>0.07373281582845523</v>
      </c>
      <c r="U1020" t="n">
        <v>0.06117715522704313</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0.1188679459949054</v>
      </c>
      <c r="AI1020">
        <f>IF($Y1020="worse","Yes",IF($Y1020="worse, not significant","Not sure",IF(OR($Y1020="too few losses to test",$Y1020="too few loans to test"),"Too few losses",IF($Y1020="","","No"))))</f>
        <v/>
      </c>
      <c r="AJ1020">
        <f>IF($AA1020="yes","Yes",IF($AA1020="","","No"))</f>
        <v/>
      </c>
      <c r="AK1020" t="n">
        <v>0.01009379594446269</v>
      </c>
      <c r="AL1020" t="n">
        <v>0.005929440595287258</v>
      </c>
      <c r="AM1020">
        <f>IF(AND(ISNUMBER($AC1020),ISNUMBER(IF($V1020,IF($AL1020="","",$AL1020),IF($AK1020="","",$AK1020)))),IF(AND(ABS($AC1020-significance_bar)&lt;=2.0*IF($V1020,IF($AL1020="","",$AL1020),IF($AK1020="","",$AK1020)),OR($Y1020="worse",$Y1020="better",$Y1020="worse, not significant",$Y1020="better, not significant")),IF(ROUND($AC1020,3)=ROUND(significance_bar,3),TEXT($AC1020,"0.0000"),TEXT($AC1020,"0.000")),""),"")</f>
        <v/>
      </c>
      <c r="AN1020">
        <f>IF(AND(ISNUMBER($AC1020),ISNUMBER(IF($V1020,IF($AL1020="","",$AL1020),IF($AK1020="","",$AK1020)))),IF(AND(ABS($AC1020-significance_bar)&lt;=2.0*IF($V1020,IF($AL1020="","",$AL1020),IF($AK1020="","",$AK1020)),OR($Y1020="worse",$Y1020="worse, not significant")),IF(ROUND($AC1020,3)=ROUND(significance_bar,3),TEXT($AC1020,"0.0000"),TEXT($AC1020,"0.000")),""),"")</f>
        <v/>
      </c>
      <c r="AO1020">
        <f>IF(OR($AI1020="",$AN1020=""),$AI1020,$AI1020&amp;" · borderline (p "&amp;$AN1020&amp;")")</f>
        <v/>
      </c>
    </row>
    <row r="1021">
      <c r="A1021" t="inlineStr">
        <is>
          <t>three-way</t>
        </is>
      </c>
      <c r="B1021" t="inlineStr">
        <is>
          <t>ORIG_BAL x ASSET_CLASS / SYS_FLAG</t>
        </is>
      </c>
      <c r="C1021" t="inlineStr">
        <is>
          <t>26,324 - 37,950</t>
        </is>
      </c>
      <c r="D1021" t="inlineStr">
        <is>
          <t>4 / SYS_FLAG Y</t>
        </is>
      </c>
      <c r="E1021" t="inlineStr">
        <is>
          <t>gco_rate</t>
        </is>
      </c>
      <c r="F1021" t="inlineStr">
        <is>
          <t>GCO per booked dollar</t>
        </is>
      </c>
      <c r="G1021" t="n">
        <v>194</v>
      </c>
      <c r="H1021" t="n">
        <v>6265985.869999997</v>
      </c>
      <c r="I1021" t="b">
        <v>0</v>
      </c>
      <c r="J1021" t="b">
        <v>0</v>
      </c>
      <c r="K1021" t="n">
        <v>1.586997339335288</v>
      </c>
      <c r="L1021" t="n">
        <v>0.193980601939806</v>
      </c>
      <c r="M1021" t="n">
        <v>1.936964095310002</v>
      </c>
      <c r="N1021" t="n">
        <v>0.0437289604372896</v>
      </c>
      <c r="O1021" t="n">
        <v>150878.3132819968</v>
      </c>
      <c r="P1021" t="n">
        <v>197318.7087039321</v>
      </c>
      <c r="Q1021">
        <f>'_live'!$C$22</f>
        <v/>
      </c>
      <c r="R1021" t="inlineStr">
        <is>
          <t>shuffled: 484 of 10,000</t>
        </is>
      </c>
      <c r="S1021" t="inlineStr">
        <is>
          <t>shuffled: 40 of 10,000</t>
        </is>
      </c>
      <c r="T1021" t="n">
        <v>0.04102053085510763</v>
      </c>
      <c r="U1021" t="n">
        <v>0.0336090242884745</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0.06509947332517688</v>
      </c>
      <c r="AI1021">
        <f>IF($Y1021="worse","Yes",IF($Y1021="worse, not significant","Not sure",IF(OR($Y1021="too few losses to test",$Y1021="too few loans to test"),"Too few losses",IF($Y1021="","","No"))))</f>
        <v/>
      </c>
      <c r="AJ1021">
        <f>IF($AA1021="yes","Yes",IF($AA1021="","","No"))</f>
        <v/>
      </c>
      <c r="AK1021" t="n">
        <v>0.008592403236756843</v>
      </c>
      <c r="AL1021" t="n">
        <v>0.006815643936441343</v>
      </c>
      <c r="AM1021">
        <f>IF(AND(ISNUMBER($AC1021),ISNUMBER(IF($V1021,IF($AL1021="","",$AL1021),IF($AK1021="","",$AK1021)))),IF(AND(ABS($AC1021-significance_bar)&lt;=2.0*IF($V1021,IF($AL1021="","",$AL1021),IF($AK1021="","",$AK1021)),OR($Y1021="worse",$Y1021="better",$Y1021="worse, not significant",$Y1021="better, not significant")),IF(ROUND($AC1021,3)=ROUND(significance_bar,3),TEXT($AC1021,"0.0000"),TEXT($AC1021,"0.000")),""),"")</f>
        <v/>
      </c>
      <c r="AN1021">
        <f>IF(AND(ISNUMBER($AC1021),ISNUMBER(IF($V1021,IF($AL1021="","",$AL1021),IF($AK1021="","",$AK1021)))),IF(AND(ABS($AC1021-significance_bar)&lt;=2.0*IF($V1021,IF($AL1021="","",$AL1021),IF($AK1021="","",$AK1021)),OR($Y1021="worse",$Y1021="worse, not significant")),IF(ROUND($AC1021,3)=ROUND(significance_bar,3),TEXT($AC1021,"0.0000"),TEXT($AC1021,"0.000")),""),"")</f>
        <v/>
      </c>
      <c r="AO1021">
        <f>IF(OR($AI1021="",$AN1021=""),$AI1021,$AI1021&amp;" · borderline (p "&amp;$AN1021&amp;")")</f>
        <v/>
      </c>
    </row>
    <row r="1022">
      <c r="A1022" t="inlineStr">
        <is>
          <t>three-way</t>
        </is>
      </c>
      <c r="B1022" t="inlineStr">
        <is>
          <t>ORIG_BAL x ASSET_CLASS / SYS_FLAG</t>
        </is>
      </c>
      <c r="C1022" t="inlineStr">
        <is>
          <t>26,324 - 37,950</t>
        </is>
      </c>
      <c r="D1022" t="inlineStr">
        <is>
          <t>4 / SYS_FLAG Y</t>
        </is>
      </c>
      <c r="E1022" t="inlineStr">
        <is>
          <t>ranr_rate</t>
        </is>
      </c>
      <c r="F1022" t="inlineStr">
        <is>
          <t>Profit after losses: RANR per booked dollar</t>
        </is>
      </c>
      <c r="G1022" t="n">
        <v>194</v>
      </c>
      <c r="H1022" t="n">
        <v>6265985.869999997</v>
      </c>
      <c r="I1022" t="b">
        <v>0</v>
      </c>
      <c r="J1022" t="b">
        <v>0</v>
      </c>
      <c r="K1022" t="n">
        <v>-0.01666015756725099</v>
      </c>
      <c r="L1022" t="n">
        <v>0.5817196058171961</v>
      </c>
      <c r="M1022" t="n">
        <v>-0.02228353814683399</v>
      </c>
      <c r="N1022" t="n">
        <v>0.384325203843252</v>
      </c>
      <c r="O1022" t="n">
        <v>104392.3119083683</v>
      </c>
      <c r="P1022" t="n">
        <v>139628.3351616678</v>
      </c>
      <c r="Q1022">
        <f>'_live'!$C$23</f>
        <v/>
      </c>
      <c r="R1022" t="inlineStr">
        <is>
          <t>shuffled: 2,568 of 10,000</t>
        </is>
      </c>
      <c r="S1022" t="inlineStr">
        <is>
          <t>shuffled: 1,056 of 10,000</t>
        </is>
      </c>
      <c r="T1022" t="n">
        <v>0.1283945636967049</v>
      </c>
      <c r="U1022" t="n">
        <v>0.1340179442762879</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0.1117344061294539</v>
      </c>
      <c r="AI1022">
        <f>IF($Y1022="worse","Yes",IF($Y1022="worse, not significant","Not sure",IF(OR($Y1022="too few losses to test",$Y1022="too few loans to test"),"Too few losses",IF($Y1022="","","No"))))</f>
        <v/>
      </c>
      <c r="AJ1022">
        <f>IF($AA1022="yes","Yes",IF($AA1022="","","No"))</f>
        <v/>
      </c>
      <c r="AK1022" t="n">
        <v>0.009768892134511521</v>
      </c>
      <c r="AL1022" t="n">
        <v>0.01117962581433067</v>
      </c>
      <c r="AM1022">
        <f>IF(AND(ISNUMBER($AC1022),ISNUMBER(IF($V1022,IF($AL1022="","",$AL1022),IF($AK1022="","",$AK1022)))),IF(AND(ABS($AC1022-significance_bar)&lt;=2.0*IF($V1022,IF($AL1022="","",$AL1022),IF($AK1022="","",$AK1022)),OR($Y1022="worse",$Y1022="better",$Y1022="worse, not significant",$Y1022="better, not significant",AND(profit_kind="test",$Y1022="in line",ISNUMBER($AB1022),$AB1022&lt;&gt;0))),IF(ROUND($AC1022,3)=ROUND(significance_bar,3),TEXT($AC1022,"0.0000"),TEXT($AC1022,"0.000")),""),"")</f>
        <v/>
      </c>
      <c r="AN1022">
        <f>IF(AND(ISNUMBER($AC1022),ISNUMBER(IF($V1022,IF($AL1022="","",$AL1022),IF($AK1022="","",$AK1022)))),IF(AND(ABS($AC1022-significance_bar)&lt;=2.0*IF($V1022,IF($AL1022="","",$AL1022),IF($AK1022="","",$AK1022)),OR($Y1022="worse",$Y1022="worse, not significant",AND(profit_kind="test",$Y1022="in line",ISNUMBER($AB1022),$AB1022&lt;0))),IF(ROUND($AC1022,3)=ROUND(significance_bar,3),TEXT($AC1022,"0.0000"),TEXT($AC1022,"0.000")),""),"")</f>
        <v/>
      </c>
      <c r="AO1022">
        <f>IF(OR($AI1022="",$AN1022=""),$AI1022,$AI1022&amp;" · borderline (p "&amp;$AN1022&amp;")")</f>
        <v/>
      </c>
    </row>
    <row r="1023">
      <c r="A1023" t="inlineStr">
        <is>
          <t>three-way</t>
        </is>
      </c>
      <c r="B1023" t="inlineStr">
        <is>
          <t>ORIG_BAL x ASSET_CLASS / SYS_FLAG</t>
        </is>
      </c>
      <c r="C1023" t="inlineStr">
        <is>
          <t>26,324 - 37,950</t>
        </is>
      </c>
      <c r="D1023" t="inlineStr">
        <is>
          <t>4 / SYS_FLAG Y</t>
        </is>
      </c>
      <c r="E1023" t="inlineStr">
        <is>
          <t>contribution_rate</t>
        </is>
      </c>
      <c r="F1023" t="inlineStr">
        <is>
          <t>Contribution before losses per booked dollar</t>
        </is>
      </c>
      <c r="G1023" t="n">
        <v>194</v>
      </c>
      <c r="H1023" t="n">
        <v>6265985.869999997</v>
      </c>
      <c r="I1023" t="b">
        <v>0</v>
      </c>
      <c r="J1023" t="b">
        <v>0</v>
      </c>
      <c r="K1023" t="n">
        <v>0.007421651549496033</v>
      </c>
      <c r="L1023" t="n">
        <v>0.774705138181834</v>
      </c>
      <c r="M1023" t="n">
        <v>0.009206910889868303</v>
      </c>
      <c r="N1023" t="n">
        <v>0.798978925636848</v>
      </c>
      <c r="O1023" t="n">
        <v>-46503.96374120563</v>
      </c>
      <c r="P1023" t="n">
        <v>-57690.37354226387</v>
      </c>
      <c r="Q1023">
        <f>'_live'!$C$24</f>
        <v/>
      </c>
      <c r="R1023" t="inlineStr">
        <is>
          <t>shuffled: 4,431 of 10,000</t>
        </is>
      </c>
      <c r="S1023" t="inlineStr">
        <is>
          <t>shuffled: 3,232 of 10,000</t>
        </is>
      </c>
      <c r="T1023" t="n">
        <v>0.1694122279051348</v>
      </c>
      <c r="U1023" t="n">
        <v>0.1676269685647625</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0.1768338794546308</v>
      </c>
      <c r="AI1023">
        <f>IF($Y1023="worse","Yes",IF($Y1023="worse, not significant","Not sure",IF(OR($Y1023="too few losses to test",$Y1023="too few loans to test"),"Too few losses",IF($Y1023="","","No"))))</f>
        <v/>
      </c>
      <c r="AJ1023">
        <f>IF($AA1023="yes","Yes",IF($AA1023="","","No"))</f>
        <v/>
      </c>
      <c r="AK1023" t="n">
        <v>0.008643756316955952</v>
      </c>
      <c r="AL1023" t="n">
        <v>0.0111426347407216</v>
      </c>
      <c r="AM1023">
        <f>IF(AND(ISNUMBER($AC1023),ISNUMBER(IF($V1023,IF($AL1023="","",$AL1023),IF($AK1023="","",$AK1023)))),IF(AND(ABS($AC1023-significance_bar)&lt;=2.0*IF($V1023,IF($AL1023="","",$AL1023),IF($AK1023="","",$AK1023)),OR($Y1023="worse",$Y1023="better",$Y1023="worse, not significant",$Y1023="better, not significant",AND(profit_kind="test",$Y1023="in line",ISNUMBER($AB1023),$AB1023&lt;&gt;0))),IF(ROUND($AC1023,3)=ROUND(significance_bar,3),TEXT($AC1023,"0.0000"),TEXT($AC1023,"0.000")),""),"")</f>
        <v/>
      </c>
      <c r="AN1023">
        <f>IF(AND(ISNUMBER($AC1023),ISNUMBER(IF($V1023,IF($AL1023="","",$AL1023),IF($AK1023="","",$AK1023)))),IF(AND(ABS($AC1023-significance_bar)&lt;=2.0*IF($V1023,IF($AL1023="","",$AL1023),IF($AK1023="","",$AK1023)),OR($Y1023="worse",$Y1023="worse, not significant",AND(profit_kind="test",$Y1023="in line",ISNUMBER($AB1023),$AB1023&lt;0))),IF(ROUND($AC1023,3)=ROUND(significance_bar,3),TEXT($AC1023,"0.0000"),TEXT($AC1023,"0.000")),""),"")</f>
        <v/>
      </c>
      <c r="AO1023">
        <f>IF(OR($AI1023="",$AN1023=""),$AI1023,$AI1023&amp;" · borderline (p "&amp;$AN1023&amp;")")</f>
        <v/>
      </c>
    </row>
    <row r="1024">
      <c r="A1024" t="inlineStr">
        <is>
          <t>three-way</t>
        </is>
      </c>
      <c r="B1024" t="inlineStr">
        <is>
          <t>ORIG_BAL x ASSET_CLASS / SYS_FLAG</t>
        </is>
      </c>
      <c r="C1024" t="inlineStr">
        <is>
          <t>37,951 - 49,151</t>
        </is>
      </c>
      <c r="D1024" t="inlineStr">
        <is>
          <t>2 / SYS_FLAG Y</t>
        </is>
      </c>
      <c r="E1024" t="inlineStr">
        <is>
          <t>outcome_loans</t>
        </is>
      </c>
      <c r="F1024" t="inlineStr">
        <is>
          <t>Outcome, share of loans</t>
        </is>
      </c>
      <c r="G1024" t="n">
        <v>199</v>
      </c>
      <c r="H1024" t="n">
        <v>199</v>
      </c>
      <c r="I1024" t="b">
        <v>0</v>
      </c>
      <c r="J1024" t="b">
        <v>0</v>
      </c>
      <c r="K1024" t="n">
        <v>1.106863219753251</v>
      </c>
      <c r="L1024" t="n">
        <v>0.8540289775659338</v>
      </c>
      <c r="M1024" t="n">
        <v>1.022935188764334</v>
      </c>
      <c r="N1024" t="n">
        <v>0.9272766844451185</v>
      </c>
      <c r="O1024" t="n">
        <v>1.641282051282051</v>
      </c>
      <c r="P1024" t="n">
        <v>0.3811563169164884</v>
      </c>
      <c r="Q1024">
        <f>'_live'!$C$20</f>
        <v/>
      </c>
      <c r="R1024" t="inlineStr">
        <is>
          <t>z test</t>
        </is>
      </c>
      <c r="S1024" t="inlineStr">
        <is>
          <t>z test</t>
        </is>
      </c>
      <c r="T1024" t="n">
        <v>0.07717948717948718</v>
      </c>
      <c r="U1024" t="n">
        <v>0.0835117773019272</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0.08542713567839195</v>
      </c>
      <c r="AI1024">
        <f>IF($Y1024="worse","Yes",IF($Y1024="worse, not significant","Not sure",IF(OR($Y1024="too few losses to test",$Y1024="too few loans to test"),"Too few losses",IF($Y1024="","","No"))))</f>
        <v/>
      </c>
      <c r="AJ1024">
        <f>IF($AA1024="yes","Yes",IF($AA1024="","","No"))</f>
        <v/>
      </c>
      <c r="AM1024">
        <f>IF(AND(ISNUMBER($AC1024),ISNUMBER(IF($V1024,IF($AL1024="","",$AL1024),IF($AK1024="","",$AK1024)))),IF(AND(ABS($AC1024-significance_bar)&lt;=2.0*IF($V1024,IF($AL1024="","",$AL1024),IF($AK1024="","",$AK1024)),OR($Y1024="worse",$Y1024="better",$Y1024="worse, not significant",$Y1024="better, not significant")),IF(ROUND($AC1024,3)=ROUND(significance_bar,3),TEXT($AC1024,"0.0000"),TEXT($AC1024,"0.000")),""),"")</f>
        <v/>
      </c>
      <c r="AN1024">
        <f>IF(AND(ISNUMBER($AC1024),ISNUMBER(IF($V1024,IF($AL1024="","",$AL1024),IF($AK1024="","",$AK1024)))),IF(AND(ABS($AC1024-significance_bar)&lt;=2.0*IF($V1024,IF($AL1024="","",$AL1024),IF($AK1024="","",$AK1024)),OR($Y1024="worse",$Y1024="worse, not significant")),IF(ROUND($AC1024,3)=ROUND(significance_bar,3),TEXT($AC1024,"0.0000"),TEXT($AC1024,"0.000")),""),"")</f>
        <v/>
      </c>
      <c r="AO1024">
        <f>IF(OR($AI1024="",$AN1024=""),$AI1024,$AI1024&amp;" · borderline (p "&amp;$AN1024&amp;")")</f>
        <v/>
      </c>
    </row>
    <row r="1025">
      <c r="A1025" t="inlineStr">
        <is>
          <t>three-way</t>
        </is>
      </c>
      <c r="B1025" t="inlineStr">
        <is>
          <t>ORIG_BAL x ASSET_CLASS / SYS_FLAG</t>
        </is>
      </c>
      <c r="C1025" t="inlineStr">
        <is>
          <t>37,951 - 49,151</t>
        </is>
      </c>
      <c r="D1025" t="inlineStr">
        <is>
          <t>2 / SYS_FLAG Y</t>
        </is>
      </c>
      <c r="E1025" t="inlineStr">
        <is>
          <t>outcome_booked</t>
        </is>
      </c>
      <c r="F1025" t="inlineStr">
        <is>
          <t>Outcome, share of booked dollars</t>
        </is>
      </c>
      <c r="G1025" t="n">
        <v>199</v>
      </c>
      <c r="H1025" t="n">
        <v>8656683.530000005</v>
      </c>
      <c r="I1025" t="b">
        <v>0</v>
      </c>
      <c r="J1025" t="b">
        <v>0</v>
      </c>
      <c r="K1025" t="n">
        <v>1.142664628888052</v>
      </c>
      <c r="L1025" t="n">
        <v>0.8613995743282814</v>
      </c>
      <c r="M1025" t="n">
        <v>1.027685056142859</v>
      </c>
      <c r="N1025" t="n">
        <v>0.9408059194080592</v>
      </c>
      <c r="O1025" t="n">
        <v>91973.63437248452</v>
      </c>
      <c r="P1025" t="n">
        <v>19845.00388851867</v>
      </c>
      <c r="Q1025">
        <f>'_live'!$C$21</f>
        <v/>
      </c>
      <c r="R1025" t="inlineStr">
        <is>
          <t>shuffled: 6,174 of 10,000</t>
        </is>
      </c>
      <c r="S1025" t="inlineStr">
        <is>
          <t>shuffled: 9,190 of 10,000</t>
        </is>
      </c>
      <c r="T1025" t="n">
        <v>0.07447242507980593</v>
      </c>
      <c r="U1025" t="n">
        <v>0.08280455715255665</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0.08509700596620973</v>
      </c>
      <c r="AI1025">
        <f>IF($Y1025="worse","Yes",IF($Y1025="worse, not significant","Not sure",IF(OR($Y1025="too few losses to test",$Y1025="too few loans to test"),"Too few losses",IF($Y1025="","","No"))))</f>
        <v/>
      </c>
      <c r="AJ1025">
        <f>IF($AA1025="yes","Yes",IF($AA1025="","","No"))</f>
        <v/>
      </c>
      <c r="AK1025" t="n">
        <v>0.004923895101667321</v>
      </c>
      <c r="AL1025" t="n">
        <v>0.002359875874168292</v>
      </c>
      <c r="AM1025">
        <f>IF(AND(ISNUMBER($AC1025),ISNUMBER(IF($V1025,IF($AL1025="","",$AL1025),IF($AK1025="","",$AK1025)))),IF(AND(ABS($AC1025-significance_bar)&lt;=2.0*IF($V1025,IF($AL1025="","",$AL1025),IF($AK1025="","",$AK1025)),OR($Y1025="worse",$Y1025="better",$Y1025="worse, not significant",$Y1025="better, not significant")),IF(ROUND($AC1025,3)=ROUND(significance_bar,3),TEXT($AC1025,"0.0000"),TEXT($AC1025,"0.000")),""),"")</f>
        <v/>
      </c>
      <c r="AN1025">
        <f>IF(AND(ISNUMBER($AC1025),ISNUMBER(IF($V1025,IF($AL1025="","",$AL1025),IF($AK1025="","",$AK1025)))),IF(AND(ABS($AC1025-significance_bar)&lt;=2.0*IF($V1025,IF($AL1025="","",$AL1025),IF($AK1025="","",$AK1025)),OR($Y1025="worse",$Y1025="worse, not significant")),IF(ROUND($AC1025,3)=ROUND(significance_bar,3),TEXT($AC1025,"0.0000"),TEXT($AC1025,"0.000")),""),"")</f>
        <v/>
      </c>
      <c r="AO1025">
        <f>IF(OR($AI1025="",$AN1025=""),$AI1025,$AI1025&amp;" · borderline (p "&amp;$AN1025&amp;")")</f>
        <v/>
      </c>
    </row>
    <row r="1026">
      <c r="A1026" t="inlineStr">
        <is>
          <t>three-way</t>
        </is>
      </c>
      <c r="B1026" t="inlineStr">
        <is>
          <t>ORIG_BAL x ASSET_CLASS / SYS_FLAG</t>
        </is>
      </c>
      <c r="C1026" t="inlineStr">
        <is>
          <t>37,951 - 49,151</t>
        </is>
      </c>
      <c r="D1026" t="inlineStr">
        <is>
          <t>2 / SYS_FLAG Y</t>
        </is>
      </c>
      <c r="E1026" t="inlineStr">
        <is>
          <t>gco_rate</t>
        </is>
      </c>
      <c r="F1026" t="inlineStr">
        <is>
          <t>GCO per booked dollar</t>
        </is>
      </c>
      <c r="G1026" t="n">
        <v>199</v>
      </c>
      <c r="H1026" t="n">
        <v>8656683.530000005</v>
      </c>
      <c r="I1026" t="b">
        <v>0</v>
      </c>
      <c r="J1026" t="b">
        <v>0</v>
      </c>
      <c r="K1026" t="n">
        <v>1.057177222755247</v>
      </c>
      <c r="L1026" t="n">
        <v>0.9412575983780932</v>
      </c>
      <c r="M1026" t="n">
        <v>0.9306236526995691</v>
      </c>
      <c r="N1026" t="n">
        <v>0.8843115688431157</v>
      </c>
      <c r="O1026" t="n">
        <v>20553.72794885916</v>
      </c>
      <c r="P1026" t="n">
        <v>-28330.39883803925</v>
      </c>
      <c r="Q1026">
        <f>'_live'!$C$22</f>
        <v/>
      </c>
      <c r="R1026" t="inlineStr">
        <is>
          <t>shuffled: 8,456 of 10,000</t>
        </is>
      </c>
      <c r="S1026" t="inlineStr">
        <is>
          <t>shuffled: 7,918 of 10,000</t>
        </is>
      </c>
      <c r="T1026" t="n">
        <v>0.04152560860118917</v>
      </c>
      <c r="U1026" t="n">
        <v>0.04717258952841019</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0.04389992757422654</v>
      </c>
      <c r="AI1026">
        <f>IF($Y1026="worse","Yes",IF($Y1026="worse, not significant","Not sure",IF(OR($Y1026="too few losses to test",$Y1026="too few loans to test"),"Too few losses",IF($Y1026="","","No"))))</f>
        <v/>
      </c>
      <c r="AJ1026">
        <f>IF($AA1026="yes","Yes",IF($AA1026="","","No"))</f>
        <v/>
      </c>
      <c r="AK1026" t="n">
        <v>0.003907213937934329</v>
      </c>
      <c r="AL1026" t="n">
        <v>0.003198509309871446</v>
      </c>
      <c r="AM1026">
        <f>IF(AND(ISNUMBER($AC1026),ISNUMBER(IF($V1026,IF($AL1026="","",$AL1026),IF($AK1026="","",$AK1026)))),IF(AND(ABS($AC1026-significance_bar)&lt;=2.0*IF($V1026,IF($AL1026="","",$AL1026),IF($AK1026="","",$AK1026)),OR($Y1026="worse",$Y1026="better",$Y1026="worse, not significant",$Y1026="better, not significant")),IF(ROUND($AC1026,3)=ROUND(significance_bar,3),TEXT($AC1026,"0.0000"),TEXT($AC1026,"0.000")),""),"")</f>
        <v/>
      </c>
      <c r="AN1026">
        <f>IF(AND(ISNUMBER($AC1026),ISNUMBER(IF($V1026,IF($AL1026="","",$AL1026),IF($AK1026="","",$AK1026)))),IF(AND(ABS($AC1026-significance_bar)&lt;=2.0*IF($V1026,IF($AL1026="","",$AL1026),IF($AK1026="","",$AK1026)),OR($Y1026="worse",$Y1026="worse, not significant")),IF(ROUND($AC1026,3)=ROUND(significance_bar,3),TEXT($AC1026,"0.0000"),TEXT($AC1026,"0.000")),""),"")</f>
        <v/>
      </c>
      <c r="AO1026">
        <f>IF(OR($AI1026="",$AN1026=""),$AI1026,$AI1026&amp;" · borderline (p "&amp;$AN1026&amp;")")</f>
        <v/>
      </c>
    </row>
    <row r="1027">
      <c r="A1027" t="inlineStr">
        <is>
          <t>three-way</t>
        </is>
      </c>
      <c r="B1027" t="inlineStr">
        <is>
          <t>ORIG_BAL x ASSET_CLASS / SYS_FLAG</t>
        </is>
      </c>
      <c r="C1027" t="inlineStr">
        <is>
          <t>37,951 - 49,151</t>
        </is>
      </c>
      <c r="D1027" t="inlineStr">
        <is>
          <t>2 / SYS_FLAG Y</t>
        </is>
      </c>
      <c r="E1027" t="inlineStr">
        <is>
          <t>ranr_rate</t>
        </is>
      </c>
      <c r="F1027" t="inlineStr">
        <is>
          <t>Profit after losses: RANR per booked dollar</t>
        </is>
      </c>
      <c r="G1027" t="n">
        <v>199</v>
      </c>
      <c r="H1027" t="n">
        <v>8656683.530000005</v>
      </c>
      <c r="I1027" t="b">
        <v>0</v>
      </c>
      <c r="J1027" t="b">
        <v>0</v>
      </c>
      <c r="K1027" t="n">
        <v>-0.004150044133498149</v>
      </c>
      <c r="L1027" t="n">
        <v>0.9053453628996073</v>
      </c>
      <c r="M1027" t="n">
        <v>0.001770663017938906</v>
      </c>
      <c r="N1027" t="n">
        <v>0.9519048095190481</v>
      </c>
      <c r="O1027" t="n">
        <v>35925.61869922653</v>
      </c>
      <c r="P1027" t="n">
        <v>-15328.06938457186</v>
      </c>
      <c r="Q1027">
        <f>'_live'!$C$23</f>
        <v/>
      </c>
      <c r="R1027" t="inlineStr">
        <is>
          <t>shuffled: 7,754 of 10,000</t>
        </is>
      </c>
      <c r="S1027" t="inlineStr">
        <is>
          <t>shuffled: 9,065 of 10,000</t>
        </is>
      </c>
      <c r="T1027" t="n">
        <v>0.128129259300672</v>
      </c>
      <c r="U1027" t="n">
        <v>0.122208552149235</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0.1239792151671739</v>
      </c>
      <c r="AI1027">
        <f>IF($Y1027="worse","Yes",IF($Y1027="worse, not significant","Not sure",IF(OR($Y1027="too few losses to test",$Y1027="too few loans to test"),"Too few losses",IF($Y1027="","","No"))))</f>
        <v/>
      </c>
      <c r="AJ1027">
        <f>IF($AA1027="yes","Yes",IF($AA1027="","","No"))</f>
        <v/>
      </c>
      <c r="AK1027" t="n">
        <v>0.003300138185589779</v>
      </c>
      <c r="AL1027" t="n">
        <v>0.002649336874809362</v>
      </c>
      <c r="AM1027">
        <f>IF(AND(ISNUMBER($AC1027),ISNUMBER(IF($V1027,IF($AL1027="","",$AL1027),IF($AK1027="","",$AK1027)))),IF(AND(ABS($AC1027-significance_bar)&lt;=2.0*IF($V1027,IF($AL1027="","",$AL1027),IF($AK1027="","",$AK1027)),OR($Y1027="worse",$Y1027="better",$Y1027="worse, not significant",$Y1027="better, not significant",AND(profit_kind="test",$Y1027="in line",ISNUMBER($AB1027),$AB1027&lt;&gt;0))),IF(ROUND($AC1027,3)=ROUND(significance_bar,3),TEXT($AC1027,"0.0000"),TEXT($AC1027,"0.000")),""),"")</f>
        <v/>
      </c>
      <c r="AN1027">
        <f>IF(AND(ISNUMBER($AC1027),ISNUMBER(IF($V1027,IF($AL1027="","",$AL1027),IF($AK1027="","",$AK1027)))),IF(AND(ABS($AC1027-significance_bar)&lt;=2.0*IF($V1027,IF($AL1027="","",$AL1027),IF($AK1027="","",$AK1027)),OR($Y1027="worse",$Y1027="worse, not significant",AND(profit_kind="test",$Y1027="in line",ISNUMBER($AB1027),$AB1027&lt;0))),IF(ROUND($AC1027,3)=ROUND(significance_bar,3),TEXT($AC1027,"0.0000"),TEXT($AC1027,"0.000")),""),"")</f>
        <v/>
      </c>
      <c r="AO1027">
        <f>IF(OR($AI1027="",$AN1027=""),$AI1027,$AI1027&amp;" · borderline (p "&amp;$AN1027&amp;")")</f>
        <v/>
      </c>
    </row>
    <row r="1028">
      <c r="A1028" t="inlineStr">
        <is>
          <t>three-way</t>
        </is>
      </c>
      <c r="B1028" t="inlineStr">
        <is>
          <t>ORIG_BAL x ASSET_CLASS / SYS_FLAG</t>
        </is>
      </c>
      <c r="C1028" t="inlineStr">
        <is>
          <t>37,951 - 49,151</t>
        </is>
      </c>
      <c r="D1028" t="inlineStr">
        <is>
          <t>2 / SYS_FLAG Y</t>
        </is>
      </c>
      <c r="E1028" t="inlineStr">
        <is>
          <t>contribution_rate</t>
        </is>
      </c>
      <c r="F1028" t="inlineStr">
        <is>
          <t>Contribution before losses per booked dollar</t>
        </is>
      </c>
      <c r="G1028" t="n">
        <v>199</v>
      </c>
      <c r="H1028" t="n">
        <v>8656683.530000005</v>
      </c>
      <c r="I1028" t="b">
        <v>0</v>
      </c>
      <c r="J1028" t="b">
        <v>0</v>
      </c>
      <c r="K1028" t="n">
        <v>-0.001772788811756493</v>
      </c>
      <c r="L1028" t="n">
        <v>0.9955004499550044</v>
      </c>
      <c r="M1028" t="n">
        <v>-0.00148614353272275</v>
      </c>
      <c r="N1028" t="n">
        <v>0.9516886149222916</v>
      </c>
      <c r="O1028" t="n">
        <v>15346.47170890076</v>
      </c>
      <c r="P1028" t="n">
        <v>12865.07424293715</v>
      </c>
      <c r="Q1028">
        <f>'_live'!$C$24</f>
        <v/>
      </c>
      <c r="R1028" t="inlineStr">
        <is>
          <t>shuffled: 8,509 of 10,000</t>
        </is>
      </c>
      <c r="S1028" t="inlineStr">
        <is>
          <t>shuffled: 8,729 of 10,000</t>
        </is>
      </c>
      <c r="T1028" t="n">
        <v>0.1696519315531567</v>
      </c>
      <c r="U1028" t="n">
        <v>0.169365286274123</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0.1678791427414002</v>
      </c>
      <c r="AI1028">
        <f>IF($Y1028="worse","Yes",IF($Y1028="worse, not significant","Not sure",IF(OR($Y1028="too few losses to test",$Y1028="too few loans to test"),"Too few losses",IF($Y1028="","","No"))))</f>
        <v/>
      </c>
      <c r="AJ1028">
        <f>IF($AA1028="yes","Yes",IF($AA1028="","","No"))</f>
        <v/>
      </c>
      <c r="AK1028" t="n">
        <v>0.0006692760338147521</v>
      </c>
      <c r="AL1028" t="n">
        <v>0.003509149995369788</v>
      </c>
      <c r="AM1028">
        <f>IF(AND(ISNUMBER($AC1028),ISNUMBER(IF($V1028,IF($AL1028="","",$AL1028),IF($AK1028="","",$AK1028)))),IF(AND(ABS($AC1028-significance_bar)&lt;=2.0*IF($V1028,IF($AL1028="","",$AL1028),IF($AK1028="","",$AK1028)),OR($Y1028="worse",$Y1028="better",$Y1028="worse, not significant",$Y1028="better, not significant",AND(profit_kind="test",$Y1028="in line",ISNUMBER($AB1028),$AB1028&lt;&gt;0))),IF(ROUND($AC1028,3)=ROUND(significance_bar,3),TEXT($AC1028,"0.0000"),TEXT($AC1028,"0.000")),""),"")</f>
        <v/>
      </c>
      <c r="AN1028">
        <f>IF(AND(ISNUMBER($AC1028),ISNUMBER(IF($V1028,IF($AL1028="","",$AL1028),IF($AK1028="","",$AK1028)))),IF(AND(ABS($AC1028-significance_bar)&lt;=2.0*IF($V1028,IF($AL1028="","",$AL1028),IF($AK1028="","",$AK1028)),OR($Y1028="worse",$Y1028="worse, not significant",AND(profit_kind="test",$Y1028="in line",ISNUMBER($AB1028),$AB1028&lt;0))),IF(ROUND($AC1028,3)=ROUND(significance_bar,3),TEXT($AC1028,"0.0000"),TEXT($AC1028,"0.000")),""),"")</f>
        <v/>
      </c>
      <c r="AO1028">
        <f>IF(OR($AI1028="",$AN1028=""),$AI1028,$AI1028&amp;" · borderline (p "&amp;$AN1028&amp;")")</f>
        <v/>
      </c>
    </row>
    <row r="1029">
      <c r="A1029" t="inlineStr">
        <is>
          <t>three-way</t>
        </is>
      </c>
      <c r="B1029" t="inlineStr">
        <is>
          <t>ORIG_BAL x ASSET_CLASS / SYS_FLAG</t>
        </is>
      </c>
      <c r="C1029" t="inlineStr">
        <is>
          <t>15,449 - 26,323</t>
        </is>
      </c>
      <c r="D1029" t="inlineStr">
        <is>
          <t>1 / SYS_FLAG N</t>
        </is>
      </c>
      <c r="E1029" t="inlineStr">
        <is>
          <t>outcome_loans</t>
        </is>
      </c>
      <c r="F1029" t="inlineStr">
        <is>
          <t>Outcome, share of loans</t>
        </is>
      </c>
      <c r="G1029" t="n">
        <v>224</v>
      </c>
      <c r="H1029" t="n">
        <v>224</v>
      </c>
      <c r="I1029" t="b">
        <v>0</v>
      </c>
      <c r="J1029" t="b">
        <v>0</v>
      </c>
      <c r="K1029" t="n">
        <v>1.039562039458046</v>
      </c>
      <c r="L1029" t="n">
        <v>0.9236193584335483</v>
      </c>
      <c r="M1029" t="n">
        <v>0.8440567066521265</v>
      </c>
      <c r="N1029" t="n">
        <v>0.6654389578645733</v>
      </c>
      <c r="O1029" t="n">
        <v>0.6850160771704168</v>
      </c>
      <c r="P1029" t="n">
        <v>-3.325581395348838</v>
      </c>
      <c r="Q1029">
        <f>'_live'!$C$20</f>
        <v/>
      </c>
      <c r="R1029" t="inlineStr">
        <is>
          <t>z test</t>
        </is>
      </c>
      <c r="S1029" t="inlineStr">
        <is>
          <t>z test</t>
        </is>
      </c>
      <c r="T1029" t="n">
        <v>0.07729903536977492</v>
      </c>
      <c r="U1029" t="n">
        <v>0.09520348837209303</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0.08035714285714286</v>
      </c>
      <c r="AI1029">
        <f>IF($Y1029="worse","Yes",IF($Y1029="worse, not significant","Not sure",IF(OR($Y1029="too few losses to test",$Y1029="too few loans to test"),"Too few losses",IF($Y1029="","","No"))))</f>
        <v/>
      </c>
      <c r="AJ1029">
        <f>IF($AA1029="yes","Yes",IF($AA1029="","","No"))</f>
        <v/>
      </c>
      <c r="AM1029">
        <f>IF(AND(ISNUMBER($AC1029),ISNUMBER(IF($V1029,IF($AL1029="","",$AL1029),IF($AK1029="","",$AK1029)))),IF(AND(ABS($AC1029-significance_bar)&lt;=2.0*IF($V1029,IF($AL1029="","",$AL1029),IF($AK1029="","",$AK1029)),OR($Y1029="worse",$Y1029="better",$Y1029="worse, not significant",$Y1029="better, not significant")),IF(ROUND($AC1029,3)=ROUND(significance_bar,3),TEXT($AC1029,"0.0000"),TEXT($AC1029,"0.000")),""),"")</f>
        <v/>
      </c>
      <c r="AN1029">
        <f>IF(AND(ISNUMBER($AC1029),ISNUMBER(IF($V1029,IF($AL1029="","",$AL1029),IF($AK1029="","",$AK1029)))),IF(AND(ABS($AC1029-significance_bar)&lt;=2.0*IF($V1029,IF($AL1029="","",$AL1029),IF($AK1029="","",$AK1029)),OR($Y1029="worse",$Y1029="worse, not significant")),IF(ROUND($AC1029,3)=ROUND(significance_bar,3),TEXT($AC1029,"0.0000"),TEXT($AC1029,"0.000")),""),"")</f>
        <v/>
      </c>
      <c r="AO1029">
        <f>IF(OR($AI1029="",$AN1029=""),$AI1029,$AI1029&amp;" · borderline (p "&amp;$AN1029&amp;")")</f>
        <v/>
      </c>
    </row>
    <row r="1030">
      <c r="A1030" t="inlineStr">
        <is>
          <t>three-way</t>
        </is>
      </c>
      <c r="B1030" t="inlineStr">
        <is>
          <t>ORIG_BAL x ASSET_CLASS / SYS_FLAG</t>
        </is>
      </c>
      <c r="C1030" t="inlineStr">
        <is>
          <t>15,449 - 26,323</t>
        </is>
      </c>
      <c r="D1030" t="inlineStr">
        <is>
          <t>1 / SYS_FLAG N</t>
        </is>
      </c>
      <c r="E1030" t="inlineStr">
        <is>
          <t>outcome_booked</t>
        </is>
      </c>
      <c r="F1030" t="inlineStr">
        <is>
          <t>Outcome, share of booked dollars</t>
        </is>
      </c>
      <c r="G1030" t="n">
        <v>224</v>
      </c>
      <c r="H1030" t="n">
        <v>4627592.550000002</v>
      </c>
      <c r="I1030" t="b">
        <v>0</v>
      </c>
      <c r="J1030" t="b">
        <v>0</v>
      </c>
      <c r="K1030" t="n">
        <v>1.082675903092729</v>
      </c>
      <c r="L1030" t="n">
        <v>0.8613995743282814</v>
      </c>
      <c r="M1030" t="n">
        <v>0.843977596492075</v>
      </c>
      <c r="N1030" t="n">
        <v>0.6326407359264073</v>
      </c>
      <c r="O1030" t="n">
        <v>28586.42037380795</v>
      </c>
      <c r="P1030" t="n">
        <v>-69204.6608632562</v>
      </c>
      <c r="Q1030">
        <f>'_live'!$C$21</f>
        <v/>
      </c>
      <c r="R1030" t="inlineStr">
        <is>
          <t>shuffled: 7,471 of 10,000</t>
        </is>
      </c>
      <c r="S1030" t="inlineStr">
        <is>
          <t>shuffled: 4,822 of 10,000</t>
        </is>
      </c>
      <c r="T1030" t="n">
        <v>0.07471808200274502</v>
      </c>
      <c r="U1030" t="n">
        <v>0.09585025390000164</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0.08089546690967853</v>
      </c>
      <c r="AI1030">
        <f>IF($Y1030="worse","Yes",IF($Y1030="worse, not significant","Not sure",IF(OR($Y1030="too few losses to test",$Y1030="too few loans to test"),"Too few losses",IF($Y1030="","","No"))))</f>
        <v/>
      </c>
      <c r="AJ1030">
        <f>IF($AA1030="yes","Yes",IF($AA1030="","","No"))</f>
        <v/>
      </c>
      <c r="AK1030" t="n">
        <v>0.004923895101667321</v>
      </c>
      <c r="AL1030" t="n">
        <v>0.006399576870639927</v>
      </c>
      <c r="AM1030">
        <f>IF(AND(ISNUMBER($AC1030),ISNUMBER(IF($V1030,IF($AL1030="","",$AL1030),IF($AK1030="","",$AK1030)))),IF(AND(ABS($AC1030-significance_bar)&lt;=2.0*IF($V1030,IF($AL1030="","",$AL1030),IF($AK1030="","",$AK1030)),OR($Y1030="worse",$Y1030="better",$Y1030="worse, not significant",$Y1030="better, not significant")),IF(ROUND($AC1030,3)=ROUND(significance_bar,3),TEXT($AC1030,"0.0000"),TEXT($AC1030,"0.000")),""),"")</f>
        <v/>
      </c>
      <c r="AN1030">
        <f>IF(AND(ISNUMBER($AC1030),ISNUMBER(IF($V1030,IF($AL1030="","",$AL1030),IF($AK1030="","",$AK1030)))),IF(AND(ABS($AC1030-significance_bar)&lt;=2.0*IF($V1030,IF($AL1030="","",$AL1030),IF($AK1030="","",$AK1030)),OR($Y1030="worse",$Y1030="worse, not significant")),IF(ROUND($AC1030,3)=ROUND(significance_bar,3),TEXT($AC1030,"0.0000"),TEXT($AC1030,"0.000")),""),"")</f>
        <v/>
      </c>
      <c r="AO1030">
        <f>IF(OR($AI1030="",$AN1030=""),$AI1030,$AI1030&amp;" · borderline (p "&amp;$AN1030&amp;")")</f>
        <v/>
      </c>
    </row>
    <row r="1031">
      <c r="A1031" t="inlineStr">
        <is>
          <t>three-way</t>
        </is>
      </c>
      <c r="B1031" t="inlineStr">
        <is>
          <t>ORIG_BAL x ASSET_CLASS / SYS_FLAG</t>
        </is>
      </c>
      <c r="C1031" t="inlineStr">
        <is>
          <t>15,449 - 26,323</t>
        </is>
      </c>
      <c r="D1031" t="inlineStr">
        <is>
          <t>1 / SYS_FLAG N</t>
        </is>
      </c>
      <c r="E1031" t="inlineStr">
        <is>
          <t>gco_rate</t>
        </is>
      </c>
      <c r="F1031" t="inlineStr">
        <is>
          <t>GCO per booked dollar</t>
        </is>
      </c>
      <c r="G1031" t="n">
        <v>224</v>
      </c>
      <c r="H1031" t="n">
        <v>4627592.550000002</v>
      </c>
      <c r="I1031" t="b">
        <v>0</v>
      </c>
      <c r="J1031" t="b">
        <v>0</v>
      </c>
      <c r="K1031" t="n">
        <v>1.086399205838191</v>
      </c>
      <c r="L1031" t="n">
        <v>0.9412575983780932</v>
      </c>
      <c r="M1031" t="n">
        <v>0.8288144805817711</v>
      </c>
      <c r="N1031" t="n">
        <v>0.7733044877330449</v>
      </c>
      <c r="O1031" t="n">
        <v>16608.89476327752</v>
      </c>
      <c r="P1031" t="n">
        <v>-43135.03124522045</v>
      </c>
      <c r="Q1031">
        <f>'_live'!$C$22</f>
        <v/>
      </c>
      <c r="R1031" t="inlineStr">
        <is>
          <t>shuffled: 7,460 of 10,000</t>
        </is>
      </c>
      <c r="S1031" t="inlineStr">
        <is>
          <t>shuffled: 4,596 of 10,000</t>
        </is>
      </c>
      <c r="T1031" t="n">
        <v>0.04154089694796539</v>
      </c>
      <c r="U1031" t="n">
        <v>0.05445126564680383</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0.04512999745407575</v>
      </c>
      <c r="AI1031">
        <f>IF($Y1031="worse","Yes",IF($Y1031="worse, not significant","Not sure",IF(OR($Y1031="too few losses to test",$Y1031="too few loans to test"),"Too few losses",IF($Y1031="","","No"))))</f>
        <v/>
      </c>
      <c r="AJ1031">
        <f>IF($AA1031="yes","Yes",IF($AA1031="","","No"))</f>
        <v/>
      </c>
      <c r="AK1031" t="n">
        <v>0.003907213937934329</v>
      </c>
      <c r="AL1031" t="n">
        <v>0.007258145058233783</v>
      </c>
      <c r="AM1031">
        <f>IF(AND(ISNUMBER($AC1031),ISNUMBER(IF($V1031,IF($AL1031="","",$AL1031),IF($AK1031="","",$AK1031)))),IF(AND(ABS($AC1031-significance_bar)&lt;=2.0*IF($V1031,IF($AL1031="","",$AL1031),IF($AK1031="","",$AK1031)),OR($Y1031="worse",$Y1031="better",$Y1031="worse, not significant",$Y1031="better, not significant")),IF(ROUND($AC1031,3)=ROUND(significance_bar,3),TEXT($AC1031,"0.0000"),TEXT($AC1031,"0.000")),""),"")</f>
        <v/>
      </c>
      <c r="AN1031">
        <f>IF(AND(ISNUMBER($AC1031),ISNUMBER(IF($V1031,IF($AL1031="","",$AL1031),IF($AK1031="","",$AK1031)))),IF(AND(ABS($AC1031-significance_bar)&lt;=2.0*IF($V1031,IF($AL1031="","",$AL1031),IF($AK1031="","",$AK1031)),OR($Y1031="worse",$Y1031="worse, not significant")),IF(ROUND($AC1031,3)=ROUND(significance_bar,3),TEXT($AC1031,"0.0000"),TEXT($AC1031,"0.000")),""),"")</f>
        <v/>
      </c>
      <c r="AO1031">
        <f>IF(OR($AI1031="",$AN1031=""),$AI1031,$AI1031&amp;" · borderline (p "&amp;$AN1031&amp;")")</f>
        <v/>
      </c>
    </row>
    <row r="1032">
      <c r="A1032" t="inlineStr">
        <is>
          <t>three-way</t>
        </is>
      </c>
      <c r="B1032" t="inlineStr">
        <is>
          <t>ORIG_BAL x ASSET_CLASS / SYS_FLAG</t>
        </is>
      </c>
      <c r="C1032" t="inlineStr">
        <is>
          <t>15,449 - 26,323</t>
        </is>
      </c>
      <c r="D1032" t="inlineStr">
        <is>
          <t>1 / SYS_FLAG N</t>
        </is>
      </c>
      <c r="E1032" t="inlineStr">
        <is>
          <t>ranr_rate</t>
        </is>
      </c>
      <c r="F1032" t="inlineStr">
        <is>
          <t>Profit after losses: RANR per booked dollar</t>
        </is>
      </c>
      <c r="G1032" t="n">
        <v>224</v>
      </c>
      <c r="H1032" t="n">
        <v>4627592.550000002</v>
      </c>
      <c r="I1032" t="b">
        <v>0</v>
      </c>
      <c r="J1032" t="b">
        <v>0</v>
      </c>
      <c r="K1032" t="n">
        <v>0.0193448189014859</v>
      </c>
      <c r="L1032" t="n">
        <v>0.5192814051928141</v>
      </c>
      <c r="M1032" t="n">
        <v>0.03241854070619977</v>
      </c>
      <c r="N1032" t="n">
        <v>0.19553600195536</v>
      </c>
      <c r="O1032" t="n">
        <v>-89519.93982961541</v>
      </c>
      <c r="P1032" t="n">
        <v>-150019.7974538819</v>
      </c>
      <c r="Q1032">
        <f>'_live'!$C$23</f>
        <v/>
      </c>
      <c r="R1032" t="inlineStr">
        <is>
          <t>shuffled: 1,557 of 10,000</t>
        </is>
      </c>
      <c r="S1032" t="inlineStr">
        <is>
          <t>shuffled: 245 of 10,000</t>
        </is>
      </c>
      <c r="T1032" t="n">
        <v>0.1276431651637923</v>
      </c>
      <c r="U1032" t="n">
        <v>0.1145694433590784</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0.1469879840652782</v>
      </c>
      <c r="AI1032">
        <f>IF($Y1032="worse","Yes",IF($Y1032="worse, not significant","Not sure",IF(OR($Y1032="too few losses to test",$Y1032="too few loans to test"),"Too few losses",IF($Y1032="","","No"))))</f>
        <v/>
      </c>
      <c r="AJ1032">
        <f>IF($AA1032="yes","Yes",IF($AA1032="","","No"))</f>
        <v/>
      </c>
      <c r="AK1032" t="n">
        <v>0.01208836150820431</v>
      </c>
      <c r="AL1032" t="n">
        <v>0.009114903013848756</v>
      </c>
      <c r="AM1032">
        <f>IF(AND(ISNUMBER($AC1032),ISNUMBER(IF($V1032,IF($AL1032="","",$AL1032),IF($AK1032="","",$AK1032)))),IF(AND(ABS($AC1032-significance_bar)&lt;=2.0*IF($V1032,IF($AL1032="","",$AL1032),IF($AK1032="","",$AK1032)),OR($Y1032="worse",$Y1032="better",$Y1032="worse, not significant",$Y1032="better, not significant",AND(profit_kind="test",$Y1032="in line",ISNUMBER($AB1032),$AB1032&lt;&gt;0))),IF(ROUND($AC1032,3)=ROUND(significance_bar,3),TEXT($AC1032,"0.0000"),TEXT($AC1032,"0.000")),""),"")</f>
        <v/>
      </c>
      <c r="AN1032">
        <f>IF(AND(ISNUMBER($AC1032),ISNUMBER(IF($V1032,IF($AL1032="","",$AL1032),IF($AK1032="","",$AK1032)))),IF(AND(ABS($AC1032-significance_bar)&lt;=2.0*IF($V1032,IF($AL1032="","",$AL1032),IF($AK1032="","",$AK1032)),OR($Y1032="worse",$Y1032="worse, not significant",AND(profit_kind="test",$Y1032="in line",ISNUMBER($AB1032),$AB1032&lt;0))),IF(ROUND($AC1032,3)=ROUND(significance_bar,3),TEXT($AC1032,"0.0000"),TEXT($AC1032,"0.000")),""),"")</f>
        <v/>
      </c>
      <c r="AO1032">
        <f>IF(OR($AI1032="",$AN1032=""),$AI1032,$AI1032&amp;" · borderline (p "&amp;$AN1032&amp;")")</f>
        <v/>
      </c>
    </row>
    <row r="1033">
      <c r="A1033" t="inlineStr">
        <is>
          <t>three-way</t>
        </is>
      </c>
      <c r="B1033" t="inlineStr">
        <is>
          <t>ORIG_BAL x ASSET_CLASS / SYS_FLAG</t>
        </is>
      </c>
      <c r="C1033" t="inlineStr">
        <is>
          <t>15,449 - 26,323</t>
        </is>
      </c>
      <c r="D1033" t="inlineStr">
        <is>
          <t>1 / SYS_FLAG N</t>
        </is>
      </c>
      <c r="E1033" t="inlineStr">
        <is>
          <t>contribution_rate</t>
        </is>
      </c>
      <c r="F1033" t="inlineStr">
        <is>
          <t>Contribution before losses per booked dollar</t>
        </is>
      </c>
      <c r="G1033" t="n">
        <v>224</v>
      </c>
      <c r="H1033" t="n">
        <v>4627592.550000002</v>
      </c>
      <c r="I1033" t="b">
        <v>0</v>
      </c>
      <c r="J1033" t="b">
        <v>0</v>
      </c>
      <c r="K1033" t="n">
        <v>0.02293688519402076</v>
      </c>
      <c r="L1033" t="n">
        <v>0.137319601373196</v>
      </c>
      <c r="M1033" t="n">
        <v>0.02309727251347168</v>
      </c>
      <c r="N1033" t="n">
        <v>0.377962203779622</v>
      </c>
      <c r="O1033" t="n">
        <v>-106142.5590440559</v>
      </c>
      <c r="P1033" t="n">
        <v>-106884.7662086614</v>
      </c>
      <c r="Q1033">
        <f>'_live'!$C$24</f>
        <v/>
      </c>
      <c r="R1033" t="inlineStr">
        <is>
          <t>shuffled: 102 of 10,000</t>
        </is>
      </c>
      <c r="S1033" t="inlineStr">
        <is>
          <t>shuffled: 100 of 10,000</t>
        </is>
      </c>
      <c r="T1033" t="n">
        <v>0.1691810963253332</v>
      </c>
      <c r="U1033" t="n">
        <v>0.1690207090058823</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0.192117981519354</v>
      </c>
      <c r="AI1033">
        <f>IF($Y1033="worse","Yes",IF($Y1033="worse, not significant","Not sure",IF(OR($Y1033="too few losses to test",$Y1033="too few loans to test"),"Too few losses",IF($Y1033="","","No"))))</f>
        <v/>
      </c>
      <c r="AJ1033">
        <f>IF($AA1033="yes","Yes",IF($AA1033="","","No"))</f>
        <v/>
      </c>
      <c r="AK1033" t="n">
        <v>0.0134613199404367</v>
      </c>
      <c r="AL1033" t="n">
        <v>0.02723304729204297</v>
      </c>
      <c r="AM1033">
        <f>IF(AND(ISNUMBER($AC1033),ISNUMBER(IF($V1033,IF($AL1033="","",$AL1033),IF($AK1033="","",$AK1033)))),IF(AND(ABS($AC1033-significance_bar)&lt;=2.0*IF($V1033,IF($AL1033="","",$AL1033),IF($AK1033="","",$AK1033)),OR($Y1033="worse",$Y1033="better",$Y1033="worse, not significant",$Y1033="better, not significant",AND(profit_kind="test",$Y1033="in line",ISNUMBER($AB1033),$AB1033&lt;&gt;0))),IF(ROUND($AC1033,3)=ROUND(significance_bar,3),TEXT($AC1033,"0.0000"),TEXT($AC1033,"0.000")),""),"")</f>
        <v/>
      </c>
      <c r="AN1033">
        <f>IF(AND(ISNUMBER($AC1033),ISNUMBER(IF($V1033,IF($AL1033="","",$AL1033),IF($AK1033="","",$AK1033)))),IF(AND(ABS($AC1033-significance_bar)&lt;=2.0*IF($V1033,IF($AL1033="","",$AL1033),IF($AK1033="","",$AK1033)),OR($Y1033="worse",$Y1033="worse, not significant",AND(profit_kind="test",$Y1033="in line",ISNUMBER($AB1033),$AB1033&lt;0))),IF(ROUND($AC1033,3)=ROUND(significance_bar,3),TEXT($AC1033,"0.0000"),TEXT($AC1033,"0.000")),""),"")</f>
        <v/>
      </c>
      <c r="AO1033">
        <f>IF(OR($AI1033="",$AN1033=""),$AI1033,$AI1033&amp;" · borderline (p "&amp;$AN1033&amp;")")</f>
        <v/>
      </c>
    </row>
    <row r="1034">
      <c r="A1034" t="inlineStr">
        <is>
          <t>three-way</t>
        </is>
      </c>
      <c r="B1034" t="inlineStr">
        <is>
          <t>ORIG_BAL x ASSET_CLASS / SYS_FLAG</t>
        </is>
      </c>
      <c r="C1034" t="inlineStr">
        <is>
          <t>26,324 - 37,950</t>
        </is>
      </c>
      <c r="D1034" t="inlineStr">
        <is>
          <t>1 / SYS_FLAG Y</t>
        </is>
      </c>
      <c r="E1034" t="inlineStr">
        <is>
          <t>outcome_loans</t>
        </is>
      </c>
      <c r="F1034" t="inlineStr">
        <is>
          <t>Outcome, share of loans</t>
        </is>
      </c>
      <c r="G1034" t="n">
        <v>173</v>
      </c>
      <c r="H1034" t="n">
        <v>173</v>
      </c>
      <c r="I1034" t="b">
        <v>0</v>
      </c>
      <c r="J1034" t="b">
        <v>0</v>
      </c>
      <c r="K1034" t="n">
        <v>1.046806477810156</v>
      </c>
      <c r="L1034" t="n">
        <v>0.9236193584335483</v>
      </c>
      <c r="M1034" t="n">
        <v>1.201228323699422</v>
      </c>
      <c r="N1034" t="n">
        <v>0.6746753625551811</v>
      </c>
      <c r="O1034" t="n">
        <v>0.6259902887809847</v>
      </c>
      <c r="P1034" t="n">
        <v>2.345263157894736</v>
      </c>
      <c r="Q1034">
        <f>'_live'!$C$20</f>
        <v/>
      </c>
      <c r="R1034" t="inlineStr">
        <is>
          <t>z test</t>
        </is>
      </c>
      <c r="S1034" t="inlineStr">
        <is>
          <t>z test</t>
        </is>
      </c>
      <c r="T1034" t="n">
        <v>0.07730641451571685</v>
      </c>
      <c r="U1034" t="n">
        <v>0.06736842105263158</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0.08092485549132948</v>
      </c>
      <c r="AI1034">
        <f>IF($Y1034="worse","Yes",IF($Y1034="worse, not significant","Not sure",IF(OR($Y1034="too few losses to test",$Y1034="too few loans to test"),"Too few losses",IF($Y1034="","","No"))))</f>
        <v/>
      </c>
      <c r="AJ1034">
        <f>IF($AA1034="yes","Yes",IF($AA1034="","","No"))</f>
        <v/>
      </c>
      <c r="AM1034">
        <f>IF(AND(ISNUMBER($AC1034),ISNUMBER(IF($V1034,IF($AL1034="","",$AL1034),IF($AK1034="","",$AK1034)))),IF(AND(ABS($AC1034-significance_bar)&lt;=2.0*IF($V1034,IF($AL1034="","",$AL1034),IF($AK1034="","",$AK1034)),OR($Y1034="worse",$Y1034="better",$Y1034="worse, not significant",$Y1034="better, not significant")),IF(ROUND($AC1034,3)=ROUND(significance_bar,3),TEXT($AC1034,"0.0000"),TEXT($AC1034,"0.000")),""),"")</f>
        <v/>
      </c>
      <c r="AN1034">
        <f>IF(AND(ISNUMBER($AC1034),ISNUMBER(IF($V1034,IF($AL1034="","",$AL1034),IF($AK1034="","",$AK1034)))),IF(AND(ABS($AC1034-significance_bar)&lt;=2.0*IF($V1034,IF($AL1034="","",$AL1034),IF($AK1034="","",$AK1034)),OR($Y1034="worse",$Y1034="worse, not significant")),IF(ROUND($AC1034,3)=ROUND(significance_bar,3),TEXT($AC1034,"0.0000"),TEXT($AC1034,"0.000")),""),"")</f>
        <v/>
      </c>
      <c r="AO1034">
        <f>IF(OR($AI1034="",$AN1034=""),$AI1034,$AI1034&amp;" · borderline (p "&amp;$AN1034&amp;")")</f>
        <v/>
      </c>
    </row>
    <row r="1035">
      <c r="A1035" t="inlineStr">
        <is>
          <t>three-way</t>
        </is>
      </c>
      <c r="B1035" t="inlineStr">
        <is>
          <t>ORIG_BAL x ASSET_CLASS / SYS_FLAG</t>
        </is>
      </c>
      <c r="C1035" t="inlineStr">
        <is>
          <t>26,324 - 37,950</t>
        </is>
      </c>
      <c r="D1035" t="inlineStr">
        <is>
          <t>1 / SYS_FLAG Y</t>
        </is>
      </c>
      <c r="E1035" t="inlineStr">
        <is>
          <t>outcome_booked</t>
        </is>
      </c>
      <c r="F1035" t="inlineStr">
        <is>
          <t>Outcome, share of booked dollars</t>
        </is>
      </c>
      <c r="G1035" t="n">
        <v>173</v>
      </c>
      <c r="H1035" t="n">
        <v>5589476.359999998</v>
      </c>
      <c r="I1035" t="b">
        <v>0</v>
      </c>
      <c r="J1035" t="b">
        <v>0</v>
      </c>
      <c r="K1035" t="n">
        <v>1.039283631846752</v>
      </c>
      <c r="L1035" t="n">
        <v>0.9198564014566285</v>
      </c>
      <c r="M1035" t="n">
        <v>1.158673135565362</v>
      </c>
      <c r="N1035" t="n">
        <v>0.748109804404175</v>
      </c>
      <c r="O1035" t="n">
        <v>16416.57381609065</v>
      </c>
      <c r="P1035" t="n">
        <v>59476.77956683998</v>
      </c>
      <c r="Q1035">
        <f>'_live'!$C$21</f>
        <v/>
      </c>
      <c r="R1035" t="inlineStr">
        <is>
          <t>shuffled: 8,911 of 10,000</t>
        </is>
      </c>
      <c r="S1035" t="inlineStr">
        <is>
          <t>shuffled: 6,078 of 10,000</t>
        </is>
      </c>
      <c r="T1035" t="n">
        <v>0.07476524619989797</v>
      </c>
      <c r="U1035" t="n">
        <v>0.0670614465991158</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0.07770229660654655</v>
      </c>
      <c r="AI1035">
        <f>IF($Y1035="worse","Yes",IF($Y1035="worse, not significant","Not sure",IF(OR($Y1035="too few losses to test",$Y1035="too few loans to test"),"Too few losses",IF($Y1035="","","No"))))</f>
        <v/>
      </c>
      <c r="AJ1035">
        <f>IF($AA1035="yes","Yes",IF($AA1035="","","No"))</f>
        <v/>
      </c>
      <c r="AK1035" t="n">
        <v>0.003215484245018977</v>
      </c>
      <c r="AL1035" t="n">
        <v>0.006009011974125141</v>
      </c>
      <c r="AM1035">
        <f>IF(AND(ISNUMBER($AC1035),ISNUMBER(IF($V1035,IF($AL1035="","",$AL1035),IF($AK1035="","",$AK1035)))),IF(AND(ABS($AC1035-significance_bar)&lt;=2.0*IF($V1035,IF($AL1035="","",$AL1035),IF($AK1035="","",$AK1035)),OR($Y1035="worse",$Y1035="better",$Y1035="worse, not significant",$Y1035="better, not significant")),IF(ROUND($AC1035,3)=ROUND(significance_bar,3),TEXT($AC1035,"0.0000"),TEXT($AC1035,"0.000")),""),"")</f>
        <v/>
      </c>
      <c r="AN1035">
        <f>IF(AND(ISNUMBER($AC1035),ISNUMBER(IF($V1035,IF($AL1035="","",$AL1035),IF($AK1035="","",$AK1035)))),IF(AND(ABS($AC1035-significance_bar)&lt;=2.0*IF($V1035,IF($AL1035="","",$AL1035),IF($AK1035="","",$AK1035)),OR($Y1035="worse",$Y1035="worse, not significant")),IF(ROUND($AC1035,3)=ROUND(significance_bar,3),TEXT($AC1035,"0.0000"),TEXT($AC1035,"0.000")),""),"")</f>
        <v/>
      </c>
      <c r="AO1035">
        <f>IF(OR($AI1035="",$AN1035=""),$AI1035,$AI1035&amp;" · borderline (p "&amp;$AN1035&amp;")")</f>
        <v/>
      </c>
    </row>
    <row r="1036">
      <c r="A1036" t="inlineStr">
        <is>
          <t>three-way</t>
        </is>
      </c>
      <c r="B1036" t="inlineStr">
        <is>
          <t>ORIG_BAL x ASSET_CLASS / SYS_FLAG</t>
        </is>
      </c>
      <c r="C1036" t="inlineStr">
        <is>
          <t>26,324 - 37,950</t>
        </is>
      </c>
      <c r="D1036" t="inlineStr">
        <is>
          <t>1 / SYS_FLAG Y</t>
        </is>
      </c>
      <c r="E1036" t="inlineStr">
        <is>
          <t>gco_rate</t>
        </is>
      </c>
      <c r="F1036" t="inlineStr">
        <is>
          <t>GCO per booked dollar</t>
        </is>
      </c>
      <c r="G1036" t="n">
        <v>173</v>
      </c>
      <c r="H1036" t="n">
        <v>5589476.359999998</v>
      </c>
      <c r="I1036" t="b">
        <v>0</v>
      </c>
      <c r="J1036" t="b">
        <v>0</v>
      </c>
      <c r="K1036" t="n">
        <v>0.9453794375139248</v>
      </c>
      <c r="L1036" t="n">
        <v>0.9412575983780932</v>
      </c>
      <c r="M1036" t="n">
        <v>1.058151951778807</v>
      </c>
      <c r="N1036" t="n">
        <v>0.8843115688431157</v>
      </c>
      <c r="O1036" t="n">
        <v>-12717.1487334382</v>
      </c>
      <c r="P1036" t="n">
        <v>12096.39591126493</v>
      </c>
      <c r="Q1036">
        <f>'_live'!$C$22</f>
        <v/>
      </c>
      <c r="R1036" t="inlineStr">
        <is>
          <t>shuffled: 8,530 of 10,000</t>
        </is>
      </c>
      <c r="S1036" t="inlineStr">
        <is>
          <t>shuffled: 8,481 of 10,000</t>
        </is>
      </c>
      <c r="T1036" t="n">
        <v>0.04165455111316337</v>
      </c>
      <c r="U1036" t="n">
        <v>0.03721521850907965</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0.03937935610125742</v>
      </c>
      <c r="AI1036">
        <f>IF($Y1036="worse","Yes",IF($Y1036="worse, not significant","Not sure",IF(OR($Y1036="too few losses to test",$Y1036="too few loans to test"),"Too few losses",IF($Y1036="","","No"))))</f>
        <v/>
      </c>
      <c r="AJ1036">
        <f>IF($AA1036="yes","Yes",IF($AA1036="","","No"))</f>
        <v/>
      </c>
      <c r="AK1036" t="n">
        <v>0.003907213937934329</v>
      </c>
      <c r="AL1036" t="n">
        <v>0.003198509309871446</v>
      </c>
      <c r="AM1036">
        <f>IF(AND(ISNUMBER($AC1036),ISNUMBER(IF($V1036,IF($AL1036="","",$AL1036),IF($AK1036="","",$AK1036)))),IF(AND(ABS($AC1036-significance_bar)&lt;=2.0*IF($V1036,IF($AL1036="","",$AL1036),IF($AK1036="","",$AK1036)),OR($Y1036="worse",$Y1036="better",$Y1036="worse, not significant",$Y1036="better, not significant")),IF(ROUND($AC1036,3)=ROUND(significance_bar,3),TEXT($AC1036,"0.0000"),TEXT($AC1036,"0.000")),""),"")</f>
        <v/>
      </c>
      <c r="AN1036">
        <f>IF(AND(ISNUMBER($AC1036),ISNUMBER(IF($V1036,IF($AL1036="","",$AL1036),IF($AK1036="","",$AK1036)))),IF(AND(ABS($AC1036-significance_bar)&lt;=2.0*IF($V1036,IF($AL1036="","",$AL1036),IF($AK1036="","",$AK1036)),OR($Y1036="worse",$Y1036="worse, not significant")),IF(ROUND($AC1036,3)=ROUND(significance_bar,3),TEXT($AC1036,"0.0000"),TEXT($AC1036,"0.000")),""),"")</f>
        <v/>
      </c>
      <c r="AO1036">
        <f>IF(OR($AI1036="",$AN1036=""),$AI1036,$AI1036&amp;" · borderline (p "&amp;$AN1036&amp;")")</f>
        <v/>
      </c>
    </row>
    <row r="1037">
      <c r="A1037" t="inlineStr">
        <is>
          <t>three-way</t>
        </is>
      </c>
      <c r="B1037" t="inlineStr">
        <is>
          <t>ORIG_BAL x ASSET_CLASS / SYS_FLAG</t>
        </is>
      </c>
      <c r="C1037" t="inlineStr">
        <is>
          <t>26,324 - 37,950</t>
        </is>
      </c>
      <c r="D1037" t="inlineStr">
        <is>
          <t>1 / SYS_FLAG Y</t>
        </is>
      </c>
      <c r="E1037" t="inlineStr">
        <is>
          <t>ranr_rate</t>
        </is>
      </c>
      <c r="F1037" t="inlineStr">
        <is>
          <t>Profit after losses: RANR per booked dollar</t>
        </is>
      </c>
      <c r="G1037" t="n">
        <v>173</v>
      </c>
      <c r="H1037" t="n">
        <v>5589476.359999998</v>
      </c>
      <c r="I1037" t="b">
        <v>0</v>
      </c>
      <c r="J1037" t="b">
        <v>0</v>
      </c>
      <c r="K1037" t="n">
        <v>0.002217401986544909</v>
      </c>
      <c r="L1037" t="n">
        <v>0.9053453628996073</v>
      </c>
      <c r="M1037" t="n">
        <v>-0.001279230618396271</v>
      </c>
      <c r="N1037" t="n">
        <v>0.9519048095190481</v>
      </c>
      <c r="O1037" t="n">
        <v>-12394.1159844097</v>
      </c>
      <c r="P1037" t="n">
        <v>7150.229300514213</v>
      </c>
      <c r="Q1037">
        <f>'_live'!$C$23</f>
        <v/>
      </c>
      <c r="R1037" t="inlineStr">
        <is>
          <t>shuffled: 8,827 of 10,000</t>
        </is>
      </c>
      <c r="S1037" t="inlineStr">
        <is>
          <t>shuffled: 9,281 of 10,000</t>
        </is>
      </c>
      <c r="T1037" t="n">
        <v>0.1279420231800731</v>
      </c>
      <c r="U1037" t="n">
        <v>0.1314386557850143</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0.130159425166618</v>
      </c>
      <c r="AI1037">
        <f>IF($Y1037="worse","Yes",IF($Y1037="worse, not significant","Not sure",IF(OR($Y1037="too few losses to test",$Y1037="too few loans to test"),"Too few losses",IF($Y1037="","","No"))))</f>
        <v/>
      </c>
      <c r="AJ1037">
        <f>IF($AA1037="yes","Yes",IF($AA1037="","","No"))</f>
        <v/>
      </c>
      <c r="AK1037" t="n">
        <v>0.003300138185589779</v>
      </c>
      <c r="AL1037" t="n">
        <v>0.002649336874809362</v>
      </c>
      <c r="AM1037">
        <f>IF(AND(ISNUMBER($AC1037),ISNUMBER(IF($V1037,IF($AL1037="","",$AL1037),IF($AK1037="","",$AK1037)))),IF(AND(ABS($AC1037-significance_bar)&lt;=2.0*IF($V1037,IF($AL1037="","",$AL1037),IF($AK1037="","",$AK1037)),OR($Y1037="worse",$Y1037="better",$Y1037="worse, not significant",$Y1037="better, not significant",AND(profit_kind="test",$Y1037="in line",ISNUMBER($AB1037),$AB1037&lt;&gt;0))),IF(ROUND($AC1037,3)=ROUND(significance_bar,3),TEXT($AC1037,"0.0000"),TEXT($AC1037,"0.000")),""),"")</f>
        <v/>
      </c>
      <c r="AN1037">
        <f>IF(AND(ISNUMBER($AC1037),ISNUMBER(IF($V1037,IF($AL1037="","",$AL1037),IF($AK1037="","",$AK1037)))),IF(AND(ABS($AC1037-significance_bar)&lt;=2.0*IF($V1037,IF($AL1037="","",$AL1037),IF($AK1037="","",$AK1037)),OR($Y1037="worse",$Y1037="worse, not significant",AND(profit_kind="test",$Y1037="in line",ISNUMBER($AB1037),$AB1037&lt;0))),IF(ROUND($AC1037,3)=ROUND(significance_bar,3),TEXT($AC1037,"0.0000"),TEXT($AC1037,"0.000")),""),"")</f>
        <v/>
      </c>
      <c r="AO1037">
        <f>IF(OR($AI1037="",$AN1037=""),$AI1037,$AI1037&amp;" · borderline (p "&amp;$AN1037&amp;")")</f>
        <v/>
      </c>
    </row>
    <row r="1038">
      <c r="A1038" t="inlineStr">
        <is>
          <t>three-way</t>
        </is>
      </c>
      <c r="B1038" t="inlineStr">
        <is>
          <t>ORIG_BAL x ASSET_CLASS / SYS_FLAG</t>
        </is>
      </c>
      <c r="C1038" t="inlineStr">
        <is>
          <t>26,324 - 37,950</t>
        </is>
      </c>
      <c r="D1038" t="inlineStr">
        <is>
          <t>1 / SYS_FLAG Y</t>
        </is>
      </c>
      <c r="E1038" t="inlineStr">
        <is>
          <t>contribution_rate</t>
        </is>
      </c>
      <c r="F1038" t="inlineStr">
        <is>
          <t>Contribution before losses per booked dollar</t>
        </is>
      </c>
      <c r="G1038" t="n">
        <v>173</v>
      </c>
      <c r="H1038" t="n">
        <v>5589476.359999998</v>
      </c>
      <c r="I1038" t="b">
        <v>0</v>
      </c>
      <c r="J1038" t="b">
        <v>0</v>
      </c>
      <c r="K1038" t="n">
        <v>-5.48629198649786e-05</v>
      </c>
      <c r="L1038" t="n">
        <v>0.9955004499550044</v>
      </c>
      <c r="M1038" t="n">
        <v>0.0008849069737814907</v>
      </c>
      <c r="N1038" t="n">
        <v>0.9613397634595515</v>
      </c>
      <c r="O1038" t="n">
        <v>306.6549936259398</v>
      </c>
      <c r="P1038" t="n">
        <v>-4946.166610750719</v>
      </c>
      <c r="Q1038">
        <f>'_live'!$C$24</f>
        <v/>
      </c>
      <c r="R1038" t="inlineStr">
        <is>
          <t>shuffled: 9,955 of 10,000</t>
        </is>
      </c>
      <c r="S1038" t="inlineStr">
        <is>
          <t>shuffled: 9,265 of 10,000</t>
        </is>
      </c>
      <c r="T1038" t="n">
        <v>0.1695936441877405</v>
      </c>
      <c r="U1038" t="n">
        <v>0.168653874294094</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0.1695387812678755</v>
      </c>
      <c r="AI1038">
        <f>IF($Y1038="worse","Yes",IF($Y1038="worse, not significant","Not sure",IF(OR($Y1038="too few losses to test",$Y1038="too few loans to test"),"Too few losses",IF($Y1038="","","No"))))</f>
        <v/>
      </c>
      <c r="AJ1038">
        <f>IF($AA1038="yes","Yes",IF($AA1038="","","No"))</f>
        <v/>
      </c>
      <c r="AK1038" t="n">
        <v>0.0006692760338147521</v>
      </c>
      <c r="AL1038" t="n">
        <v>0.002486269498177721</v>
      </c>
      <c r="AM1038">
        <f>IF(AND(ISNUMBER($AC1038),ISNUMBER(IF($V1038,IF($AL1038="","",$AL1038),IF($AK1038="","",$AK1038)))),IF(AND(ABS($AC1038-significance_bar)&lt;=2.0*IF($V1038,IF($AL1038="","",$AL1038),IF($AK1038="","",$AK1038)),OR($Y1038="worse",$Y1038="better",$Y1038="worse, not significant",$Y1038="better, not significant",AND(profit_kind="test",$Y1038="in line",ISNUMBER($AB1038),$AB1038&lt;&gt;0))),IF(ROUND($AC1038,3)=ROUND(significance_bar,3),TEXT($AC1038,"0.0000"),TEXT($AC1038,"0.000")),""),"")</f>
        <v/>
      </c>
      <c r="AN1038">
        <f>IF(AND(ISNUMBER($AC1038),ISNUMBER(IF($V1038,IF($AL1038="","",$AL1038),IF($AK1038="","",$AK1038)))),IF(AND(ABS($AC1038-significance_bar)&lt;=2.0*IF($V1038,IF($AL1038="","",$AL1038),IF($AK1038="","",$AK1038)),OR($Y1038="worse",$Y1038="worse, not significant",AND(profit_kind="test",$Y1038="in line",ISNUMBER($AB1038),$AB1038&lt;0))),IF(ROUND($AC1038,3)=ROUND(significance_bar,3),TEXT($AC1038,"0.0000"),TEXT($AC1038,"0.000")),""),"")</f>
        <v/>
      </c>
      <c r="AO1038">
        <f>IF(OR($AI1038="",$AN1038=""),$AI1038,$AI1038&amp;" · borderline (p "&amp;$AN1038&amp;")")</f>
        <v/>
      </c>
    </row>
    <row r="1039">
      <c r="A1039" t="inlineStr">
        <is>
          <t>three-way</t>
        </is>
      </c>
      <c r="B1039" t="inlineStr">
        <is>
          <t>ORIG_BAL x ASSET_CLASS / SYS_FLAG</t>
        </is>
      </c>
      <c r="C1039" t="inlineStr">
        <is>
          <t>15,449 - 26,323</t>
        </is>
      </c>
      <c r="D1039" t="inlineStr">
        <is>
          <t>4 / SYS_FLAG N</t>
        </is>
      </c>
      <c r="E1039" t="inlineStr">
        <is>
          <t>outcome_loans</t>
        </is>
      </c>
      <c r="F1039" t="inlineStr">
        <is>
          <t>Outcome, share of loans</t>
        </is>
      </c>
      <c r="G1039" t="n">
        <v>223</v>
      </c>
      <c r="H1039" t="n">
        <v>223</v>
      </c>
      <c r="I1039" t="b">
        <v>0</v>
      </c>
      <c r="J1039" t="b">
        <v>0</v>
      </c>
      <c r="K1039" t="n">
        <v>1.528868185633588</v>
      </c>
      <c r="L1039" t="n">
        <v>0.1636195378737033</v>
      </c>
      <c r="M1039" t="n">
        <v>1.305260855299136</v>
      </c>
      <c r="N1039" t="n">
        <v>0.57171124817441</v>
      </c>
      <c r="O1039" t="n">
        <v>8.993955761316872</v>
      </c>
      <c r="P1039" t="n">
        <v>6.080610021786491</v>
      </c>
      <c r="Q1039">
        <f>'_live'!$C$20</f>
        <v/>
      </c>
      <c r="R1039" t="inlineStr">
        <is>
          <t>z test</t>
        </is>
      </c>
      <c r="S1039" t="inlineStr">
        <is>
          <t>z test</t>
        </is>
      </c>
      <c r="T1039" t="n">
        <v>0.07626028806584362</v>
      </c>
      <c r="U1039" t="n">
        <v>0.08932461873638345</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0.1165919282511211</v>
      </c>
      <c r="AI1039">
        <f>IF($Y1039="worse","Yes",IF($Y1039="worse, not significant","Not sure",IF(OR($Y1039="too few losses to test",$Y1039="too few loans to test"),"Too few losses",IF($Y1039="","","No"))))</f>
        <v/>
      </c>
      <c r="AJ1039">
        <f>IF($AA1039="yes","Yes",IF($AA1039="","","No"))</f>
        <v/>
      </c>
      <c r="AM1039">
        <f>IF(AND(ISNUMBER($AC1039),ISNUMBER(IF($V1039,IF($AL1039="","",$AL1039),IF($AK1039="","",$AK1039)))),IF(AND(ABS($AC1039-significance_bar)&lt;=2.0*IF($V1039,IF($AL1039="","",$AL1039),IF($AK1039="","",$AK1039)),OR($Y1039="worse",$Y1039="better",$Y1039="worse, not significant",$Y1039="better, not significant")),IF(ROUND($AC1039,3)=ROUND(significance_bar,3),TEXT($AC1039,"0.0000"),TEXT($AC1039,"0.000")),""),"")</f>
        <v/>
      </c>
      <c r="AN1039">
        <f>IF(AND(ISNUMBER($AC1039),ISNUMBER(IF($V1039,IF($AL1039="","",$AL1039),IF($AK1039="","",$AK1039)))),IF(AND(ABS($AC1039-significance_bar)&lt;=2.0*IF($V1039,IF($AL1039="","",$AL1039),IF($AK1039="","",$AK1039)),OR($Y1039="worse",$Y1039="worse, not significant")),IF(ROUND($AC1039,3)=ROUND(significance_bar,3),TEXT($AC1039,"0.0000"),TEXT($AC1039,"0.000")),""),"")</f>
        <v/>
      </c>
      <c r="AO1039">
        <f>IF(OR($AI1039="",$AN1039=""),$AI1039,$AI1039&amp;" · borderline (p "&amp;$AN1039&amp;")")</f>
        <v/>
      </c>
    </row>
    <row r="1040">
      <c r="A1040" t="inlineStr">
        <is>
          <t>three-way</t>
        </is>
      </c>
      <c r="B1040" t="inlineStr">
        <is>
          <t>ORIG_BAL x ASSET_CLASS / SYS_FLAG</t>
        </is>
      </c>
      <c r="C1040" t="inlineStr">
        <is>
          <t>15,449 - 26,323</t>
        </is>
      </c>
      <c r="D1040" t="inlineStr">
        <is>
          <t>4 / SYS_FLAG N</t>
        </is>
      </c>
      <c r="E1040" t="inlineStr">
        <is>
          <t>outcome_booked</t>
        </is>
      </c>
      <c r="F1040" t="inlineStr">
        <is>
          <t>Outcome, share of booked dollars</t>
        </is>
      </c>
      <c r="G1040" t="n">
        <v>223</v>
      </c>
      <c r="H1040" t="n">
        <v>4718819.550000004</v>
      </c>
      <c r="I1040" t="b">
        <v>0</v>
      </c>
      <c r="J1040" t="b">
        <v>0</v>
      </c>
      <c r="K1040" t="n">
        <v>1.538344742276229</v>
      </c>
      <c r="L1040" t="n">
        <v>0.2349479337780508</v>
      </c>
      <c r="M1040" t="n">
        <v>1.260192824943628</v>
      </c>
      <c r="N1040" t="n">
        <v>0.6170582941705829</v>
      </c>
      <c r="O1040" t="n">
        <v>188238.4125683952</v>
      </c>
      <c r="P1040" t="n">
        <v>111060.5349782872</v>
      </c>
      <c r="Q1040">
        <f>'_live'!$C$21</f>
        <v/>
      </c>
      <c r="R1040" t="inlineStr">
        <is>
          <t>shuffled: 411 of 10,000</t>
        </is>
      </c>
      <c r="S1040" t="inlineStr">
        <is>
          <t>shuffled: 2,658 of 10,000</t>
        </is>
      </c>
      <c r="T1040" t="n">
        <v>0.07409935127347785</v>
      </c>
      <c r="U1040" t="n">
        <v>0.09045468691883175</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0.113990347437634</v>
      </c>
      <c r="AI1040">
        <f>IF($Y1040="worse","Yes",IF($Y1040="worse, not significant","Not sure",IF(OR($Y1040="too few losses to test",$Y1040="too few loans to test"),"Too few losses",IF($Y1040="","","No"))))</f>
        <v/>
      </c>
      <c r="AJ1040">
        <f>IF($AA1040="yes","Yes",IF($AA1040="","","No"))</f>
        <v/>
      </c>
      <c r="AK1040" t="n">
        <v>0.01009379594446269</v>
      </c>
      <c r="AL1040" t="n">
        <v>0.007788018568726085</v>
      </c>
      <c r="AM1040">
        <f>IF(AND(ISNUMBER($AC1040),ISNUMBER(IF($V1040,IF($AL1040="","",$AL1040),IF($AK1040="","",$AK1040)))),IF(AND(ABS($AC1040-significance_bar)&lt;=2.0*IF($V1040,IF($AL1040="","",$AL1040),IF($AK1040="","",$AK1040)),OR($Y1040="worse",$Y1040="better",$Y1040="worse, not significant",$Y1040="better, not significant")),IF(ROUND($AC1040,3)=ROUND(significance_bar,3),TEXT($AC1040,"0.0000"),TEXT($AC1040,"0.000")),""),"")</f>
        <v/>
      </c>
      <c r="AN1040">
        <f>IF(AND(ISNUMBER($AC1040),ISNUMBER(IF($V1040,IF($AL1040="","",$AL1040),IF($AK1040="","",$AK1040)))),IF(AND(ABS($AC1040-significance_bar)&lt;=2.0*IF($V1040,IF($AL1040="","",$AL1040),IF($AK1040="","",$AK1040)),OR($Y1040="worse",$Y1040="worse, not significant")),IF(ROUND($AC1040,3)=ROUND(significance_bar,3),TEXT($AC1040,"0.0000"),TEXT($AC1040,"0.000")),""),"")</f>
        <v/>
      </c>
      <c r="AO1040">
        <f>IF(OR($AI1040="",$AN1040=""),$AI1040,$AI1040&amp;" · borderline (p "&amp;$AN1040&amp;")")</f>
        <v/>
      </c>
    </row>
    <row r="1041">
      <c r="A1041" t="inlineStr">
        <is>
          <t>three-way</t>
        </is>
      </c>
      <c r="B1041" t="inlineStr">
        <is>
          <t>ORIG_BAL x ASSET_CLASS / SYS_FLAG</t>
        </is>
      </c>
      <c r="C1041" t="inlineStr">
        <is>
          <t>15,449 - 26,323</t>
        </is>
      </c>
      <c r="D1041" t="inlineStr">
        <is>
          <t>4 / SYS_FLAG N</t>
        </is>
      </c>
      <c r="E1041" t="inlineStr">
        <is>
          <t>gco_rate</t>
        </is>
      </c>
      <c r="F1041" t="inlineStr">
        <is>
          <t>GCO per booked dollar</t>
        </is>
      </c>
      <c r="G1041" t="n">
        <v>223</v>
      </c>
      <c r="H1041" t="n">
        <v>4718819.550000004</v>
      </c>
      <c r="I1041" t="b">
        <v>0</v>
      </c>
      <c r="J1041" t="b">
        <v>0</v>
      </c>
      <c r="K1041" t="n">
        <v>1.566400774429229</v>
      </c>
      <c r="L1041" t="n">
        <v>0.193980601939806</v>
      </c>
      <c r="M1041" t="n">
        <v>1.257485691991882</v>
      </c>
      <c r="N1041" t="n">
        <v>0.675589583898753</v>
      </c>
      <c r="O1041" t="n">
        <v>110060.1460592363</v>
      </c>
      <c r="P1041" t="n">
        <v>62324.55472261648</v>
      </c>
      <c r="Q1041">
        <f>'_live'!$C$22</f>
        <v/>
      </c>
      <c r="R1041" t="inlineStr">
        <is>
          <t>shuffled: 380 of 10,000</t>
        </is>
      </c>
      <c r="S1041" t="inlineStr">
        <is>
          <t>shuffled: 2,955 of 10,000</t>
        </is>
      </c>
      <c r="T1041" t="n">
        <v>0.04117872317045129</v>
      </c>
      <c r="U1041" t="n">
        <v>0.05129472587638646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0.06450238386420175</v>
      </c>
      <c r="AI1041">
        <f>IF($Y1041="worse","Yes",IF($Y1041="worse, not significant","Not sure",IF(OR($Y1041="too few losses to test",$Y1041="too few loans to test"),"Too few losses",IF($Y1041="","","No"))))</f>
        <v/>
      </c>
      <c r="AJ1041">
        <f>IF($AA1041="yes","Yes",IF($AA1041="","","No"))</f>
        <v/>
      </c>
      <c r="AK1041" t="n">
        <v>0.008592403236756843</v>
      </c>
      <c r="AL1041" t="n">
        <v>0.01042968588848514</v>
      </c>
      <c r="AM1041">
        <f>IF(AND(ISNUMBER($AC1041),ISNUMBER(IF($V1041,IF($AL1041="","",$AL1041),IF($AK1041="","",$AK1041)))),IF(AND(ABS($AC1041-significance_bar)&lt;=2.0*IF($V1041,IF($AL1041="","",$AL1041),IF($AK1041="","",$AK1041)),OR($Y1041="worse",$Y1041="better",$Y1041="worse, not significant",$Y1041="better, not significant")),IF(ROUND($AC1041,3)=ROUND(significance_bar,3),TEXT($AC1041,"0.0000"),TEXT($AC1041,"0.000")),""),"")</f>
        <v/>
      </c>
      <c r="AN1041">
        <f>IF(AND(ISNUMBER($AC1041),ISNUMBER(IF($V1041,IF($AL1041="","",$AL1041),IF($AK1041="","",$AK1041)))),IF(AND(ABS($AC1041-significance_bar)&lt;=2.0*IF($V1041,IF($AL1041="","",$AL1041),IF($AK1041="","",$AK1041)),OR($Y1041="worse",$Y1041="worse, not significant")),IF(ROUND($AC1041,3)=ROUND(significance_bar,3),TEXT($AC1041,"0.0000"),TEXT($AC1041,"0.000")),""),"")</f>
        <v/>
      </c>
      <c r="AO1041">
        <f>IF(OR($AI1041="",$AN1041=""),$AI1041,$AI1041&amp;" · borderline (p "&amp;$AN1041&amp;")")</f>
        <v/>
      </c>
    </row>
    <row r="1042">
      <c r="A1042" t="inlineStr">
        <is>
          <t>three-way</t>
        </is>
      </c>
      <c r="B1042" t="inlineStr">
        <is>
          <t>ORIG_BAL x ASSET_CLASS / SYS_FLAG</t>
        </is>
      </c>
      <c r="C1042" t="inlineStr">
        <is>
          <t>15,449 - 26,323</t>
        </is>
      </c>
      <c r="D1042" t="inlineStr">
        <is>
          <t>4 / SYS_FLAG N</t>
        </is>
      </c>
      <c r="E1042" t="inlineStr">
        <is>
          <t>ranr_rate</t>
        </is>
      </c>
      <c r="F1042" t="inlineStr">
        <is>
          <t>Profit after losses: RANR per booked dollar</t>
        </is>
      </c>
      <c r="G1042" t="n">
        <v>223</v>
      </c>
      <c r="H1042" t="n">
        <v>4718819.550000004</v>
      </c>
      <c r="I1042" t="b">
        <v>0</v>
      </c>
      <c r="J1042" t="b">
        <v>0</v>
      </c>
      <c r="K1042" t="n">
        <v>-0.03485491424022176</v>
      </c>
      <c r="L1042" t="n">
        <v>0.1223877612238776</v>
      </c>
      <c r="M1042" t="n">
        <v>-0.02944626282499543</v>
      </c>
      <c r="N1042" t="n">
        <v>0.19553600195536</v>
      </c>
      <c r="O1042" t="n">
        <v>164474.050730332</v>
      </c>
      <c r="P1042" t="n">
        <v>138951.6006930268</v>
      </c>
      <c r="Q1042">
        <f>'_live'!$C$23</f>
        <v/>
      </c>
      <c r="R1042" t="inlineStr">
        <is>
          <t>shuffled: 130 of 10,000</t>
        </is>
      </c>
      <c r="S1042" t="inlineStr">
        <is>
          <t>shuffled: 439 of 10,000</t>
        </is>
      </c>
      <c r="T1042" t="n">
        <v>0.1286273768892755</v>
      </c>
      <c r="U1042" t="n">
        <v>0.1232187254740492</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0.09377246264905374</v>
      </c>
      <c r="AI1042">
        <f>IF($Y1042="worse","Yes",IF($Y1042="worse, not significant","Not sure",IF(OR($Y1042="too few losses to test",$Y1042="too few loans to test"),"Too few losses",IF($Y1042="","","No"))))</f>
        <v/>
      </c>
      <c r="AJ1042">
        <f>IF($AA1042="yes","Yes",IF($AA1042="","","No"))</f>
        <v/>
      </c>
      <c r="AK1042" t="n">
        <v>0.009818978183566904</v>
      </c>
      <c r="AL1042" t="n">
        <v>0.009114903013848756</v>
      </c>
      <c r="AM1042">
        <f>IF(AND(ISNUMBER($AC1042),ISNUMBER(IF($V1042,IF($AL1042="","",$AL1042),IF($AK1042="","",$AK1042)))),IF(AND(ABS($AC1042-significance_bar)&lt;=2.0*IF($V1042,IF($AL1042="","",$AL1042),IF($AK1042="","",$AK1042)),OR($Y1042="worse",$Y1042="better",$Y1042="worse, not significant",$Y1042="better, not significant",AND(profit_kind="test",$Y1042="in line",ISNUMBER($AB1042),$AB1042&lt;&gt;0))),IF(ROUND($AC1042,3)=ROUND(significance_bar,3),TEXT($AC1042,"0.0000"),TEXT($AC1042,"0.000")),""),"")</f>
        <v/>
      </c>
      <c r="AN1042">
        <f>IF(AND(ISNUMBER($AC1042),ISNUMBER(IF($V1042,IF($AL1042="","",$AL1042),IF($AK1042="","",$AK1042)))),IF(AND(ABS($AC1042-significance_bar)&lt;=2.0*IF($V1042,IF($AL1042="","",$AL1042),IF($AK1042="","",$AK1042)),OR($Y1042="worse",$Y1042="worse, not significant",AND(profit_kind="test",$Y1042="in line",ISNUMBER($AB1042),$AB1042&lt;0))),IF(ROUND($AC1042,3)=ROUND(significance_bar,3),TEXT($AC1042,"0.0000"),TEXT($AC1042,"0.000")),""),"")</f>
        <v/>
      </c>
      <c r="AO1042">
        <f>IF(OR($AI1042="",$AN1042=""),$AI1042,$AI1042&amp;" · borderline (p "&amp;$AN1042&amp;")")</f>
        <v/>
      </c>
    </row>
    <row r="1043">
      <c r="A1043" t="inlineStr">
        <is>
          <t>three-way</t>
        </is>
      </c>
      <c r="B1043" t="inlineStr">
        <is>
          <t>ORIG_BAL x ASSET_CLASS / SYS_FLAG</t>
        </is>
      </c>
      <c r="C1043" t="inlineStr">
        <is>
          <t>15,449 - 26,323</t>
        </is>
      </c>
      <c r="D1043" t="inlineStr">
        <is>
          <t>4 / SYS_FLAG N</t>
        </is>
      </c>
      <c r="E1043" t="inlineStr">
        <is>
          <t>contribution_rate</t>
        </is>
      </c>
      <c r="F1043" t="inlineStr">
        <is>
          <t>Contribution before losses per booked dollar</t>
        </is>
      </c>
      <c r="G1043" t="n">
        <v>223</v>
      </c>
      <c r="H1043" t="n">
        <v>4718819.550000004</v>
      </c>
      <c r="I1043" t="b">
        <v>0</v>
      </c>
      <c r="J1043" t="b">
        <v>0</v>
      </c>
      <c r="K1043" t="n">
        <v>-0.01152844088203331</v>
      </c>
      <c r="L1043" t="n">
        <v>0.673599306735993</v>
      </c>
      <c r="M1043" t="n">
        <v>-0.0162386048371802</v>
      </c>
      <c r="N1043" t="n">
        <v>0.51994800519948</v>
      </c>
      <c r="O1043" t="n">
        <v>54400.63221515808</v>
      </c>
      <c r="P1043" t="n">
        <v>76627.04597041057</v>
      </c>
      <c r="Q1043">
        <f>'_live'!$C$24</f>
        <v/>
      </c>
      <c r="R1043" t="inlineStr">
        <is>
          <t>shuffled: 2,020 of 10,000</t>
        </is>
      </c>
      <c r="S1043" t="inlineStr">
        <is>
          <t>shuffled: 649 of 10,000</t>
        </is>
      </c>
      <c r="T1043" t="n">
        <v>0.1698032873952888</v>
      </c>
      <c r="U1043" t="n">
        <v>0.1745134513504357</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0.1582748465132555</v>
      </c>
      <c r="AI1043">
        <f>IF($Y1043="worse","Yes",IF($Y1043="worse, not significant","Not sure",IF(OR($Y1043="too few losses to test",$Y1043="too few loans to test"),"Too few losses",IF($Y1043="","","No"))))</f>
        <v/>
      </c>
      <c r="AJ1043">
        <f>IF($AA1043="yes","Yes",IF($AA1043="","","No"))</f>
        <v/>
      </c>
      <c r="AK1043" t="n">
        <v>0.01338504761447676</v>
      </c>
      <c r="AL1043" t="n">
        <v>0.01972115136974746</v>
      </c>
      <c r="AM1043">
        <f>IF(AND(ISNUMBER($AC1043),ISNUMBER(IF($V1043,IF($AL1043="","",$AL1043),IF($AK1043="","",$AK1043)))),IF(AND(ABS($AC1043-significance_bar)&lt;=2.0*IF($V1043,IF($AL1043="","",$AL1043),IF($AK1043="","",$AK1043)),OR($Y1043="worse",$Y1043="better",$Y1043="worse, not significant",$Y1043="better, not significant",AND(profit_kind="test",$Y1043="in line",ISNUMBER($AB1043),$AB1043&lt;&gt;0))),IF(ROUND($AC1043,3)=ROUND(significance_bar,3),TEXT($AC1043,"0.0000"),TEXT($AC1043,"0.000")),""),"")</f>
        <v/>
      </c>
      <c r="AN1043">
        <f>IF(AND(ISNUMBER($AC1043),ISNUMBER(IF($V1043,IF($AL1043="","",$AL1043),IF($AK1043="","",$AK1043)))),IF(AND(ABS($AC1043-significance_bar)&lt;=2.0*IF($V1043,IF($AL1043="","",$AL1043),IF($AK1043="","",$AK1043)),OR($Y1043="worse",$Y1043="worse, not significant",AND(profit_kind="test",$Y1043="in line",ISNUMBER($AB1043),$AB1043&lt;0))),IF(ROUND($AC1043,3)=ROUND(significance_bar,3),TEXT($AC1043,"0.0000"),TEXT($AC1043,"0.000")),""),"")</f>
        <v/>
      </c>
      <c r="AO1043">
        <f>IF(OR($AI1043="",$AN1043=""),$AI1043,$AI1043&amp;" · borderline (p "&amp;$AN1043&amp;")")</f>
        <v/>
      </c>
    </row>
    <row r="1044">
      <c r="A1044" t="inlineStr">
        <is>
          <t>three-way</t>
        </is>
      </c>
      <c r="B1044" t="inlineStr">
        <is>
          <t>ORIG_BAL x ASSET_CLASS / SYS_FLAG</t>
        </is>
      </c>
      <c r="C1044" t="inlineStr">
        <is>
          <t>5,005 - 15,448</t>
        </is>
      </c>
      <c r="D1044" t="inlineStr">
        <is>
          <t>4 / SYS_FLAG Y</t>
        </is>
      </c>
      <c r="E1044" t="inlineStr">
        <is>
          <t>outcome_loans</t>
        </is>
      </c>
      <c r="F1044" t="inlineStr">
        <is>
          <t>Outcome, share of loans</t>
        </is>
      </c>
      <c r="G1044" t="n">
        <v>196</v>
      </c>
      <c r="H1044" t="n">
        <v>196</v>
      </c>
      <c r="I1044" t="b">
        <v>0</v>
      </c>
      <c r="J1044" t="b">
        <v>0</v>
      </c>
      <c r="K1044" t="n">
        <v>1.260688775510204</v>
      </c>
      <c r="L1044" t="n">
        <v>0.5639229556355464</v>
      </c>
      <c r="M1044" t="n">
        <v>1.308673469387755</v>
      </c>
      <c r="N1044" t="n">
        <v>0.57171124817441</v>
      </c>
      <c r="O1044" t="n">
        <v>3.92887351018839</v>
      </c>
      <c r="P1044" t="n">
        <v>4.481481481481483</v>
      </c>
      <c r="Q1044">
        <f>'_live'!$C$20</f>
        <v/>
      </c>
      <c r="R1044" t="inlineStr">
        <is>
          <t>z test</t>
        </is>
      </c>
      <c r="S1044" t="inlineStr">
        <is>
          <t>z test</t>
        </is>
      </c>
      <c r="T1044" t="n">
        <v>0.07689350249903883</v>
      </c>
      <c r="U1044" t="n">
        <v>0.07407407407407407</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0.09693877551020408</v>
      </c>
      <c r="AI1044">
        <f>IF($Y1044="worse","Yes",IF($Y1044="worse, not significant","Not sure",IF(OR($Y1044="too few losses to test",$Y1044="too few loans to test"),"Too few losses",IF($Y1044="","","No"))))</f>
        <v/>
      </c>
      <c r="AJ1044">
        <f>IF($AA1044="yes","Yes",IF($AA1044="","","No"))</f>
        <v/>
      </c>
      <c r="AM1044">
        <f>IF(AND(ISNUMBER($AC1044),ISNUMBER(IF($V1044,IF($AL1044="","",$AL1044),IF($AK1044="","",$AK1044)))),IF(AND(ABS($AC1044-significance_bar)&lt;=2.0*IF($V1044,IF($AL1044="","",$AL1044),IF($AK1044="","",$AK1044)),OR($Y1044="worse",$Y1044="better",$Y1044="worse, not significant",$Y1044="better, not significant")),IF(ROUND($AC1044,3)=ROUND(significance_bar,3),TEXT($AC1044,"0.0000"),TEXT($AC1044,"0.000")),""),"")</f>
        <v/>
      </c>
      <c r="AN1044">
        <f>IF(AND(ISNUMBER($AC1044),ISNUMBER(IF($V1044,IF($AL1044="","",$AL1044),IF($AK1044="","",$AK1044)))),IF(AND(ABS($AC1044-significance_bar)&lt;=2.0*IF($V1044,IF($AL1044="","",$AL1044),IF($AK1044="","",$AK1044)),OR($Y1044="worse",$Y1044="worse, not significant")),IF(ROUND($AC1044,3)=ROUND(significance_bar,3),TEXT($AC1044,"0.0000"),TEXT($AC1044,"0.000")),""),"")</f>
        <v/>
      </c>
      <c r="AO1044">
        <f>IF(OR($AI1044="",$AN1044=""),$AI1044,$AI1044&amp;" · borderline (p "&amp;$AN1044&amp;")")</f>
        <v/>
      </c>
    </row>
    <row r="1045">
      <c r="A1045" t="inlineStr">
        <is>
          <t>three-way</t>
        </is>
      </c>
      <c r="B1045" t="inlineStr">
        <is>
          <t>ORIG_BAL x ASSET_CLASS / SYS_FLAG</t>
        </is>
      </c>
      <c r="C1045" t="inlineStr">
        <is>
          <t>5,005 - 15,448</t>
        </is>
      </c>
      <c r="D1045" t="inlineStr">
        <is>
          <t>4 / SYS_FLAG Y</t>
        </is>
      </c>
      <c r="E1045" t="inlineStr">
        <is>
          <t>outcome_booked</t>
        </is>
      </c>
      <c r="F1045" t="inlineStr">
        <is>
          <t>Outcome, share of booked dollars</t>
        </is>
      </c>
      <c r="G1045" t="n">
        <v>196</v>
      </c>
      <c r="H1045" t="n">
        <v>1972333.82</v>
      </c>
      <c r="I1045" t="b">
        <v>0</v>
      </c>
      <c r="J1045" t="b">
        <v>0</v>
      </c>
      <c r="K1045" t="n">
        <v>1.393727576626295</v>
      </c>
      <c r="L1045" t="n">
        <v>0.4674441646744416</v>
      </c>
      <c r="M1045" t="n">
        <v>1.451272647348663</v>
      </c>
      <c r="N1045" t="n">
        <v>0.515948405159484</v>
      </c>
      <c r="O1045" t="n">
        <v>57934.91310862466</v>
      </c>
      <c r="P1045" t="n">
        <v>63769.4131098151</v>
      </c>
      <c r="Q1045">
        <f>'_live'!$C$21</f>
        <v/>
      </c>
      <c r="R1045" t="inlineStr">
        <is>
          <t>shuffled: 1,606 of 10,000</t>
        </is>
      </c>
      <c r="S1045" t="inlineStr">
        <is>
          <t>shuffled: 1,211 of 10,000</t>
        </is>
      </c>
      <c r="T1045" t="n">
        <v>0.07460434202328661</v>
      </c>
      <c r="U1045" t="n">
        <v>0.07164617138197477</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0.1039781288139145</v>
      </c>
      <c r="AI1045">
        <f>IF($Y1045="worse","Yes",IF($Y1045="worse, not significant","Not sure",IF(OR($Y1045="too few losses to test",$Y1045="too few loans to test"),"Too few losses",IF($Y1045="","","No"))))</f>
        <v/>
      </c>
      <c r="AJ1045">
        <f>IF($AA1045="yes","Yes",IF($AA1045="","","No"))</f>
        <v/>
      </c>
      <c r="AK1045" t="n">
        <v>0.01068332121989143</v>
      </c>
      <c r="AL1045" t="n">
        <v>0.01340742653849471</v>
      </c>
      <c r="AM1045">
        <f>IF(AND(ISNUMBER($AC1045),ISNUMBER(IF($V1045,IF($AL1045="","",$AL1045),IF($AK1045="","",$AK1045)))),IF(AND(ABS($AC1045-significance_bar)&lt;=2.0*IF($V1045,IF($AL1045="","",$AL1045),IF($AK1045="","",$AK1045)),OR($Y1045="worse",$Y1045="better",$Y1045="worse, not significant",$Y1045="better, not significant")),IF(ROUND($AC1045,3)=ROUND(significance_bar,3),TEXT($AC1045,"0.0000"),TEXT($AC1045,"0.000")),""),"")</f>
        <v/>
      </c>
      <c r="AN1045">
        <f>IF(AND(ISNUMBER($AC1045),ISNUMBER(IF($V1045,IF($AL1045="","",$AL1045),IF($AK1045="","",$AK1045)))),IF(AND(ABS($AC1045-significance_bar)&lt;=2.0*IF($V1045,IF($AL1045="","",$AL1045),IF($AK1045="","",$AK1045)),OR($Y1045="worse",$Y1045="worse, not significant")),IF(ROUND($AC1045,3)=ROUND(significance_bar,3),TEXT($AC1045,"0.0000"),TEXT($AC1045,"0.000")),""),"")</f>
        <v/>
      </c>
      <c r="AO1045">
        <f>IF(OR($AI1045="",$AN1045=""),$AI1045,$AI1045&amp;" · borderline (p "&amp;$AN1045&amp;")")</f>
        <v/>
      </c>
    </row>
    <row r="1046">
      <c r="A1046" t="inlineStr">
        <is>
          <t>three-way</t>
        </is>
      </c>
      <c r="B1046" t="inlineStr">
        <is>
          <t>ORIG_BAL x ASSET_CLASS / SYS_FLAG</t>
        </is>
      </c>
      <c r="C1046" t="inlineStr">
        <is>
          <t>5,005 - 15,448</t>
        </is>
      </c>
      <c r="D1046" t="inlineStr">
        <is>
          <t>4 / SYS_FLAG Y</t>
        </is>
      </c>
      <c r="E1046" t="inlineStr">
        <is>
          <t>gco_rate</t>
        </is>
      </c>
      <c r="F1046" t="inlineStr">
        <is>
          <t>GCO per booked dollar</t>
        </is>
      </c>
      <c r="G1046" t="n">
        <v>196</v>
      </c>
      <c r="H1046" t="n">
        <v>1972333.82</v>
      </c>
      <c r="I1046" t="b">
        <v>0</v>
      </c>
      <c r="J1046" t="b">
        <v>0</v>
      </c>
      <c r="K1046" t="n">
        <v>1.383794844014992</v>
      </c>
      <c r="L1046" t="n">
        <v>0.5204812852048128</v>
      </c>
      <c r="M1046" t="n">
        <v>1.465021126354612</v>
      </c>
      <c r="N1046" t="n">
        <v>0.4877734448777344</v>
      </c>
      <c r="O1046" t="n">
        <v>31401.87943069162</v>
      </c>
      <c r="P1046" t="n">
        <v>35938.25700299958</v>
      </c>
      <c r="Q1046">
        <f>'_live'!$C$22</f>
        <v/>
      </c>
      <c r="R1046" t="inlineStr">
        <is>
          <t>shuffled: 1,891 of 10,000</t>
        </is>
      </c>
      <c r="S1046" t="inlineStr">
        <is>
          <t>shuffled: 1,237 of 10,000</t>
        </is>
      </c>
      <c r="T1046" t="n">
        <v>0.04148356618927134</v>
      </c>
      <c r="U1046" t="n">
        <v>0.03918356122748046</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0.05740474500406834</v>
      </c>
      <c r="AI1046">
        <f>IF($Y1046="worse","Yes",IF($Y1046="worse, not significant","Not sure",IF(OR($Y1046="too few losses to test",$Y1046="too few loans to test"),"Too few losses",IF($Y1046="","","No"))))</f>
        <v/>
      </c>
      <c r="AJ1046">
        <f>IF($AA1046="yes","Yes",IF($AA1046="","","No"))</f>
        <v/>
      </c>
      <c r="AK1046" t="n">
        <v>0.0105690554243558</v>
      </c>
      <c r="AL1046" t="n">
        <v>0.01223267202315017</v>
      </c>
      <c r="AM1046">
        <f>IF(AND(ISNUMBER($AC1046),ISNUMBER(IF($V1046,IF($AL1046="","",$AL1046),IF($AK1046="","",$AK1046)))),IF(AND(ABS($AC1046-significance_bar)&lt;=2.0*IF($V1046,IF($AL1046="","",$AL1046),IF($AK1046="","",$AK1046)),OR($Y1046="worse",$Y1046="better",$Y1046="worse, not significant",$Y1046="better, not significant")),IF(ROUND($AC1046,3)=ROUND(significance_bar,3),TEXT($AC1046,"0.0000"),TEXT($AC1046,"0.000")),""),"")</f>
        <v/>
      </c>
      <c r="AN1046">
        <f>IF(AND(ISNUMBER($AC1046),ISNUMBER(IF($V1046,IF($AL1046="","",$AL1046),IF($AK1046="","",$AK1046)))),IF(AND(ABS($AC1046-significance_bar)&lt;=2.0*IF($V1046,IF($AL1046="","",$AL1046),IF($AK1046="","",$AK1046)),OR($Y1046="worse",$Y1046="worse, not significant")),IF(ROUND($AC1046,3)=ROUND(significance_bar,3),TEXT($AC1046,"0.0000"),TEXT($AC1046,"0.000")),""),"")</f>
        <v/>
      </c>
      <c r="AO1046">
        <f>IF(OR($AI1046="",$AN1046=""),$AI1046,$AI1046&amp;" · borderline (p "&amp;$AN1046&amp;")")</f>
        <v/>
      </c>
    </row>
    <row r="1047">
      <c r="A1047" t="inlineStr">
        <is>
          <t>three-way</t>
        </is>
      </c>
      <c r="B1047" t="inlineStr">
        <is>
          <t>ORIG_BAL x ASSET_CLASS / SYS_FLAG</t>
        </is>
      </c>
      <c r="C1047" t="inlineStr">
        <is>
          <t>5,005 - 15,448</t>
        </is>
      </c>
      <c r="D1047" t="inlineStr">
        <is>
          <t>4 / SYS_FLAG Y</t>
        </is>
      </c>
      <c r="E1047" t="inlineStr">
        <is>
          <t>ranr_rate</t>
        </is>
      </c>
      <c r="F1047" t="inlineStr">
        <is>
          <t>Profit after losses: RANR per booked dollar</t>
        </is>
      </c>
      <c r="G1047" t="n">
        <v>196</v>
      </c>
      <c r="H1047" t="n">
        <v>1972333.82</v>
      </c>
      <c r="I1047" t="b">
        <v>0</v>
      </c>
      <c r="J1047" t="b">
        <v>0</v>
      </c>
      <c r="K1047" t="n">
        <v>0.003008275205227756</v>
      </c>
      <c r="L1047" t="n">
        <v>0.9053453628996073</v>
      </c>
      <c r="M1047" t="n">
        <v>-0.01787658463558336</v>
      </c>
      <c r="N1047" t="n">
        <v>0.4690057310058468</v>
      </c>
      <c r="O1047" t="n">
        <v>-5933.322927138128</v>
      </c>
      <c r="P1047" t="n">
        <v>35258.59246285344</v>
      </c>
      <c r="Q1047">
        <f>'_live'!$C$23</f>
        <v/>
      </c>
      <c r="R1047" t="inlineStr">
        <is>
          <t>shuffled: 8,396 of 10,000</t>
        </is>
      </c>
      <c r="S1047" t="inlineStr">
        <is>
          <t>shuffled: 2,158 of 10,000</t>
        </is>
      </c>
      <c r="T1047" t="n">
        <v>0.127967058371925</v>
      </c>
      <c r="U1047" t="n">
        <v>0.1488519182127361</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0.1309753335771528</v>
      </c>
      <c r="AI1047">
        <f>IF($Y1047="worse","Yes",IF($Y1047="worse, not significant","Not sure",IF(OR($Y1047="too few losses to test",$Y1047="too few loans to test"),"Too few losses",IF($Y1047="","","No"))))</f>
        <v/>
      </c>
      <c r="AJ1047">
        <f>IF($AA1047="yes","Yes",IF($AA1047="","","No"))</f>
        <v/>
      </c>
      <c r="AK1047" t="n">
        <v>0.003300138185589779</v>
      </c>
      <c r="AL1047" t="n">
        <v>0.008760217523622172</v>
      </c>
      <c r="AM1047">
        <f>IF(AND(ISNUMBER($AC1047),ISNUMBER(IF($V1047,IF($AL1047="","",$AL1047),IF($AK1047="","",$AK1047)))),IF(AND(ABS($AC1047-significance_bar)&lt;=2.0*IF($V1047,IF($AL1047="","",$AL1047),IF($AK1047="","",$AK1047)),OR($Y1047="worse",$Y1047="better",$Y1047="worse, not significant",$Y1047="better, not significant",AND(profit_kind="test",$Y1047="in line",ISNUMBER($AB1047),$AB1047&lt;&gt;0))),IF(ROUND($AC1047,3)=ROUND(significance_bar,3),TEXT($AC1047,"0.0000"),TEXT($AC1047,"0.000")),""),"")</f>
        <v/>
      </c>
      <c r="AN1047">
        <f>IF(AND(ISNUMBER($AC1047),ISNUMBER(IF($V1047,IF($AL1047="","",$AL1047),IF($AK1047="","",$AK1047)))),IF(AND(ABS($AC1047-significance_bar)&lt;=2.0*IF($V1047,IF($AL1047="","",$AL1047),IF($AK1047="","",$AK1047)),OR($Y1047="worse",$Y1047="worse, not significant",AND(profit_kind="test",$Y1047="in line",ISNUMBER($AB1047),$AB1047&lt;0))),IF(ROUND($AC1047,3)=ROUND(significance_bar,3),TEXT($AC1047,"0.0000"),TEXT($AC1047,"0.000")),""),"")</f>
        <v/>
      </c>
      <c r="AO1047">
        <f>IF(OR($AI1047="",$AN1047=""),$AI1047,$AI1047&amp;" · borderline (p "&amp;$AN1047&amp;")")</f>
        <v/>
      </c>
    </row>
    <row r="1048">
      <c r="A1048" t="inlineStr">
        <is>
          <t>three-way</t>
        </is>
      </c>
      <c r="B1048" t="inlineStr">
        <is>
          <t>ORIG_BAL x ASSET_CLASS / SYS_FLAG</t>
        </is>
      </c>
      <c r="C1048" t="inlineStr">
        <is>
          <t>5,005 - 15,448</t>
        </is>
      </c>
      <c r="D1048" t="inlineStr">
        <is>
          <t>4 / SYS_FLAG Y</t>
        </is>
      </c>
      <c r="E1048" t="inlineStr">
        <is>
          <t>contribution_rate</t>
        </is>
      </c>
      <c r="F1048" t="inlineStr">
        <is>
          <t>Contribution before losses per booked dollar</t>
        </is>
      </c>
      <c r="G1048" t="n">
        <v>196</v>
      </c>
      <c r="H1048" t="n">
        <v>1972333.82</v>
      </c>
      <c r="I1048" t="b">
        <v>0</v>
      </c>
      <c r="J1048" t="b">
        <v>0</v>
      </c>
      <c r="K1048" t="n">
        <v>0.01893233885379436</v>
      </c>
      <c r="L1048" t="n">
        <v>0.2624737526247375</v>
      </c>
      <c r="M1048" t="n">
        <v>0.0003445991410045979</v>
      </c>
      <c r="N1048" t="n">
        <v>0.9712028797120288</v>
      </c>
      <c r="O1048" t="n">
        <v>-37340.89221303863</v>
      </c>
      <c r="P1048" t="n">
        <v>-679.6645401463029</v>
      </c>
      <c r="Q1048">
        <f>'_live'!$C$24</f>
        <v/>
      </c>
      <c r="R1048" t="inlineStr">
        <is>
          <t>shuffled: 524 of 10,000</t>
        </is>
      </c>
      <c r="S1048" t="inlineStr">
        <is>
          <t>shuffled: 9,712 of 10,000</t>
        </is>
      </c>
      <c r="T1048" t="n">
        <v>0.1694477397274268</v>
      </c>
      <c r="U1048" t="n">
        <v>0.1880354794402165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0.1883800785812211</v>
      </c>
      <c r="AI1048">
        <f>IF($Y1048="worse","Yes",IF($Y1048="worse, not significant","Not sure",IF(OR($Y1048="too few losses to test",$Y1048="too few loans to test"),"Too few losses",IF($Y1048="","","No"))))</f>
        <v/>
      </c>
      <c r="AJ1048">
        <f>IF($AA1048="yes","Yes",IF($AA1048="","","No"))</f>
        <v/>
      </c>
      <c r="AK1048" t="n">
        <v>0.01115112681439314</v>
      </c>
      <c r="AL1048" t="n">
        <v>0.001672358997078418</v>
      </c>
      <c r="AM1048">
        <f>IF(AND(ISNUMBER($AC1048),ISNUMBER(IF($V1048,IF($AL1048="","",$AL1048),IF($AK1048="","",$AK1048)))),IF(AND(ABS($AC1048-significance_bar)&lt;=2.0*IF($V1048,IF($AL1048="","",$AL1048),IF($AK1048="","",$AK1048)),OR($Y1048="worse",$Y1048="better",$Y1048="worse, not significant",$Y1048="better, not significant",AND(profit_kind="test",$Y1048="in line",ISNUMBER($AB1048),$AB1048&lt;&gt;0))),IF(ROUND($AC1048,3)=ROUND(significance_bar,3),TEXT($AC1048,"0.0000"),TEXT($AC1048,"0.000")),""),"")</f>
        <v/>
      </c>
      <c r="AN1048">
        <f>IF(AND(ISNUMBER($AC1048),ISNUMBER(IF($V1048,IF($AL1048="","",$AL1048),IF($AK1048="","",$AK1048)))),IF(AND(ABS($AC1048-significance_bar)&lt;=2.0*IF($V1048,IF($AL1048="","",$AL1048),IF($AK1048="","",$AK1048)),OR($Y1048="worse",$Y1048="worse, not significant",AND(profit_kind="test",$Y1048="in line",ISNUMBER($AB1048),$AB1048&lt;0))),IF(ROUND($AC1048,3)=ROUND(significance_bar,3),TEXT($AC1048,"0.0000"),TEXT($AC1048,"0.000")),""),"")</f>
        <v/>
      </c>
      <c r="AO1048">
        <f>IF(OR($AI1048="",$AN1048=""),$AI1048,$AI1048&amp;" · borderline (p "&amp;$AN1048&amp;")")</f>
        <v/>
      </c>
    </row>
    <row r="1049">
      <c r="A1049" t="inlineStr">
        <is>
          <t>three-way</t>
        </is>
      </c>
      <c r="B1049" t="inlineStr">
        <is>
          <t>ORIG_BAL x ASSET_CLASS / SYS_FLAG</t>
        </is>
      </c>
      <c r="C1049" t="inlineStr">
        <is>
          <t>5,005 - 15,448</t>
        </is>
      </c>
      <c r="D1049" t="inlineStr">
        <is>
          <t>2 / SYS_FLAG N</t>
        </is>
      </c>
      <c r="E1049" t="inlineStr">
        <is>
          <t>outcome_loans</t>
        </is>
      </c>
      <c r="F1049" t="inlineStr">
        <is>
          <t>Outcome, share of loans</t>
        </is>
      </c>
      <c r="G1049" t="n">
        <v>244</v>
      </c>
      <c r="H1049" t="n">
        <v>244</v>
      </c>
      <c r="I1049" t="b">
        <v>0</v>
      </c>
      <c r="J1049" t="b">
        <v>0</v>
      </c>
      <c r="K1049" t="n">
        <v>0.5218848421222644</v>
      </c>
      <c r="L1049" t="n">
        <v>0.1636195378737033</v>
      </c>
      <c r="M1049" t="n">
        <v>0.4918032786885246</v>
      </c>
      <c r="N1049" t="n">
        <v>0.1186625573973711</v>
      </c>
      <c r="O1049" t="n">
        <v>-9.161315280464216</v>
      </c>
      <c r="P1049" t="n">
        <v>-10.33333333333333</v>
      </c>
      <c r="Q1049">
        <f>'_live'!$C$20</f>
        <v/>
      </c>
      <c r="R1049" t="inlineStr">
        <is>
          <t>z test</t>
        </is>
      </c>
      <c r="S1049" t="inlineStr">
        <is>
          <t>z test</t>
        </is>
      </c>
      <c r="T1049" t="n">
        <v>0.07852998065764023</v>
      </c>
      <c r="U1049" t="n">
        <v>0.08333333333333333</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0.04098360655737705</v>
      </c>
      <c r="AI1049">
        <f>IF($Y1049="worse","Yes",IF($Y1049="worse, not significant","Not sure",IF(OR($Y1049="too few losses to test",$Y1049="too few loans to test"),"Too few losses",IF($Y1049="","","No"))))</f>
        <v/>
      </c>
      <c r="AJ1049">
        <f>IF($AA1049="yes","Yes",IF($AA1049="","","No"))</f>
        <v/>
      </c>
      <c r="AM1049">
        <f>IF(AND(ISNUMBER($AC1049),ISNUMBER(IF($V1049,IF($AL1049="","",$AL1049),IF($AK1049="","",$AK1049)))),IF(AND(ABS($AC1049-significance_bar)&lt;=2.0*IF($V1049,IF($AL1049="","",$AL1049),IF($AK1049="","",$AK1049)),OR($Y1049="worse",$Y1049="better",$Y1049="worse, not significant",$Y1049="better, not significant")),IF(ROUND($AC1049,3)=ROUND(significance_bar,3),TEXT($AC1049,"0.0000"),TEXT($AC1049,"0.000")),""),"")</f>
        <v/>
      </c>
      <c r="AN1049">
        <f>IF(AND(ISNUMBER($AC1049),ISNUMBER(IF($V1049,IF($AL1049="","",$AL1049),IF($AK1049="","",$AK1049)))),IF(AND(ABS($AC1049-significance_bar)&lt;=2.0*IF($V1049,IF($AL1049="","",$AL1049),IF($AK1049="","",$AK1049)),OR($Y1049="worse",$Y1049="worse, not significant")),IF(ROUND($AC1049,3)=ROUND(significance_bar,3),TEXT($AC1049,"0.0000"),TEXT($AC1049,"0.000")),""),"")</f>
        <v/>
      </c>
      <c r="AO1049">
        <f>IF(OR($AI1049="",$AN1049=""),$AI1049,$AI1049&amp;" · borderline (p "&amp;$AN1049&amp;")")</f>
        <v/>
      </c>
    </row>
    <row r="1050">
      <c r="A1050" t="inlineStr">
        <is>
          <t>three-way</t>
        </is>
      </c>
      <c r="B1050" t="inlineStr">
        <is>
          <t>ORIG_BAL x ASSET_CLASS / SYS_FLAG</t>
        </is>
      </c>
      <c r="C1050" t="inlineStr">
        <is>
          <t>5,005 - 15,448</t>
        </is>
      </c>
      <c r="D1050" t="inlineStr">
        <is>
          <t>2 / SYS_FLAG N</t>
        </is>
      </c>
      <c r="E1050" t="inlineStr">
        <is>
          <t>outcome_booked</t>
        </is>
      </c>
      <c r="F1050" t="inlineStr">
        <is>
          <t>Outcome, share of booked dollars</t>
        </is>
      </c>
      <c r="G1050" t="n">
        <v>244</v>
      </c>
      <c r="H1050" t="n">
        <v>2492552.969999998</v>
      </c>
      <c r="I1050" t="b">
        <v>0</v>
      </c>
      <c r="J1050" t="b">
        <v>0</v>
      </c>
      <c r="K1050" t="n">
        <v>0.5082261800322611</v>
      </c>
      <c r="L1050" t="n">
        <v>0.2349479337780508</v>
      </c>
      <c r="M1050" t="n">
        <v>0.4640008633150221</v>
      </c>
      <c r="N1050" t="n">
        <v>0.111988801119888</v>
      </c>
      <c r="O1050" t="n">
        <v>-92160.96246020721</v>
      </c>
      <c r="P1050" t="n">
        <v>-110023.1135983348</v>
      </c>
      <c r="Q1050">
        <f>'_live'!$C$21</f>
        <v/>
      </c>
      <c r="R1050" t="inlineStr">
        <is>
          <t>shuffled: 474 of 10,000</t>
        </is>
      </c>
      <c r="S1050" t="inlineStr">
        <is>
          <t>shuffled: 174 of 10,000</t>
        </is>
      </c>
      <c r="T1050" t="n">
        <v>0.07518603805647804</v>
      </c>
      <c r="U1050" t="n">
        <v>0.08235224529584821</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0.03821151291320404</v>
      </c>
      <c r="AI1050">
        <f>IF($Y1050="worse","Yes",IF($Y1050="worse, not significant","Not sure",IF(OR($Y1050="too few losses to test",$Y1050="too few loans to test"),"Too few losses",IF($Y1050="","","No"))))</f>
        <v/>
      </c>
      <c r="AJ1050">
        <f>IF($AA1050="yes","Yes",IF($AA1050="","","No"))</f>
        <v/>
      </c>
      <c r="AK1050" t="n">
        <v>0.01009379594446269</v>
      </c>
      <c r="AL1050" t="n">
        <v>0.008391584091165466</v>
      </c>
      <c r="AM1050">
        <f>IF(AND(ISNUMBER($AC1050),ISNUMBER(IF($V1050,IF($AL1050="","",$AL1050),IF($AK1050="","",$AK1050)))),IF(AND(ABS($AC1050-significance_bar)&lt;=2.0*IF($V1050,IF($AL1050="","",$AL1050),IF($AK1050="","",$AK1050)),OR($Y1050="worse",$Y1050="better",$Y1050="worse, not significant",$Y1050="better, not significant")),IF(ROUND($AC1050,3)=ROUND(significance_bar,3),TEXT($AC1050,"0.0000"),TEXT($AC1050,"0.000")),""),"")</f>
        <v/>
      </c>
      <c r="AN1050">
        <f>IF(AND(ISNUMBER($AC1050),ISNUMBER(IF($V1050,IF($AL1050="","",$AL1050),IF($AK1050="","",$AK1050)))),IF(AND(ABS($AC1050-significance_bar)&lt;=2.0*IF($V1050,IF($AL1050="","",$AL1050),IF($AK1050="","",$AK1050)),OR($Y1050="worse",$Y1050="worse, not significant")),IF(ROUND($AC1050,3)=ROUND(significance_bar,3),TEXT($AC1050,"0.0000"),TEXT($AC1050,"0.000")),""),"")</f>
        <v/>
      </c>
      <c r="AO1050">
        <f>IF(OR($AI1050="",$AN1050=""),$AI1050,$AI1050&amp;" · borderline (p "&amp;$AN1050&amp;")")</f>
        <v/>
      </c>
    </row>
    <row r="1051">
      <c r="A1051" t="inlineStr">
        <is>
          <t>three-way</t>
        </is>
      </c>
      <c r="B1051" t="inlineStr">
        <is>
          <t>ORIG_BAL x ASSET_CLASS / SYS_FLAG</t>
        </is>
      </c>
      <c r="C1051" t="inlineStr">
        <is>
          <t>5,005 - 15,448</t>
        </is>
      </c>
      <c r="D1051" t="inlineStr">
        <is>
          <t>2 / SYS_FLAG N</t>
        </is>
      </c>
      <c r="E1051" t="inlineStr">
        <is>
          <t>gco_rate</t>
        </is>
      </c>
      <c r="F1051" t="inlineStr">
        <is>
          <t>GCO per booked dollar</t>
        </is>
      </c>
      <c r="G1051" t="n">
        <v>244</v>
      </c>
      <c r="H1051" t="n">
        <v>2492552.969999998</v>
      </c>
      <c r="I1051" t="b">
        <v>0</v>
      </c>
      <c r="J1051" t="b">
        <v>0</v>
      </c>
      <c r="K1051" t="n">
        <v>0.4903066612844483</v>
      </c>
      <c r="L1051" t="n">
        <v>0.193980601939806</v>
      </c>
      <c r="M1051" t="n">
        <v>0.4536639986877141</v>
      </c>
      <c r="N1051" t="n">
        <v>0.1273472652734726</v>
      </c>
      <c r="O1051" t="n">
        <v>-53118.43071298716</v>
      </c>
      <c r="P1051" t="n">
        <v>-61536.04430267353</v>
      </c>
      <c r="Q1051">
        <f>'_live'!$C$22</f>
        <v/>
      </c>
      <c r="R1051" t="inlineStr">
        <is>
          <t>shuffled: 454 of 10,000</t>
        </is>
      </c>
      <c r="S1051" t="inlineStr">
        <is>
          <t>shuffled: 198 of 10,000</t>
        </is>
      </c>
      <c r="T1051" t="n">
        <v>0.04181112777434264</v>
      </c>
      <c r="U1051" t="n">
        <v>0.04518823297170436</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0.02050027446357541</v>
      </c>
      <c r="AI1051">
        <f>IF($Y1051="worse","Yes",IF($Y1051="worse, not significant","Not sure",IF(OR($Y1051="too few losses to test",$Y1051="too few loans to test"),"Too few losses",IF($Y1051="","","No"))))</f>
        <v/>
      </c>
      <c r="AJ1051">
        <f>IF($AA1051="yes","Yes",IF($AA1051="","","No"))</f>
        <v/>
      </c>
      <c r="AK1051" t="n">
        <v>0.008592403236756843</v>
      </c>
      <c r="AL1051" t="n">
        <v>0.008937590121378316</v>
      </c>
      <c r="AM1051">
        <f>IF(AND(ISNUMBER($AC1051),ISNUMBER(IF($V1051,IF($AL1051="","",$AL1051),IF($AK1051="","",$AK1051)))),IF(AND(ABS($AC1051-significance_bar)&lt;=2.0*IF($V1051,IF($AL1051="","",$AL1051),IF($AK1051="","",$AK1051)),OR($Y1051="worse",$Y1051="better",$Y1051="worse, not significant",$Y1051="better, not significant")),IF(ROUND($AC1051,3)=ROUND(significance_bar,3),TEXT($AC1051,"0.0000"),TEXT($AC1051,"0.000")),""),"")</f>
        <v/>
      </c>
      <c r="AN1051">
        <f>IF(AND(ISNUMBER($AC1051),ISNUMBER(IF($V1051,IF($AL1051="","",$AL1051),IF($AK1051="","",$AK1051)))),IF(AND(ABS($AC1051-significance_bar)&lt;=2.0*IF($V1051,IF($AL1051="","",$AL1051),IF($AK1051="","",$AK1051)),OR($Y1051="worse",$Y1051="worse, not significant")),IF(ROUND($AC1051,3)=ROUND(significance_bar,3),TEXT($AC1051,"0.0000"),TEXT($AC1051,"0.000")),""),"")</f>
        <v/>
      </c>
      <c r="AO1051">
        <f>IF(OR($AI1051="",$AN1051=""),$AI1051,$AI1051&amp;" · borderline (p "&amp;$AN1051&amp;")")</f>
        <v/>
      </c>
    </row>
    <row r="1052">
      <c r="A1052" t="inlineStr">
        <is>
          <t>three-way</t>
        </is>
      </c>
      <c r="B1052" t="inlineStr">
        <is>
          <t>ORIG_BAL x ASSET_CLASS / SYS_FLAG</t>
        </is>
      </c>
      <c r="C1052" t="inlineStr">
        <is>
          <t>5,005 - 15,448</t>
        </is>
      </c>
      <c r="D1052" t="inlineStr">
        <is>
          <t>2 / SYS_FLAG N</t>
        </is>
      </c>
      <c r="E1052" t="inlineStr">
        <is>
          <t>ranr_rate</t>
        </is>
      </c>
      <c r="F1052" t="inlineStr">
        <is>
          <t>Profit after losses: RANR per booked dollar</t>
        </is>
      </c>
      <c r="G1052" t="n">
        <v>244</v>
      </c>
      <c r="H1052" t="n">
        <v>2492552.969999998</v>
      </c>
      <c r="I1052" t="b">
        <v>0</v>
      </c>
      <c r="J1052" t="b">
        <v>0</v>
      </c>
      <c r="K1052" t="n">
        <v>0.03263030099964462</v>
      </c>
      <c r="L1052" t="n">
        <v>0.1223877612238776</v>
      </c>
      <c r="M1052" t="n">
        <v>0.01609694430289327</v>
      </c>
      <c r="N1052" t="n">
        <v>0.4690057310058468</v>
      </c>
      <c r="O1052" t="n">
        <v>-81332.75366865809</v>
      </c>
      <c r="P1052" t="n">
        <v>-40122.48633010121</v>
      </c>
      <c r="Q1052">
        <f>'_live'!$C$23</f>
        <v/>
      </c>
      <c r="R1052" t="inlineStr">
        <is>
          <t>shuffled: 152 of 10,000</t>
        </is>
      </c>
      <c r="S1052" t="inlineStr">
        <is>
          <t>shuffled: 2,227 of 10,000</t>
        </is>
      </c>
      <c r="T1052" t="n">
        <v>0.1276748900270482</v>
      </c>
      <c r="U1052" t="n">
        <v>0.1442082467237995</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0.1603051910266928</v>
      </c>
      <c r="AI1052">
        <f>IF($Y1052="worse","Yes",IF($Y1052="worse, not significant","Not sure",IF(OR($Y1052="too few losses to test",$Y1052="too few loans to test"),"Too few losses",IF($Y1052="","","No"))))</f>
        <v/>
      </c>
      <c r="AJ1052">
        <f>IF($AA1052="yes","Yes",IF($AA1052="","","No"))</f>
        <v/>
      </c>
      <c r="AK1052" t="n">
        <v>0.009818978183566904</v>
      </c>
      <c r="AL1052" t="n">
        <v>0.008760217523622172</v>
      </c>
      <c r="AM1052">
        <f>IF(AND(ISNUMBER($AC1052),ISNUMBER(IF($V1052,IF($AL1052="","",$AL1052),IF($AK1052="","",$AK1052)))),IF(AND(ABS($AC1052-significance_bar)&lt;=2.0*IF($V1052,IF($AL1052="","",$AL1052),IF($AK1052="","",$AK1052)),OR($Y1052="worse",$Y1052="better",$Y1052="worse, not significant",$Y1052="better, not significant",AND(profit_kind="test",$Y1052="in line",ISNUMBER($AB1052),$AB1052&lt;&gt;0))),IF(ROUND($AC1052,3)=ROUND(significance_bar,3),TEXT($AC1052,"0.0000"),TEXT($AC1052,"0.000")),""),"")</f>
        <v/>
      </c>
      <c r="AN1052">
        <f>IF(AND(ISNUMBER($AC1052),ISNUMBER(IF($V1052,IF($AL1052="","",$AL1052),IF($AK1052="","",$AK1052)))),IF(AND(ABS($AC1052-significance_bar)&lt;=2.0*IF($V1052,IF($AL1052="","",$AL1052),IF($AK1052="","",$AK1052)),OR($Y1052="worse",$Y1052="worse, not significant",AND(profit_kind="test",$Y1052="in line",ISNUMBER($AB1052),$AB1052&lt;0))),IF(ROUND($AC1052,3)=ROUND(significance_bar,3),TEXT($AC1052,"0.0000"),TEXT($AC1052,"0.000")),""),"")</f>
        <v/>
      </c>
      <c r="AO1052">
        <f>IF(OR($AI1052="",$AN1052=""),$AI1052,$AI1052&amp;" · borderline (p "&amp;$AN1052&amp;")")</f>
        <v/>
      </c>
    </row>
    <row r="1053">
      <c r="A1053" t="inlineStr">
        <is>
          <t>three-way</t>
        </is>
      </c>
      <c r="B1053" t="inlineStr">
        <is>
          <t>ORIG_BAL x ASSET_CLASS / SYS_FLAG</t>
        </is>
      </c>
      <c r="C1053" t="inlineStr">
        <is>
          <t>5,005 - 15,448</t>
        </is>
      </c>
      <c r="D1053" t="inlineStr">
        <is>
          <t>2 / SYS_FLAG N</t>
        </is>
      </c>
      <c r="E1053" t="inlineStr">
        <is>
          <t>contribution_rate</t>
        </is>
      </c>
      <c r="F1053" t="inlineStr">
        <is>
          <t>Contribution before losses per booked dollar</t>
        </is>
      </c>
      <c r="G1053" t="n">
        <v>244</v>
      </c>
      <c r="H1053" t="n">
        <v>2492552.969999998</v>
      </c>
      <c r="I1053" t="b">
        <v>0</v>
      </c>
      <c r="J1053" t="b">
        <v>0</v>
      </c>
      <c r="K1053" t="n">
        <v>0.01132238376892661</v>
      </c>
      <c r="L1053" t="n">
        <v>0.673599306735993</v>
      </c>
      <c r="M1053" t="n">
        <v>-0.008591014205235614</v>
      </c>
      <c r="N1053" t="n">
        <v>0.798978925636848</v>
      </c>
      <c r="O1053" t="n">
        <v>-28221.64129071776</v>
      </c>
      <c r="P1053" t="n">
        <v>21413.55797257222</v>
      </c>
      <c r="Q1053">
        <f>'_live'!$C$24</f>
        <v/>
      </c>
      <c r="R1053" t="inlineStr">
        <is>
          <t>shuffled: 1,907 of 10,000</t>
        </is>
      </c>
      <c r="S1053" t="inlineStr">
        <is>
          <t>shuffled: 3,355 of 10,000</t>
        </is>
      </c>
      <c r="T1053" t="n">
        <v>0.1694830817213416</v>
      </c>
      <c r="U1053" t="n">
        <v>0.1893964796955038</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0.1808054654902682</v>
      </c>
      <c r="AI1053">
        <f>IF($Y1053="worse","Yes",IF($Y1053="worse, not significant","Not sure",IF(OR($Y1053="too few losses to test",$Y1053="too few loans to test"),"Too few losses",IF($Y1053="","","No"))))</f>
        <v/>
      </c>
      <c r="AJ1053">
        <f>IF($AA1053="yes","Yes",IF($AA1053="","","No"))</f>
        <v/>
      </c>
      <c r="AK1053" t="n">
        <v>0.01338504761447676</v>
      </c>
      <c r="AL1053" t="n">
        <v>0.0111426347407216</v>
      </c>
      <c r="AM1053">
        <f>IF(AND(ISNUMBER($AC1053),ISNUMBER(IF($V1053,IF($AL1053="","",$AL1053),IF($AK1053="","",$AK1053)))),IF(AND(ABS($AC1053-significance_bar)&lt;=2.0*IF($V1053,IF($AL1053="","",$AL1053),IF($AK1053="","",$AK1053)),OR($Y1053="worse",$Y1053="better",$Y1053="worse, not significant",$Y1053="better, not significant",AND(profit_kind="test",$Y1053="in line",ISNUMBER($AB1053),$AB1053&lt;&gt;0))),IF(ROUND($AC1053,3)=ROUND(significance_bar,3),TEXT($AC1053,"0.0000"),TEXT($AC1053,"0.000")),""),"")</f>
        <v/>
      </c>
      <c r="AN1053">
        <f>IF(AND(ISNUMBER($AC1053),ISNUMBER(IF($V1053,IF($AL1053="","",$AL1053),IF($AK1053="","",$AK1053)))),IF(AND(ABS($AC1053-significance_bar)&lt;=2.0*IF($V1053,IF($AL1053="","",$AL1053),IF($AK1053="","",$AK1053)),OR($Y1053="worse",$Y1053="worse, not significant",AND(profit_kind="test",$Y1053="in line",ISNUMBER($AB1053),$AB1053&lt;0))),IF(ROUND($AC1053,3)=ROUND(significance_bar,3),TEXT($AC1053,"0.0000"),TEXT($AC1053,"0.000")),""),"")</f>
        <v/>
      </c>
      <c r="AO1053">
        <f>IF(OR($AI1053="",$AN1053=""),$AI1053,$AI1053&amp;" · borderline (p "&amp;$AN1053&amp;")")</f>
        <v/>
      </c>
    </row>
    <row r="1054">
      <c r="A1054" t="inlineStr">
        <is>
          <t>three-way</t>
        </is>
      </c>
      <c r="B1054" t="inlineStr">
        <is>
          <t>ORIG_BAL x ASSET_CLASS / SYS_FLAG</t>
        </is>
      </c>
      <c r="C1054" t="inlineStr">
        <is>
          <t>49,152 - 59,984</t>
        </is>
      </c>
      <c r="D1054" t="inlineStr">
        <is>
          <t>1 / SYS_FLAG Y</t>
        </is>
      </c>
      <c r="E1054" t="inlineStr">
        <is>
          <t>outcome_loans</t>
        </is>
      </c>
      <c r="F1054" t="inlineStr">
        <is>
          <t>Outcome, share of loans</t>
        </is>
      </c>
      <c r="G1054" t="n">
        <v>195</v>
      </c>
      <c r="H1054" t="n">
        <v>195</v>
      </c>
      <c r="I1054" t="b">
        <v>0</v>
      </c>
      <c r="J1054" t="b">
        <v>0</v>
      </c>
      <c r="K1054" t="n">
        <v>1.405402624131721</v>
      </c>
      <c r="L1054" t="n">
        <v>0.3481809885458851</v>
      </c>
      <c r="M1054" t="n">
        <v>1.845215759849906</v>
      </c>
      <c r="N1054" t="n">
        <v>0.06826493691618253</v>
      </c>
      <c r="O1054" t="n">
        <v>6.057662737057919</v>
      </c>
      <c r="P1054" t="n">
        <v>9.619217081850534</v>
      </c>
      <c r="Q1054">
        <f>'_live'!$C$20</f>
        <v/>
      </c>
      <c r="R1054" t="inlineStr">
        <is>
          <t>z test</t>
        </is>
      </c>
      <c r="S1054" t="inlineStr">
        <is>
          <t>z test</t>
        </is>
      </c>
      <c r="T1054" t="n">
        <v>0.07662737057919015</v>
      </c>
      <c r="U1054" t="n">
        <v>0.05836298932384341</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0.1076923076923077</v>
      </c>
      <c r="AI1054">
        <f>IF($Y1054="worse","Yes",IF($Y1054="worse, not significant","Not sure",IF(OR($Y1054="too few losses to test",$Y1054="too few loans to test"),"Too few losses",IF($Y1054="","","No"))))</f>
        <v/>
      </c>
      <c r="AJ1054">
        <f>IF($AA1054="yes","Yes",IF($AA1054="","","No"))</f>
        <v/>
      </c>
      <c r="AM1054">
        <f>IF(AND(ISNUMBER($AC1054),ISNUMBER(IF($V1054,IF($AL1054="","",$AL1054),IF($AK1054="","",$AK1054)))),IF(AND(ABS($AC1054-significance_bar)&lt;=2.0*IF($V1054,IF($AL1054="","",$AL1054),IF($AK1054="","",$AK1054)),OR($Y1054="worse",$Y1054="better",$Y1054="worse, not significant",$Y1054="better, not significant")),IF(ROUND($AC1054,3)=ROUND(significance_bar,3),TEXT($AC1054,"0.0000"),TEXT($AC1054,"0.000")),""),"")</f>
        <v/>
      </c>
      <c r="AN1054">
        <f>IF(AND(ISNUMBER($AC1054),ISNUMBER(IF($V1054,IF($AL1054="","",$AL1054),IF($AK1054="","",$AK1054)))),IF(AND(ABS($AC1054-significance_bar)&lt;=2.0*IF($V1054,IF($AL1054="","",$AL1054),IF($AK1054="","",$AK1054)),OR($Y1054="worse",$Y1054="worse, not significant")),IF(ROUND($AC1054,3)=ROUND(significance_bar,3),TEXT($AC1054,"0.0000"),TEXT($AC1054,"0.000")),""),"")</f>
        <v/>
      </c>
      <c r="AO1054">
        <f>IF(OR($AI1054="",$AN1054=""),$AI1054,$AI1054&amp;" · borderline (p "&amp;$AN1054&amp;")")</f>
        <v/>
      </c>
    </row>
    <row r="1055">
      <c r="A1055" t="inlineStr">
        <is>
          <t>three-way</t>
        </is>
      </c>
      <c r="B1055" t="inlineStr">
        <is>
          <t>ORIG_BAL x ASSET_CLASS / SYS_FLAG</t>
        </is>
      </c>
      <c r="C1055" t="inlineStr">
        <is>
          <t>49,152 - 59,984</t>
        </is>
      </c>
      <c r="D1055" t="inlineStr">
        <is>
          <t>1 / SYS_FLAG Y</t>
        </is>
      </c>
      <c r="E1055" t="inlineStr">
        <is>
          <t>outcome_booked</t>
        </is>
      </c>
      <c r="F1055" t="inlineStr">
        <is>
          <t>Outcome, share of booked dollars</t>
        </is>
      </c>
      <c r="G1055" t="n">
        <v>195</v>
      </c>
      <c r="H1055" t="n">
        <v>10616160.39</v>
      </c>
      <c r="I1055" t="b">
        <v>0</v>
      </c>
      <c r="J1055" t="b">
        <v>0</v>
      </c>
      <c r="K1055" t="n">
        <v>1.477291743551684</v>
      </c>
      <c r="L1055" t="n">
        <v>0.3065293470652935</v>
      </c>
      <c r="M1055" t="n">
        <v>1.847118039270723</v>
      </c>
      <c r="N1055" t="n">
        <v>0.06079392060793921</v>
      </c>
      <c r="O1055" t="n">
        <v>371856.1049589476</v>
      </c>
      <c r="P1055" t="n">
        <v>527845.1617072549</v>
      </c>
      <c r="Q1055">
        <f>'_live'!$C$21</f>
        <v/>
      </c>
      <c r="R1055" t="inlineStr">
        <is>
          <t>shuffled: 934 of 10,000</t>
        </is>
      </c>
      <c r="S1055" t="inlineStr">
        <is>
          <t>shuffled: 75 of 10,000</t>
        </is>
      </c>
      <c r="T1055" t="n">
        <v>0.07338774155813715</v>
      </c>
      <c r="U1055" t="n">
        <v>0.05869419407789723</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0.1084151046817408</v>
      </c>
      <c r="AI1055">
        <f>IF($Y1055="worse","Yes",IF($Y1055="worse, not significant","Not sure",IF(OR($Y1055="too few losses to test",$Y1055="too few loans to test"),"Too few losses",IF($Y1055="","","No"))))</f>
        <v/>
      </c>
      <c r="AJ1055">
        <f>IF($AA1055="yes","Yes",IF($AA1055="","","No"))</f>
        <v/>
      </c>
      <c r="AK1055" t="n">
        <v>0.009417715593479471</v>
      </c>
      <c r="AL1055" t="n">
        <v>0.006947340959537175</v>
      </c>
      <c r="AM1055">
        <f>IF(AND(ISNUMBER($AC1055),ISNUMBER(IF($V1055,IF($AL1055="","",$AL1055),IF($AK1055="","",$AK1055)))),IF(AND(ABS($AC1055-significance_bar)&lt;=2.0*IF($V1055,IF($AL1055="","",$AL1055),IF($AK1055="","",$AK1055)),OR($Y1055="worse",$Y1055="better",$Y1055="worse, not significant",$Y1055="better, not significant")),IF(ROUND($AC1055,3)=ROUND(significance_bar,3),TEXT($AC1055,"0.0000"),TEXT($AC1055,"0.000")),""),"")</f>
        <v/>
      </c>
      <c r="AN1055">
        <f>IF(AND(ISNUMBER($AC1055),ISNUMBER(IF($V1055,IF($AL1055="","",$AL1055),IF($AK1055="","",$AK1055)))),IF(AND(ABS($AC1055-significance_bar)&lt;=2.0*IF($V1055,IF($AL1055="","",$AL1055),IF($AK1055="","",$AK1055)),OR($Y1055="worse",$Y1055="worse, not significant")),IF(ROUND($AC1055,3)=ROUND(significance_bar,3),TEXT($AC1055,"0.0000"),TEXT($AC1055,"0.000")),""),"")</f>
        <v/>
      </c>
      <c r="AO1055">
        <f>IF(OR($AI1055="",$AN1055=""),$AI1055,$AI1055&amp;" · borderline (p "&amp;$AN1055&amp;")")</f>
        <v/>
      </c>
    </row>
    <row r="1056">
      <c r="A1056" t="inlineStr">
        <is>
          <t>three-way</t>
        </is>
      </c>
      <c r="B1056" t="inlineStr">
        <is>
          <t>ORIG_BAL x ASSET_CLASS / SYS_FLAG</t>
        </is>
      </c>
      <c r="C1056" t="inlineStr">
        <is>
          <t>49,152 - 59,984</t>
        </is>
      </c>
      <c r="D1056" t="inlineStr">
        <is>
          <t>1 / SYS_FLAG Y</t>
        </is>
      </c>
      <c r="E1056" t="inlineStr">
        <is>
          <t>gco_rate</t>
        </is>
      </c>
      <c r="F1056" t="inlineStr">
        <is>
          <t>GCO per booked dollar</t>
        </is>
      </c>
      <c r="G1056" t="n">
        <v>195</v>
      </c>
      <c r="H1056" t="n">
        <v>10616160.39</v>
      </c>
      <c r="I1056" t="b">
        <v>0</v>
      </c>
      <c r="J1056" t="b">
        <v>0</v>
      </c>
      <c r="K1056" t="n">
        <v>1.448735242629443</v>
      </c>
      <c r="L1056" t="n">
        <v>0.3986801319868013</v>
      </c>
      <c r="M1056" t="n">
        <v>1.833156520307234</v>
      </c>
      <c r="N1056" t="n">
        <v>0.08799120087991201</v>
      </c>
      <c r="O1056" t="n">
        <v>194608.1040146151</v>
      </c>
      <c r="P1056" t="n">
        <v>285553.0589499332</v>
      </c>
      <c r="Q1056">
        <f>'_live'!$C$22</f>
        <v/>
      </c>
      <c r="R1056" t="inlineStr">
        <is>
          <t>shuffled: 1,245 of 10,000</t>
        </is>
      </c>
      <c r="S1056" t="inlineStr">
        <is>
          <t>shuffled: 109 of 10,000</t>
        </is>
      </c>
      <c r="T1056" t="n">
        <v>0.04085105443526414</v>
      </c>
      <c r="U1056" t="n">
        <v>0.03228440212460532</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0.05918236225894098</v>
      </c>
      <c r="AI1056">
        <f>IF($Y1056="worse","Yes",IF($Y1056="worse, not significant","Not sure",IF(OR($Y1056="too few losses to test",$Y1056="too few loans to test"),"Too few losses",IF($Y1056="","","No"))))</f>
        <v/>
      </c>
      <c r="AJ1056">
        <f>IF($AA1056="yes","Yes",IF($AA1056="","","No"))</f>
        <v/>
      </c>
      <c r="AK1056" t="n">
        <v>0.01056802050867025</v>
      </c>
      <c r="AL1056" t="n">
        <v>0.008343783048515865</v>
      </c>
      <c r="AM1056">
        <f>IF(AND(ISNUMBER($AC1056),ISNUMBER(IF($V1056,IF($AL1056="","",$AL1056),IF($AK1056="","",$AK1056)))),IF(AND(ABS($AC1056-significance_bar)&lt;=2.0*IF($V1056,IF($AL1056="","",$AL1056),IF($AK1056="","",$AK1056)),OR($Y1056="worse",$Y1056="better",$Y1056="worse, not significant",$Y1056="better, not significant")),IF(ROUND($AC1056,3)=ROUND(significance_bar,3),TEXT($AC1056,"0.0000"),TEXT($AC1056,"0.000")),""),"")</f>
        <v/>
      </c>
      <c r="AN1056">
        <f>IF(AND(ISNUMBER($AC1056),ISNUMBER(IF($V1056,IF($AL1056="","",$AL1056),IF($AK1056="","",$AK1056)))),IF(AND(ABS($AC1056-significance_bar)&lt;=2.0*IF($V1056,IF($AL1056="","",$AL1056),IF($AK1056="","",$AK1056)),OR($Y1056="worse",$Y1056="worse, not significant")),IF(ROUND($AC1056,3)=ROUND(significance_bar,3),TEXT($AC1056,"0.0000"),TEXT($AC1056,"0.000")),""),"")</f>
        <v/>
      </c>
      <c r="AO1056">
        <f>IF(OR($AI1056="",$AN1056=""),$AI1056,$AI1056&amp;" · borderline (p "&amp;$AN1056&amp;")")</f>
        <v/>
      </c>
    </row>
    <row r="1057">
      <c r="A1057" t="inlineStr">
        <is>
          <t>three-way</t>
        </is>
      </c>
      <c r="B1057" t="inlineStr">
        <is>
          <t>ORIG_BAL x ASSET_CLASS / SYS_FLAG</t>
        </is>
      </c>
      <c r="C1057" t="inlineStr">
        <is>
          <t>49,152 - 59,984</t>
        </is>
      </c>
      <c r="D1057" t="inlineStr">
        <is>
          <t>1 / SYS_FLAG Y</t>
        </is>
      </c>
      <c r="E1057" t="inlineStr">
        <is>
          <t>ranr_rate</t>
        </is>
      </c>
      <c r="F1057" t="inlineStr">
        <is>
          <t>Profit after losses: RANR per booked dollar</t>
        </is>
      </c>
      <c r="G1057" t="n">
        <v>195</v>
      </c>
      <c r="H1057" t="n">
        <v>10616160.39</v>
      </c>
      <c r="I1057" t="b">
        <v>0</v>
      </c>
      <c r="J1057" t="b">
        <v>0</v>
      </c>
      <c r="K1057" t="n">
        <v>-0.008488245530548194</v>
      </c>
      <c r="L1057" t="n">
        <v>0.8120616509777595</v>
      </c>
      <c r="M1057" t="n">
        <v>-0.0120351924726273</v>
      </c>
      <c r="N1057" t="n">
        <v>0.65357100653571</v>
      </c>
      <c r="O1057" t="n">
        <v>90112.57598200021</v>
      </c>
      <c r="P1057" t="n">
        <v>127767.5336139321</v>
      </c>
      <c r="Q1057">
        <f>'_live'!$C$23</f>
        <v/>
      </c>
      <c r="R1057" t="inlineStr">
        <is>
          <t>shuffled: 5,630 of 10,000</t>
        </is>
      </c>
      <c r="S1057" t="inlineStr">
        <is>
          <t>shuffled: 3,594 of 10,000</t>
        </is>
      </c>
      <c r="T1057" t="n">
        <v>0.1283392305626235</v>
      </c>
      <c r="U1057" t="n">
        <v>0.1318861775047026</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0.1198509850320753</v>
      </c>
      <c r="AI1057">
        <f>IF($Y1057="worse","Yes",IF($Y1057="worse, not significant","Not sure",IF(OR($Y1057="too few losses to test",$Y1057="too few loans to test"),"Too few losses",IF($Y1057="","","No"))))</f>
        <v/>
      </c>
      <c r="AJ1057">
        <f>IF($AA1057="yes","Yes",IF($AA1057="","","No"))</f>
        <v/>
      </c>
      <c r="AK1057" t="n">
        <v>0.007075619745553362</v>
      </c>
      <c r="AL1057" t="n">
        <v>0.008724424682406955</v>
      </c>
      <c r="AM1057">
        <f>IF(AND(ISNUMBER($AC1057),ISNUMBER(IF($V1057,IF($AL1057="","",$AL1057),IF($AK1057="","",$AK1057)))),IF(AND(ABS($AC1057-significance_bar)&lt;=2.0*IF($V1057,IF($AL1057="","",$AL1057),IF($AK1057="","",$AK1057)),OR($Y1057="worse",$Y1057="better",$Y1057="worse, not significant",$Y1057="better, not significant",AND(profit_kind="test",$Y1057="in line",ISNUMBER($AB1057),$AB1057&lt;&gt;0))),IF(ROUND($AC1057,3)=ROUND(significance_bar,3),TEXT($AC1057,"0.0000"),TEXT($AC1057,"0.000")),""),"")</f>
        <v/>
      </c>
      <c r="AN1057">
        <f>IF(AND(ISNUMBER($AC1057),ISNUMBER(IF($V1057,IF($AL1057="","",$AL1057),IF($AK1057="","",$AK1057)))),IF(AND(ABS($AC1057-significance_bar)&lt;=2.0*IF($V1057,IF($AL1057="","",$AL1057),IF($AK1057="","",$AK1057)),OR($Y1057="worse",$Y1057="worse, not significant",AND(profit_kind="test",$Y1057="in line",ISNUMBER($AB1057),$AB1057&lt;0))),IF(ROUND($AC1057,3)=ROUND(significance_bar,3),TEXT($AC1057,"0.0000"),TEXT($AC1057,"0.000")),""),"")</f>
        <v/>
      </c>
      <c r="AO1057">
        <f>IF(OR($AI1057="",$AN1057=""),$AI1057,$AI1057&amp;" · borderline (p "&amp;$AN1057&amp;")")</f>
        <v/>
      </c>
    </row>
    <row r="1058">
      <c r="A1058" t="inlineStr">
        <is>
          <t>three-way</t>
        </is>
      </c>
      <c r="B1058" t="inlineStr">
        <is>
          <t>ORIG_BAL x ASSET_CLASS / SYS_FLAG</t>
        </is>
      </c>
      <c r="C1058" t="inlineStr">
        <is>
          <t>49,152 - 59,984</t>
        </is>
      </c>
      <c r="D1058" t="inlineStr">
        <is>
          <t>1 / SYS_FLAG Y</t>
        </is>
      </c>
      <c r="E1058" t="inlineStr">
        <is>
          <t>contribution_rate</t>
        </is>
      </c>
      <c r="F1058" t="inlineStr">
        <is>
          <t>Contribution before losses per booked dollar</t>
        </is>
      </c>
      <c r="G1058" t="n">
        <v>195</v>
      </c>
      <c r="H1058" t="n">
        <v>10616160.39</v>
      </c>
      <c r="I1058" t="b">
        <v>0</v>
      </c>
      <c r="J1058" t="b">
        <v>0</v>
      </c>
      <c r="K1058" t="n">
        <v>0.009845988218425</v>
      </c>
      <c r="L1058" t="n">
        <v>0.774705138181834</v>
      </c>
      <c r="M1058" t="n">
        <v>0.01486276766170838</v>
      </c>
      <c r="N1058" t="n">
        <v>0.5462310911765966</v>
      </c>
      <c r="O1058" t="n">
        <v>-104526.5901248502</v>
      </c>
      <c r="P1058" t="n">
        <v>-157785.5253360015</v>
      </c>
      <c r="Q1058">
        <f>'_live'!$C$24</f>
        <v/>
      </c>
      <c r="R1058" t="inlineStr">
        <is>
          <t>shuffled: 3,156 of 10,000</t>
        </is>
      </c>
      <c r="S1058" t="inlineStr">
        <is>
          <t>shuffled: 955 of 10,000</t>
        </is>
      </c>
      <c r="T1058" t="n">
        <v>0.1691873590725912</v>
      </c>
      <c r="U1058" t="n">
        <v>0.1641705796293079</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0.1790333472910162</v>
      </c>
      <c r="AI1058">
        <f>IF($Y1058="worse","Yes",IF($Y1058="worse, not significant","Not sure",IF(OR($Y1058="too few losses to test",$Y1058="too few loans to test"),"Too few losses",IF($Y1058="","","No"))))</f>
        <v/>
      </c>
      <c r="AJ1058">
        <f>IF($AA1058="yes","Yes",IF($AA1058="","","No"))</f>
        <v/>
      </c>
      <c r="AK1058" t="n">
        <v>0.008643756316955952</v>
      </c>
      <c r="AL1058" t="n">
        <v>0.01680164312215073</v>
      </c>
      <c r="AM1058">
        <f>IF(AND(ISNUMBER($AC1058),ISNUMBER(IF($V1058,IF($AL1058="","",$AL1058),IF($AK1058="","",$AK1058)))),IF(AND(ABS($AC1058-significance_bar)&lt;=2.0*IF($V1058,IF($AL1058="","",$AL1058),IF($AK1058="","",$AK1058)),OR($Y1058="worse",$Y1058="better",$Y1058="worse, not significant",$Y1058="better, not significant",AND(profit_kind="test",$Y1058="in line",ISNUMBER($AB1058),$AB1058&lt;&gt;0))),IF(ROUND($AC1058,3)=ROUND(significance_bar,3),TEXT($AC1058,"0.0000"),TEXT($AC1058,"0.000")),""),"")</f>
        <v/>
      </c>
      <c r="AN1058">
        <f>IF(AND(ISNUMBER($AC1058),ISNUMBER(IF($V1058,IF($AL1058="","",$AL1058),IF($AK1058="","",$AK1058)))),IF(AND(ABS($AC1058-significance_bar)&lt;=2.0*IF($V1058,IF($AL1058="","",$AL1058),IF($AK1058="","",$AK1058)),OR($Y1058="worse",$Y1058="worse, not significant",AND(profit_kind="test",$Y1058="in line",ISNUMBER($AB1058),$AB1058&lt;0))),IF(ROUND($AC1058,3)=ROUND(significance_bar,3),TEXT($AC1058,"0.0000"),TEXT($AC1058,"0.000")),""),"")</f>
        <v/>
      </c>
      <c r="AO1058">
        <f>IF(OR($AI1058="",$AN1058=""),$AI1058,$AI1058&amp;" · borderline (p "&amp;$AN1058&amp;")")</f>
        <v/>
      </c>
    </row>
    <row r="1059">
      <c r="A1059" t="inlineStr">
        <is>
          <t>three-way</t>
        </is>
      </c>
      <c r="B1059" t="inlineStr">
        <is>
          <t>ORIG_BAL x ASSET_CLASS / SYS_FLAG</t>
        </is>
      </c>
      <c r="C1059" t="inlineStr">
        <is>
          <t>49,152 - 59,984</t>
        </is>
      </c>
      <c r="D1059" t="inlineStr">
        <is>
          <t>1 / SYS_FLAG N</t>
        </is>
      </c>
      <c r="E1059" t="inlineStr">
        <is>
          <t>outcome_loans</t>
        </is>
      </c>
      <c r="F1059" t="inlineStr">
        <is>
          <t>Outcome, share of loans</t>
        </is>
      </c>
      <c r="G1059" t="n">
        <v>218</v>
      </c>
      <c r="H1059" t="n">
        <v>218</v>
      </c>
      <c r="I1059" t="b">
        <v>1</v>
      </c>
      <c r="J1059" t="b">
        <v>0</v>
      </c>
      <c r="K1059" t="n">
        <v>0.2906568448734423</v>
      </c>
      <c r="M1059" t="n">
        <v>0.3234413031267553</v>
      </c>
      <c r="O1059" t="n">
        <v>-12.20241614188408</v>
      </c>
      <c r="P1059" t="n">
        <v>-10.45875542691751</v>
      </c>
      <c r="Q1059">
        <f>'_live'!$C$20</f>
        <v/>
      </c>
      <c r="T1059" t="n">
        <v>0.07891016578845907</v>
      </c>
      <c r="U1059" t="n">
        <v>0.07091172214182344</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0.02293577981651376</v>
      </c>
      <c r="AI1059">
        <f>IF($Y1059="worse","Yes",IF($Y1059="worse, not significant","Not sure",IF(OR($Y1059="too few losses to test",$Y1059="too few loans to test"),"Too few losses",IF($Y1059="","","No"))))</f>
        <v/>
      </c>
      <c r="AJ1059">
        <f>IF($AA1059="yes","Yes",IF($AA1059="","","No"))</f>
        <v/>
      </c>
      <c r="AM1059">
        <f>IF(AND(ISNUMBER($AC1059),ISNUMBER(IF($V1059,IF($AL1059="","",$AL1059),IF($AK1059="","",$AK1059)))),IF(AND(ABS($AC1059-significance_bar)&lt;=2.0*IF($V1059,IF($AL1059="","",$AL1059),IF($AK1059="","",$AK1059)),OR($Y1059="worse",$Y1059="better",$Y1059="worse, not significant",$Y1059="better, not significant")),IF(ROUND($AC1059,3)=ROUND(significance_bar,3),TEXT($AC1059,"0.0000"),TEXT($AC1059,"0.000")),""),"")</f>
        <v/>
      </c>
      <c r="AN1059">
        <f>IF(AND(ISNUMBER($AC1059),ISNUMBER(IF($V1059,IF($AL1059="","",$AL1059),IF($AK1059="","",$AK1059)))),IF(AND(ABS($AC1059-significance_bar)&lt;=2.0*IF($V1059,IF($AL1059="","",$AL1059),IF($AK1059="","",$AK1059)),OR($Y1059="worse",$Y1059="worse, not significant")),IF(ROUND($AC1059,3)=ROUND(significance_bar,3),TEXT($AC1059,"0.0000"),TEXT($AC1059,"0.000")),""),"")</f>
        <v/>
      </c>
      <c r="AO1059">
        <f>IF(OR($AI1059="",$AN1059=""),$AI1059,$AI1059&amp;" · borderline (p "&amp;$AN1059&amp;")")</f>
        <v/>
      </c>
    </row>
    <row r="1060">
      <c r="A1060" t="inlineStr">
        <is>
          <t>three-way</t>
        </is>
      </c>
      <c r="B1060" t="inlineStr">
        <is>
          <t>ORIG_BAL x ASSET_CLASS / SYS_FLAG</t>
        </is>
      </c>
      <c r="C1060" t="inlineStr">
        <is>
          <t>49,152 - 59,984</t>
        </is>
      </c>
      <c r="D1060" t="inlineStr">
        <is>
          <t>1 / SYS_FLAG N</t>
        </is>
      </c>
      <c r="E1060" t="inlineStr">
        <is>
          <t>outcome_booked</t>
        </is>
      </c>
      <c r="F1060" t="inlineStr">
        <is>
          <t>Outcome, share of booked dollars</t>
        </is>
      </c>
      <c r="G1060" t="n">
        <v>218</v>
      </c>
      <c r="H1060" t="n">
        <v>11906306.08</v>
      </c>
      <c r="I1060" t="b">
        <v>1</v>
      </c>
      <c r="J1060" t="b">
        <v>0</v>
      </c>
      <c r="K1060" t="n">
        <v>0.2968849417435906</v>
      </c>
      <c r="M1060" t="n">
        <v>0.3219020776799921</v>
      </c>
      <c r="O1060" t="n">
        <v>-647435.3218319542</v>
      </c>
      <c r="P1060" t="n">
        <v>-575873.1028115548</v>
      </c>
      <c r="Q1060">
        <f>'_live'!$C$21</f>
        <v/>
      </c>
      <c r="T1060" t="n">
        <v>0.07733800186597876</v>
      </c>
      <c r="U1060" t="n">
        <v>0.07132755508764435</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0.02296048817854681</v>
      </c>
      <c r="AI1060">
        <f>IF($Y1060="worse","Yes",IF($Y1060="worse, not significant","Not sure",IF(OR($Y1060="too few losses to test",$Y1060="too few loans to test"),"Too few losses",IF($Y1060="","","No"))))</f>
        <v/>
      </c>
      <c r="AJ1060">
        <f>IF($AA1060="yes","Yes",IF($AA1060="","","No"))</f>
        <v/>
      </c>
      <c r="AM1060">
        <f>IF(AND(ISNUMBER($AC1060),ISNUMBER(IF($V1060,IF($AL1060="","",$AL1060),IF($AK1060="","",$AK1060)))),IF(AND(ABS($AC1060-significance_bar)&lt;=2.0*IF($V1060,IF($AL1060="","",$AL1060),IF($AK1060="","",$AK1060)),OR($Y1060="worse",$Y1060="better",$Y1060="worse, not significant",$Y1060="better, not significant")),IF(ROUND($AC1060,3)=ROUND(significance_bar,3),TEXT($AC1060,"0.0000"),TEXT($AC1060,"0.000")),""),"")</f>
        <v/>
      </c>
      <c r="AN1060">
        <f>IF(AND(ISNUMBER($AC1060),ISNUMBER(IF($V1060,IF($AL1060="","",$AL1060),IF($AK1060="","",$AK1060)))),IF(AND(ABS($AC1060-significance_bar)&lt;=2.0*IF($V1060,IF($AL1060="","",$AL1060),IF($AK1060="","",$AK1060)),OR($Y1060="worse",$Y1060="worse, not significant")),IF(ROUND($AC1060,3)=ROUND(significance_bar,3),TEXT($AC1060,"0.0000"),TEXT($AC1060,"0.000")),""),"")</f>
        <v/>
      </c>
      <c r="AO1060">
        <f>IF(OR($AI1060="",$AN1060=""),$AI1060,$AI1060&amp;" · borderline (p "&amp;$AN1060&amp;")")</f>
        <v/>
      </c>
    </row>
    <row r="1061">
      <c r="A1061" t="inlineStr">
        <is>
          <t>three-way</t>
        </is>
      </c>
      <c r="B1061" t="inlineStr">
        <is>
          <t>ORIG_BAL x ASSET_CLASS / SYS_FLAG</t>
        </is>
      </c>
      <c r="C1061" t="inlineStr">
        <is>
          <t>49,152 - 59,984</t>
        </is>
      </c>
      <c r="D1061" t="inlineStr">
        <is>
          <t>1 / SYS_FLAG N</t>
        </is>
      </c>
      <c r="E1061" t="inlineStr">
        <is>
          <t>gco_rate</t>
        </is>
      </c>
      <c r="F1061" t="inlineStr">
        <is>
          <t>GCO per booked dollar</t>
        </is>
      </c>
      <c r="G1061" t="n">
        <v>218</v>
      </c>
      <c r="H1061" t="n">
        <v>11906306.08</v>
      </c>
      <c r="I1061" t="b">
        <v>1</v>
      </c>
      <c r="J1061" t="b">
        <v>0</v>
      </c>
      <c r="K1061" t="n">
        <v>0.3474001802998258</v>
      </c>
      <c r="M1061" t="n">
        <v>0.3839722914987965</v>
      </c>
      <c r="O1061" t="n">
        <v>-333312.1980677518</v>
      </c>
      <c r="P1061" t="n">
        <v>-284665.3838867649</v>
      </c>
      <c r="Q1061">
        <f>'_live'!$C$22</f>
        <v/>
      </c>
      <c r="T1061" t="n">
        <v>0.04289702907316421</v>
      </c>
      <c r="U1061" t="n">
        <v>0.03881122665433484</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0.01490243563434412</v>
      </c>
      <c r="AI1061">
        <f>IF($Y1061="worse","Yes",IF($Y1061="worse, not significant","Not sure",IF(OR($Y1061="too few losses to test",$Y1061="too few loans to test"),"Too few losses",IF($Y1061="","","No"))))</f>
        <v/>
      </c>
      <c r="AJ1061">
        <f>IF($AA1061="yes","Yes",IF($AA1061="","","No"))</f>
        <v/>
      </c>
      <c r="AM1061">
        <f>IF(AND(ISNUMBER($AC1061),ISNUMBER(IF($V1061,IF($AL1061="","",$AL1061),IF($AK1061="","",$AK1061)))),IF(AND(ABS($AC1061-significance_bar)&lt;=2.0*IF($V1061,IF($AL1061="","",$AL1061),IF($AK1061="","",$AK1061)),OR($Y1061="worse",$Y1061="better",$Y1061="worse, not significant",$Y1061="better, not significant")),IF(ROUND($AC1061,3)=ROUND(significance_bar,3),TEXT($AC1061,"0.0000"),TEXT($AC1061,"0.000")),""),"")</f>
        <v/>
      </c>
      <c r="AN1061">
        <f>IF(AND(ISNUMBER($AC1061),ISNUMBER(IF($V1061,IF($AL1061="","",$AL1061),IF($AK1061="","",$AK1061)))),IF(AND(ABS($AC1061-significance_bar)&lt;=2.0*IF($V1061,IF($AL1061="","",$AL1061),IF($AK1061="","",$AK1061)),OR($Y1061="worse",$Y1061="worse, not significant")),IF(ROUND($AC1061,3)=ROUND(significance_bar,3),TEXT($AC1061,"0.0000"),TEXT($AC1061,"0.000")),""),"")</f>
        <v/>
      </c>
      <c r="AO1061">
        <f>IF(OR($AI1061="",$AN1061=""),$AI1061,$AI1061&amp;" · borderline (p "&amp;$AN1061&amp;")")</f>
        <v/>
      </c>
    </row>
    <row r="1062">
      <c r="A1062" t="inlineStr">
        <is>
          <t>three-way</t>
        </is>
      </c>
      <c r="B1062" t="inlineStr">
        <is>
          <t>ORIG_BAL x ASSET_CLASS / SYS_FLAG</t>
        </is>
      </c>
      <c r="C1062" t="inlineStr">
        <is>
          <t>49,152 - 59,984</t>
        </is>
      </c>
      <c r="D1062" t="inlineStr">
        <is>
          <t>1 / SYS_FLAG N</t>
        </is>
      </c>
      <c r="E1062" t="inlineStr">
        <is>
          <t>ranr_rate</t>
        </is>
      </c>
      <c r="F1062" t="inlineStr">
        <is>
          <t>Profit after losses: RANR per booked dollar</t>
        </is>
      </c>
      <c r="G1062" t="n">
        <v>218</v>
      </c>
      <c r="H1062" t="n">
        <v>11906306.08</v>
      </c>
      <c r="I1062" t="b">
        <v>0</v>
      </c>
      <c r="J1062" t="b">
        <v>0</v>
      </c>
      <c r="K1062" t="n">
        <v>0.02623674668408715</v>
      </c>
      <c r="L1062" t="n">
        <v>0.3752958037529581</v>
      </c>
      <c r="M1062" t="n">
        <v>0.02615737811902469</v>
      </c>
      <c r="N1062" t="n">
        <v>0.19553600195536</v>
      </c>
      <c r="O1062" t="n">
        <v>-312382.7365641668</v>
      </c>
      <c r="P1062" t="n">
        <v>-311437.7501354027</v>
      </c>
      <c r="Q1062">
        <f>'_live'!$C$23</f>
        <v/>
      </c>
      <c r="R1062" t="inlineStr">
        <is>
          <t>shuffled: 562 of 10,000</t>
        </is>
      </c>
      <c r="S1062" t="inlineStr">
        <is>
          <t>shuffled: 399 of 10,000</t>
        </is>
      </c>
      <c r="T1062" t="n">
        <v>0.1267795849773613</v>
      </c>
      <c r="U1062" t="n">
        <v>0.1268589535424237</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0.1530163316614484</v>
      </c>
      <c r="AI1062">
        <f>IF($Y1062="worse","Yes",IF($Y1062="worse, not significant","Not sure",IF(OR($Y1062="too few losses to test",$Y1062="too few loans to test"),"Too few losses",IF($Y1062="","","No"))))</f>
        <v/>
      </c>
      <c r="AJ1062">
        <f>IF($AA1062="yes","Yes",IF($AA1062="","","No"))</f>
        <v/>
      </c>
      <c r="AK1062" t="n">
        <v>0.01536595289822646</v>
      </c>
      <c r="AL1062" t="n">
        <v>0.009114903013848756</v>
      </c>
      <c r="AM1062">
        <f>IF(AND(ISNUMBER($AC1062),ISNUMBER(IF($V1062,IF($AL1062="","",$AL1062),IF($AK1062="","",$AK1062)))),IF(AND(ABS($AC1062-significance_bar)&lt;=2.0*IF($V1062,IF($AL1062="","",$AL1062),IF($AK1062="","",$AK1062)),OR($Y1062="worse",$Y1062="better",$Y1062="worse, not significant",$Y1062="better, not significant",AND(profit_kind="test",$Y1062="in line",ISNUMBER($AB1062),$AB1062&lt;&gt;0))),IF(ROUND($AC1062,3)=ROUND(significance_bar,3),TEXT($AC1062,"0.0000"),TEXT($AC1062,"0.000")),""),"")</f>
        <v/>
      </c>
      <c r="AN1062">
        <f>IF(AND(ISNUMBER($AC1062),ISNUMBER(IF($V1062,IF($AL1062="","",$AL1062),IF($AK1062="","",$AK1062)))),IF(AND(ABS($AC1062-significance_bar)&lt;=2.0*IF($V1062,IF($AL1062="","",$AL1062),IF($AK1062="","",$AK1062)),OR($Y1062="worse",$Y1062="worse, not significant",AND(profit_kind="test",$Y1062="in line",ISNUMBER($AB1062),$AB1062&lt;0))),IF(ROUND($AC1062,3)=ROUND(significance_bar,3),TEXT($AC1062,"0.0000"),TEXT($AC1062,"0.000")),""),"")</f>
        <v/>
      </c>
      <c r="AO1062">
        <f>IF(OR($AI1062="",$AN1062=""),$AI1062,$AI1062&amp;" · borderline (p "&amp;$AN1062&amp;")")</f>
        <v/>
      </c>
    </row>
    <row r="1063">
      <c r="A1063" t="inlineStr">
        <is>
          <t>three-way</t>
        </is>
      </c>
      <c r="B1063" t="inlineStr">
        <is>
          <t>ORIG_BAL x ASSET_CLASS / SYS_FLAG</t>
        </is>
      </c>
      <c r="C1063" t="inlineStr">
        <is>
          <t>49,152 - 59,984</t>
        </is>
      </c>
      <c r="D1063" t="inlineStr">
        <is>
          <t>1 / SYS_FLAG N</t>
        </is>
      </c>
      <c r="E1063" t="inlineStr">
        <is>
          <t>contribution_rate</t>
        </is>
      </c>
      <c r="F1063" t="inlineStr">
        <is>
          <t>Contribution before losses per booked dollar</t>
        </is>
      </c>
      <c r="G1063" t="n">
        <v>218</v>
      </c>
      <c r="H1063" t="n">
        <v>11906306.08</v>
      </c>
      <c r="I1063" t="b">
        <v>0</v>
      </c>
      <c r="J1063" t="b">
        <v>0</v>
      </c>
      <c r="K1063" t="n">
        <v>-0.001754654017065316</v>
      </c>
      <c r="L1063" t="n">
        <v>0.9955004499550044</v>
      </c>
      <c r="M1063" t="n">
        <v>0.002248587099034027</v>
      </c>
      <c r="N1063" t="n">
        <v>0.9290835622320122</v>
      </c>
      <c r="O1063" t="n">
        <v>20891.44779168093</v>
      </c>
      <c r="P1063" t="n">
        <v>-26772.3662486386</v>
      </c>
      <c r="Q1063">
        <f>'_live'!$C$24</f>
        <v/>
      </c>
      <c r="R1063" t="inlineStr">
        <is>
          <t>shuffled: 8,469 of 10,000</t>
        </is>
      </c>
      <c r="S1063" t="inlineStr">
        <is>
          <t>shuffled: 7,897 of 10,000</t>
        </is>
      </c>
      <c r="T1063" t="n">
        <v>0.1696734213128579</v>
      </c>
      <c r="U1063" t="n">
        <v>0.1656701801967586</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0.1679187672957926</v>
      </c>
      <c r="AI1063">
        <f>IF($Y1063="worse","Yes",IF($Y1063="worse, not significant","Not sure",IF(OR($Y1063="too few losses to test",$Y1063="too few loans to test"),"Too few losses",IF($Y1063="","","No"))))</f>
        <v/>
      </c>
      <c r="AJ1063">
        <f>IF($AA1063="yes","Yes",IF($AA1063="","","No"))</f>
        <v/>
      </c>
      <c r="AK1063" t="n">
        <v>0.0006692760338147521</v>
      </c>
      <c r="AL1063" t="n">
        <v>0.004794196693598549</v>
      </c>
      <c r="AM1063">
        <f>IF(AND(ISNUMBER($AC1063),ISNUMBER(IF($V1063,IF($AL1063="","",$AL1063),IF($AK1063="","",$AK1063)))),IF(AND(ABS($AC1063-significance_bar)&lt;=2.0*IF($V1063,IF($AL1063="","",$AL1063),IF($AK1063="","",$AK1063)),OR($Y1063="worse",$Y1063="better",$Y1063="worse, not significant",$Y1063="better, not significant",AND(profit_kind="test",$Y1063="in line",ISNUMBER($AB1063),$AB1063&lt;&gt;0))),IF(ROUND($AC1063,3)=ROUND(significance_bar,3),TEXT($AC1063,"0.0000"),TEXT($AC1063,"0.000")),""),"")</f>
        <v/>
      </c>
      <c r="AN1063">
        <f>IF(AND(ISNUMBER($AC1063),ISNUMBER(IF($V1063,IF($AL1063="","",$AL1063),IF($AK1063="","",$AK1063)))),IF(AND(ABS($AC1063-significance_bar)&lt;=2.0*IF($V1063,IF($AL1063="","",$AL1063),IF($AK1063="","",$AK1063)),OR($Y1063="worse",$Y1063="worse, not significant",AND(profit_kind="test",$Y1063="in line",ISNUMBER($AB1063),$AB1063&lt;0))),IF(ROUND($AC1063,3)=ROUND(significance_bar,3),TEXT($AC1063,"0.0000"),TEXT($AC1063,"0.000")),""),"")</f>
        <v/>
      </c>
      <c r="AO1063">
        <f>IF(OR($AI1063="",$AN1063=""),$AI1063,$AI1063&amp;" · borderline (p "&amp;$AN1063&amp;")")</f>
        <v/>
      </c>
    </row>
    <row r="1064">
      <c r="A1064" t="inlineStr">
        <is>
          <t>three-way</t>
        </is>
      </c>
      <c r="B1064" t="inlineStr">
        <is>
          <t>ORIG_BAL x ASSET_CLASS / SYS_FLAG</t>
        </is>
      </c>
      <c r="C1064" t="inlineStr">
        <is>
          <t>37,951 - 49,151</t>
        </is>
      </c>
      <c r="D1064" t="inlineStr">
        <is>
          <t>4 / SYS_FLAG N</t>
        </is>
      </c>
      <c r="E1064" t="inlineStr">
        <is>
          <t>outcome_loans</t>
        </is>
      </c>
      <c r="F1064" t="inlineStr">
        <is>
          <t>Outcome, share of loans</t>
        </is>
      </c>
      <c r="G1064" t="n">
        <v>225</v>
      </c>
      <c r="H1064" t="n">
        <v>225</v>
      </c>
      <c r="I1064" t="b">
        <v>0</v>
      </c>
      <c r="J1064" t="b">
        <v>0</v>
      </c>
      <c r="K1064" t="n">
        <v>0.9167790676248387</v>
      </c>
      <c r="L1064" t="n">
        <v>0.8833366391231683</v>
      </c>
      <c r="M1064" t="n">
        <v>0.8286252354048964</v>
      </c>
      <c r="N1064" t="n">
        <v>0.6654389578645733</v>
      </c>
      <c r="O1064" t="n">
        <v>-1.452405454077695</v>
      </c>
      <c r="P1064" t="n">
        <v>-3.309090909090909</v>
      </c>
      <c r="Q1064">
        <f>'_live'!$C$20</f>
        <v/>
      </c>
      <c r="R1064" t="inlineStr">
        <is>
          <t>z test</t>
        </is>
      </c>
      <c r="S1064" t="inlineStr">
        <is>
          <t>z test</t>
        </is>
      </c>
      <c r="T1064" t="n">
        <v>0.07756624646256753</v>
      </c>
      <c r="U1064" t="n">
        <v>0.08581818181818182</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0.07111111111111111</v>
      </c>
      <c r="AI1064">
        <f>IF($Y1064="worse","Yes",IF($Y1064="worse, not significant","Not sure",IF(OR($Y1064="too few losses to test",$Y1064="too few loans to test"),"Too few losses",IF($Y1064="","","No"))))</f>
        <v/>
      </c>
      <c r="AJ1064">
        <f>IF($AA1064="yes","Yes",IF($AA1064="","","No"))</f>
        <v/>
      </c>
      <c r="AM1064">
        <f>IF(AND(ISNUMBER($AC1064),ISNUMBER(IF($V1064,IF($AL1064="","",$AL1064),IF($AK1064="","",$AK1064)))),IF(AND(ABS($AC1064-significance_bar)&lt;=2.0*IF($V1064,IF($AL1064="","",$AL1064),IF($AK1064="","",$AK1064)),OR($Y1064="worse",$Y1064="better",$Y1064="worse, not significant",$Y1064="better, not significant")),IF(ROUND($AC1064,3)=ROUND(significance_bar,3),TEXT($AC1064,"0.0000"),TEXT($AC1064,"0.000")),""),"")</f>
        <v/>
      </c>
      <c r="AN1064">
        <f>IF(AND(ISNUMBER($AC1064),ISNUMBER(IF($V1064,IF($AL1064="","",$AL1064),IF($AK1064="","",$AK1064)))),IF(AND(ABS($AC1064-significance_bar)&lt;=2.0*IF($V1064,IF($AL1064="","",$AL1064),IF($AK1064="","",$AK1064)),OR($Y1064="worse",$Y1064="worse, not significant")),IF(ROUND($AC1064,3)=ROUND(significance_bar,3),TEXT($AC1064,"0.0000"),TEXT($AC1064,"0.000")),""),"")</f>
        <v/>
      </c>
      <c r="AO1064">
        <f>IF(OR($AI1064="",$AN1064=""),$AI1064,$AI1064&amp;" · borderline (p "&amp;$AN1064&amp;")")</f>
        <v/>
      </c>
    </row>
    <row r="1065">
      <c r="A1065" t="inlineStr">
        <is>
          <t>three-way</t>
        </is>
      </c>
      <c r="B1065" t="inlineStr">
        <is>
          <t>ORIG_BAL x ASSET_CLASS / SYS_FLAG</t>
        </is>
      </c>
      <c r="C1065" t="inlineStr">
        <is>
          <t>37,951 - 49,151</t>
        </is>
      </c>
      <c r="D1065" t="inlineStr">
        <is>
          <t>4 / SYS_FLAG N</t>
        </is>
      </c>
      <c r="E1065" t="inlineStr">
        <is>
          <t>outcome_booked</t>
        </is>
      </c>
      <c r="F1065" t="inlineStr">
        <is>
          <t>Outcome, share of booked dollars</t>
        </is>
      </c>
      <c r="G1065" t="n">
        <v>225</v>
      </c>
      <c r="H1065" t="n">
        <v>9795212.909999996</v>
      </c>
      <c r="I1065" t="b">
        <v>0</v>
      </c>
      <c r="J1065" t="b">
        <v>0</v>
      </c>
      <c r="K1065" t="n">
        <v>0.952638640339005</v>
      </c>
      <c r="L1065" t="n">
        <v>0.9187347931873479</v>
      </c>
      <c r="M1065" t="n">
        <v>0.8401705366588266</v>
      </c>
      <c r="N1065" t="n">
        <v>0.6326407359264073</v>
      </c>
      <c r="O1065" t="n">
        <v>-34776.72981283243</v>
      </c>
      <c r="P1065" t="n">
        <v>-133070.6157152265</v>
      </c>
      <c r="Q1065">
        <f>'_live'!$C$21</f>
        <v/>
      </c>
      <c r="R1065" t="inlineStr">
        <is>
          <t>shuffled: 8,613 of 10,000</t>
        </is>
      </c>
      <c r="S1065" t="inlineStr">
        <is>
          <t>shuffled: 4,942 of 10,000</t>
        </is>
      </c>
      <c r="T1065" t="n">
        <v>0.07496364566646593</v>
      </c>
      <c r="U1065" t="n">
        <v>0.08499853585267569</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0.07141326548255705</v>
      </c>
      <c r="AI1065">
        <f>IF($Y1065="worse","Yes",IF($Y1065="worse, not significant","Not sure",IF(OR($Y1065="too few losses to test",$Y1065="too few loans to test"),"Too few losses",IF($Y1065="","","No"))))</f>
        <v/>
      </c>
      <c r="AJ1065">
        <f>IF($AA1065="yes","Yes",IF($AA1065="","","No"))</f>
        <v/>
      </c>
      <c r="AK1065" t="n">
        <v>0.003686599506141654</v>
      </c>
      <c r="AL1065" t="n">
        <v>0.006399576870639927</v>
      </c>
      <c r="AM1065">
        <f>IF(AND(ISNUMBER($AC1065),ISNUMBER(IF($V1065,IF($AL1065="","",$AL1065),IF($AK1065="","",$AK1065)))),IF(AND(ABS($AC1065-significance_bar)&lt;=2.0*IF($V1065,IF($AL1065="","",$AL1065),IF($AK1065="","",$AK1065)),OR($Y1065="worse",$Y1065="better",$Y1065="worse, not significant",$Y1065="better, not significant")),IF(ROUND($AC1065,3)=ROUND(significance_bar,3),TEXT($AC1065,"0.0000"),TEXT($AC1065,"0.000")),""),"")</f>
        <v/>
      </c>
      <c r="AN1065">
        <f>IF(AND(ISNUMBER($AC1065),ISNUMBER(IF($V1065,IF($AL1065="","",$AL1065),IF($AK1065="","",$AK1065)))),IF(AND(ABS($AC1065-significance_bar)&lt;=2.0*IF($V1065,IF($AL1065="","",$AL1065),IF($AK1065="","",$AK1065)),OR($Y1065="worse",$Y1065="worse, not significant")),IF(ROUND($AC1065,3)=ROUND(significance_bar,3),TEXT($AC1065,"0.0000"),TEXT($AC1065,"0.000")),""),"")</f>
        <v/>
      </c>
      <c r="AO1065">
        <f>IF(OR($AI1065="",$AN1065=""),$AI1065,$AI1065&amp;" · borderline (p "&amp;$AN1065&amp;")")</f>
        <v/>
      </c>
    </row>
    <row r="1066">
      <c r="A1066" t="inlineStr">
        <is>
          <t>three-way</t>
        </is>
      </c>
      <c r="B1066" t="inlineStr">
        <is>
          <t>ORIG_BAL x ASSET_CLASS / SYS_FLAG</t>
        </is>
      </c>
      <c r="C1066" t="inlineStr">
        <is>
          <t>37,951 - 49,151</t>
        </is>
      </c>
      <c r="D1066" t="inlineStr">
        <is>
          <t>4 / SYS_FLAG N</t>
        </is>
      </c>
      <c r="E1066" t="inlineStr">
        <is>
          <t>gco_rate</t>
        </is>
      </c>
      <c r="F1066" t="inlineStr">
        <is>
          <t>GCO per booked dollar</t>
        </is>
      </c>
      <c r="G1066" t="n">
        <v>225</v>
      </c>
      <c r="H1066" t="n">
        <v>9795212.909999996</v>
      </c>
      <c r="I1066" t="b">
        <v>0</v>
      </c>
      <c r="J1066" t="b">
        <v>0</v>
      </c>
      <c r="K1066" t="n">
        <v>0.9365605668822046</v>
      </c>
      <c r="L1066" t="n">
        <v>0.9412575983780932</v>
      </c>
      <c r="M1066" t="n">
        <v>0.8132943713461922</v>
      </c>
      <c r="N1066" t="n">
        <v>0.7733044877330449</v>
      </c>
      <c r="O1066" t="n">
        <v>-25916.03927330661</v>
      </c>
      <c r="P1066" t="n">
        <v>-87832.41990583262</v>
      </c>
      <c r="Q1066">
        <f>'_live'!$C$22</f>
        <v/>
      </c>
      <c r="R1066" t="inlineStr">
        <is>
          <t>shuffled: 8,228 of 10,000</t>
        </is>
      </c>
      <c r="S1066" t="inlineStr">
        <is>
          <t>shuffled: 4,352 of 10,000</t>
        </is>
      </c>
      <c r="T1066" t="n">
        <v>0.04170570390116275</v>
      </c>
      <c r="U1066" t="n">
        <v>0.0480267896398214</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0.03905991768789436</v>
      </c>
      <c r="AI1066">
        <f>IF($Y1066="worse","Yes",IF($Y1066="worse, not significant","Not sure",IF(OR($Y1066="too few losses to test",$Y1066="too few loans to test"),"Too few losses",IF($Y1066="","","No"))))</f>
        <v/>
      </c>
      <c r="AJ1066">
        <f>IF($AA1066="yes","Yes",IF($AA1066="","","No"))</f>
        <v/>
      </c>
      <c r="AK1066" t="n">
        <v>0.003907213937934329</v>
      </c>
      <c r="AL1066" t="n">
        <v>0.007258145058233783</v>
      </c>
      <c r="AM1066">
        <f>IF(AND(ISNUMBER($AC1066),ISNUMBER(IF($V1066,IF($AL1066="","",$AL1066),IF($AK1066="","",$AK1066)))),IF(AND(ABS($AC1066-significance_bar)&lt;=2.0*IF($V1066,IF($AL1066="","",$AL1066),IF($AK1066="","",$AK1066)),OR($Y1066="worse",$Y1066="better",$Y1066="worse, not significant",$Y1066="better, not significant")),IF(ROUND($AC1066,3)=ROUND(significance_bar,3),TEXT($AC1066,"0.0000"),TEXT($AC1066,"0.000")),""),"")</f>
        <v/>
      </c>
      <c r="AN1066">
        <f>IF(AND(ISNUMBER($AC1066),ISNUMBER(IF($V1066,IF($AL1066="","",$AL1066),IF($AK1066="","",$AK1066)))),IF(AND(ABS($AC1066-significance_bar)&lt;=2.0*IF($V1066,IF($AL1066="","",$AL1066),IF($AK1066="","",$AK1066)),OR($Y1066="worse",$Y1066="worse, not significant")),IF(ROUND($AC1066,3)=ROUND(significance_bar,3),TEXT($AC1066,"0.0000"),TEXT($AC1066,"0.000")),""),"")</f>
        <v/>
      </c>
      <c r="AO1066">
        <f>IF(OR($AI1066="",$AN1066=""),$AI1066,$AI1066&amp;" · borderline (p "&amp;$AN1066&amp;")")</f>
        <v/>
      </c>
    </row>
    <row r="1067">
      <c r="A1067" t="inlineStr">
        <is>
          <t>three-way</t>
        </is>
      </c>
      <c r="B1067" t="inlineStr">
        <is>
          <t>ORIG_BAL x ASSET_CLASS / SYS_FLAG</t>
        </is>
      </c>
      <c r="C1067" t="inlineStr">
        <is>
          <t>37,951 - 49,151</t>
        </is>
      </c>
      <c r="D1067" t="inlineStr">
        <is>
          <t>4 / SYS_FLAG N</t>
        </is>
      </c>
      <c r="E1067" t="inlineStr">
        <is>
          <t>ranr_rate</t>
        </is>
      </c>
      <c r="F1067" t="inlineStr">
        <is>
          <t>Profit after losses: RANR per booked dollar</t>
        </is>
      </c>
      <c r="G1067" t="n">
        <v>225</v>
      </c>
      <c r="H1067" t="n">
        <v>9795212.909999996</v>
      </c>
      <c r="I1067" t="b">
        <v>0</v>
      </c>
      <c r="J1067" t="b">
        <v>0</v>
      </c>
      <c r="K1067" t="n">
        <v>0.009527621187135321</v>
      </c>
      <c r="L1067" t="n">
        <v>0.8120616509777595</v>
      </c>
      <c r="M1067" t="n">
        <v>0.01713580305327962</v>
      </c>
      <c r="N1067" t="n">
        <v>0.4690057310058468</v>
      </c>
      <c r="O1067" t="n">
        <v>-93325.07805381739</v>
      </c>
      <c r="P1067" t="n">
        <v>-167848.839290702</v>
      </c>
      <c r="Q1067">
        <f>'_live'!$C$23</f>
        <v/>
      </c>
      <c r="R1067" t="inlineStr">
        <is>
          <t>shuffled: 4,885 of 10,000</t>
        </is>
      </c>
      <c r="S1067" t="inlineStr">
        <is>
          <t>shuffled: 2,212 of 10,000</t>
        </is>
      </c>
      <c r="T1067" t="n">
        <v>0.127628420477711</v>
      </c>
      <c r="U1067" t="n">
        <v>0.1200202386115667</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0.1371560416648463</v>
      </c>
      <c r="AI1067">
        <f>IF($Y1067="worse","Yes",IF($Y1067="worse, not significant","Not sure",IF(OR($Y1067="too few losses to test",$Y1067="too few loans to test"),"Too few losses",IF($Y1067="","","No"))))</f>
        <v/>
      </c>
      <c r="AJ1067">
        <f>IF($AA1067="yes","Yes",IF($AA1067="","","No"))</f>
        <v/>
      </c>
      <c r="AK1067" t="n">
        <v>0.007075619745553362</v>
      </c>
      <c r="AL1067" t="n">
        <v>0.008760217523622172</v>
      </c>
      <c r="AM1067">
        <f>IF(AND(ISNUMBER($AC1067),ISNUMBER(IF($V1067,IF($AL1067="","",$AL1067),IF($AK1067="","",$AK1067)))),IF(AND(ABS($AC1067-significance_bar)&lt;=2.0*IF($V1067,IF($AL1067="","",$AL1067),IF($AK1067="","",$AK1067)),OR($Y1067="worse",$Y1067="better",$Y1067="worse, not significant",$Y1067="better, not significant",AND(profit_kind="test",$Y1067="in line",ISNUMBER($AB1067),$AB1067&lt;&gt;0))),IF(ROUND($AC1067,3)=ROUND(significance_bar,3),TEXT($AC1067,"0.0000"),TEXT($AC1067,"0.000")),""),"")</f>
        <v/>
      </c>
      <c r="AN1067">
        <f>IF(AND(ISNUMBER($AC1067),ISNUMBER(IF($V1067,IF($AL1067="","",$AL1067),IF($AK1067="","",$AK1067)))),IF(AND(ABS($AC1067-significance_bar)&lt;=2.0*IF($V1067,IF($AL1067="","",$AL1067),IF($AK1067="","",$AK1067)),OR($Y1067="worse",$Y1067="worse, not significant",AND(profit_kind="test",$Y1067="in line",ISNUMBER($AB1067),$AB1067&lt;0))),IF(ROUND($AC1067,3)=ROUND(significance_bar,3),TEXT($AC1067,"0.0000"),TEXT($AC1067,"0.000")),""),"")</f>
        <v/>
      </c>
      <c r="AO1067">
        <f>IF(OR($AI1067="",$AN1067=""),$AI1067,$AI1067&amp;" · borderline (p "&amp;$AN1067&amp;")")</f>
        <v/>
      </c>
    </row>
    <row r="1068">
      <c r="A1068" t="inlineStr">
        <is>
          <t>three-way</t>
        </is>
      </c>
      <c r="B1068" t="inlineStr">
        <is>
          <t>ORIG_BAL x ASSET_CLASS / SYS_FLAG</t>
        </is>
      </c>
      <c r="C1068" t="inlineStr">
        <is>
          <t>37,951 - 49,151</t>
        </is>
      </c>
      <c r="D1068" t="inlineStr">
        <is>
          <t>4 / SYS_FLAG N</t>
        </is>
      </c>
      <c r="E1068" t="inlineStr">
        <is>
          <t>contribution_rate</t>
        </is>
      </c>
      <c r="F1068" t="inlineStr">
        <is>
          <t>Contribution before losses per booked dollar</t>
        </is>
      </c>
      <c r="G1068" t="n">
        <v>225</v>
      </c>
      <c r="H1068" t="n">
        <v>9795212.909999996</v>
      </c>
      <c r="I1068" t="b">
        <v>0</v>
      </c>
      <c r="J1068" t="b">
        <v>0</v>
      </c>
      <c r="K1068" t="n">
        <v>0.00688486485796419</v>
      </c>
      <c r="L1068" t="n">
        <v>0.774705138181834</v>
      </c>
      <c r="M1068" t="n">
        <v>0.008186538737207177</v>
      </c>
      <c r="N1068" t="n">
        <v>0.798978925636848</v>
      </c>
      <c r="O1068" t="n">
        <v>-67438.71714033606</v>
      </c>
      <c r="P1068" t="n">
        <v>-80188.88992690691</v>
      </c>
      <c r="Q1068">
        <f>'_live'!$C$24</f>
        <v/>
      </c>
      <c r="R1068" t="inlineStr">
        <is>
          <t>shuffled: 4,454 of 10,000</t>
        </is>
      </c>
      <c r="S1068" t="inlineStr">
        <is>
          <t>shuffled: 3,392 of 10,000</t>
        </is>
      </c>
      <c r="T1068" t="n">
        <v>0.1693310944947765</v>
      </c>
      <c r="U1068" t="n">
        <v>0.1680294206155335</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0.1762159593527407</v>
      </c>
      <c r="AI1068">
        <f>IF($Y1068="worse","Yes",IF($Y1068="worse, not significant","Not sure",IF(OR($Y1068="too few losses to test",$Y1068="too few loans to test"),"Too few losses",IF($Y1068="","","No"))))</f>
        <v/>
      </c>
      <c r="AJ1068">
        <f>IF($AA1068="yes","Yes",IF($AA1068="","","No"))</f>
        <v/>
      </c>
      <c r="AK1068" t="n">
        <v>0.008643756316955952</v>
      </c>
      <c r="AL1068" t="n">
        <v>0.0111426347407216</v>
      </c>
      <c r="AM1068">
        <f>IF(AND(ISNUMBER($AC1068),ISNUMBER(IF($V1068,IF($AL1068="","",$AL1068),IF($AK1068="","",$AK1068)))),IF(AND(ABS($AC1068-significance_bar)&lt;=2.0*IF($V1068,IF($AL1068="","",$AL1068),IF($AK1068="","",$AK1068)),OR($Y1068="worse",$Y1068="better",$Y1068="worse, not significant",$Y1068="better, not significant",AND(profit_kind="test",$Y1068="in line",ISNUMBER($AB1068),$AB1068&lt;&gt;0))),IF(ROUND($AC1068,3)=ROUND(significance_bar,3),TEXT($AC1068,"0.0000"),TEXT($AC1068,"0.000")),""),"")</f>
        <v/>
      </c>
      <c r="AN1068">
        <f>IF(AND(ISNUMBER($AC1068),ISNUMBER(IF($V1068,IF($AL1068="","",$AL1068),IF($AK1068="","",$AK1068)))),IF(AND(ABS($AC1068-significance_bar)&lt;=2.0*IF($V1068,IF($AL1068="","",$AL1068),IF($AK1068="","",$AK1068)),OR($Y1068="worse",$Y1068="worse, not significant",AND(profit_kind="test",$Y1068="in line",ISNUMBER($AB1068),$AB1068&lt;0))),IF(ROUND($AC1068,3)=ROUND(significance_bar,3),TEXT($AC1068,"0.0000"),TEXT($AC1068,"0.000")),""),"")</f>
        <v/>
      </c>
      <c r="AO1068">
        <f>IF(OR($AI1068="",$AN1068=""),$AI1068,$AI1068&amp;" · borderline (p "&amp;$AN1068&amp;")")</f>
        <v/>
      </c>
    </row>
    <row r="1069">
      <c r="A1069" t="inlineStr">
        <is>
          <t>three-way</t>
        </is>
      </c>
      <c r="B1069" t="inlineStr">
        <is>
          <t>ORIG_BAL x ASSET_CLASS / SYS_FLAG</t>
        </is>
      </c>
      <c r="C1069" t="inlineStr">
        <is>
          <t>5,005 - 15,448</t>
        </is>
      </c>
      <c r="D1069" t="inlineStr">
        <is>
          <t>3 / SYS_FLAG N</t>
        </is>
      </c>
      <c r="E1069" t="inlineStr">
        <is>
          <t>outcome_loans</t>
        </is>
      </c>
      <c r="F1069" t="inlineStr">
        <is>
          <t>Outcome, share of loans</t>
        </is>
      </c>
      <c r="G1069" t="n">
        <v>170</v>
      </c>
      <c r="H1069" t="n">
        <v>170</v>
      </c>
      <c r="I1069" t="b">
        <v>0</v>
      </c>
      <c r="J1069" t="b">
        <v>0</v>
      </c>
      <c r="K1069" t="n">
        <v>0.8331946594427246</v>
      </c>
      <c r="L1069" t="n">
        <v>0.7933268312298792</v>
      </c>
      <c r="M1069" t="n">
        <v>0.8261554621848739</v>
      </c>
      <c r="N1069" t="n">
        <v>0.6767143038707455</v>
      </c>
      <c r="O1069" t="n">
        <v>-2.202196960020435</v>
      </c>
      <c r="P1069" t="n">
        <v>-2.314685314685315</v>
      </c>
      <c r="Q1069">
        <f>'_live'!$C$20</f>
        <v/>
      </c>
      <c r="R1069" t="inlineStr">
        <is>
          <t>z test</t>
        </is>
      </c>
      <c r="S1069" t="inlineStr">
        <is>
          <t>z test</t>
        </is>
      </c>
      <c r="T1069" t="n">
        <v>0.07765998211776727</v>
      </c>
      <c r="U1069" t="n">
        <v>0.07832167832167833</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0.06470588235294118</v>
      </c>
      <c r="AI1069">
        <f>IF($Y1069="worse","Yes",IF($Y1069="worse, not significant","Not sure",IF(OR($Y1069="too few losses to test",$Y1069="too few loans to test"),"Too few losses",IF($Y1069="","","No"))))</f>
        <v/>
      </c>
      <c r="AJ1069">
        <f>IF($AA1069="yes","Yes",IF($AA1069="","","No"))</f>
        <v/>
      </c>
      <c r="AM1069">
        <f>IF(AND(ISNUMBER($AC1069),ISNUMBER(IF($V1069,IF($AL1069="","",$AL1069),IF($AK1069="","",$AK1069)))),IF(AND(ABS($AC1069-significance_bar)&lt;=2.0*IF($V1069,IF($AL1069="","",$AL1069),IF($AK1069="","",$AK1069)),OR($Y1069="worse",$Y1069="better",$Y1069="worse, not significant",$Y1069="better, not significant")),IF(ROUND($AC1069,3)=ROUND(significance_bar,3),TEXT($AC1069,"0.0000"),TEXT($AC1069,"0.000")),""),"")</f>
        <v/>
      </c>
      <c r="AN1069">
        <f>IF(AND(ISNUMBER($AC1069),ISNUMBER(IF($V1069,IF($AL1069="","",$AL1069),IF($AK1069="","",$AK1069)))),IF(AND(ABS($AC1069-significance_bar)&lt;=2.0*IF($V1069,IF($AL1069="","",$AL1069),IF($AK1069="","",$AK1069)),OR($Y1069="worse",$Y1069="worse, not significant")),IF(ROUND($AC1069,3)=ROUND(significance_bar,3),TEXT($AC1069,"0.0000"),TEXT($AC1069,"0.000")),""),"")</f>
        <v/>
      </c>
      <c r="AO1069">
        <f>IF(OR($AI1069="",$AN1069=""),$AI1069,$AI1069&amp;" · borderline (p "&amp;$AN1069&amp;")")</f>
        <v/>
      </c>
    </row>
    <row r="1070">
      <c r="A1070" t="inlineStr">
        <is>
          <t>three-way</t>
        </is>
      </c>
      <c r="B1070" t="inlineStr">
        <is>
          <t>ORIG_BAL x ASSET_CLASS / SYS_FLAG</t>
        </is>
      </c>
      <c r="C1070" t="inlineStr">
        <is>
          <t>5,005 - 15,448</t>
        </is>
      </c>
      <c r="D1070" t="inlineStr">
        <is>
          <t>3 / SYS_FLAG N</t>
        </is>
      </c>
      <c r="E1070" t="inlineStr">
        <is>
          <t>outcome_booked</t>
        </is>
      </c>
      <c r="F1070" t="inlineStr">
        <is>
          <t>Outcome, share of booked dollars</t>
        </is>
      </c>
      <c r="G1070" t="n">
        <v>170</v>
      </c>
      <c r="H1070" t="n">
        <v>1720324.41</v>
      </c>
      <c r="I1070" t="b">
        <v>0</v>
      </c>
      <c r="J1070" t="b">
        <v>0</v>
      </c>
      <c r="K1070" t="n">
        <v>0.7795657791049355</v>
      </c>
      <c r="L1070" t="n">
        <v>0.7851004373246886</v>
      </c>
      <c r="M1070" t="n">
        <v>0.7527556842333503</v>
      </c>
      <c r="N1070" t="n">
        <v>0.6170582941705829</v>
      </c>
      <c r="O1070" t="n">
        <v>-28418.24678957069</v>
      </c>
      <c r="P1070" t="n">
        <v>-33009.83119219939</v>
      </c>
      <c r="Q1070">
        <f>'_live'!$C$21</f>
        <v/>
      </c>
      <c r="R1070" t="inlineStr">
        <is>
          <t>shuffled: 4,661 of 10,000</t>
        </is>
      </c>
      <c r="S1070" t="inlineStr">
        <is>
          <t>shuffled: 3,856 of 10,000</t>
        </is>
      </c>
      <c r="T1070" t="n">
        <v>0.07493900338807068</v>
      </c>
      <c r="U1070" t="n">
        <v>0.07760802579799433</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0.05841988256156872</v>
      </c>
      <c r="AI1070">
        <f>IF($Y1070="worse","Yes",IF($Y1070="worse, not significant","Not sure",IF(OR($Y1070="too few losses to test",$Y1070="too few loans to test"),"Too few losses",IF($Y1070="","","No"))))</f>
        <v/>
      </c>
      <c r="AJ1070">
        <f>IF($AA1070="yes","Yes",IF($AA1070="","","No"))</f>
        <v/>
      </c>
      <c r="AK1070" t="n">
        <v>0.008401736273354176</v>
      </c>
      <c r="AL1070" t="n">
        <v>0.007788018568726085</v>
      </c>
      <c r="AM1070">
        <f>IF(AND(ISNUMBER($AC1070),ISNUMBER(IF($V1070,IF($AL1070="","",$AL1070),IF($AK1070="","",$AK1070)))),IF(AND(ABS($AC1070-significance_bar)&lt;=2.0*IF($V1070,IF($AL1070="","",$AL1070),IF($AK1070="","",$AK1070)),OR($Y1070="worse",$Y1070="better",$Y1070="worse, not significant",$Y1070="better, not significant")),IF(ROUND($AC1070,3)=ROUND(significance_bar,3),TEXT($AC1070,"0.0000"),TEXT($AC1070,"0.000")),""),"")</f>
        <v/>
      </c>
      <c r="AN1070">
        <f>IF(AND(ISNUMBER($AC1070),ISNUMBER(IF($V1070,IF($AL1070="","",$AL1070),IF($AK1070="","",$AK1070)))),IF(AND(ABS($AC1070-significance_bar)&lt;=2.0*IF($V1070,IF($AL1070="","",$AL1070),IF($AK1070="","",$AK1070)),OR($Y1070="worse",$Y1070="worse, not significant")),IF(ROUND($AC1070,3)=ROUND(significance_bar,3),TEXT($AC1070,"0.0000"),TEXT($AC1070,"0.000")),""),"")</f>
        <v/>
      </c>
      <c r="AO1070">
        <f>IF(OR($AI1070="",$AN1070=""),$AI1070,$AI1070&amp;" · borderline (p "&amp;$AN1070&amp;")")</f>
        <v/>
      </c>
    </row>
    <row r="1071">
      <c r="A1071" t="inlineStr">
        <is>
          <t>three-way</t>
        </is>
      </c>
      <c r="B1071" t="inlineStr">
        <is>
          <t>ORIG_BAL x ASSET_CLASS / SYS_FLAG</t>
        </is>
      </c>
      <c r="C1071" t="inlineStr">
        <is>
          <t>5,005 - 15,448</t>
        </is>
      </c>
      <c r="D1071" t="inlineStr">
        <is>
          <t>3 / SYS_FLAG N</t>
        </is>
      </c>
      <c r="E1071" t="inlineStr">
        <is>
          <t>gco_rate</t>
        </is>
      </c>
      <c r="F1071" t="inlineStr">
        <is>
          <t>GCO per booked dollar</t>
        </is>
      </c>
      <c r="G1071" t="n">
        <v>170</v>
      </c>
      <c r="H1071" t="n">
        <v>1720324.41</v>
      </c>
      <c r="I1071" t="b">
        <v>0</v>
      </c>
      <c r="J1071" t="b">
        <v>0</v>
      </c>
      <c r="K1071" t="n">
        <v>0.8049026177870868</v>
      </c>
      <c r="L1071" t="n">
        <v>0.9412575983780932</v>
      </c>
      <c r="M1071" t="n">
        <v>0.7921552820400009</v>
      </c>
      <c r="N1071" t="n">
        <v>0.7733044877330449</v>
      </c>
      <c r="O1071" t="n">
        <v>-13982.19536218551</v>
      </c>
      <c r="P1071" t="n">
        <v>-15135.47075591364</v>
      </c>
      <c r="Q1071">
        <f>'_live'!$C$22</f>
        <v/>
      </c>
      <c r="R1071" t="inlineStr">
        <is>
          <t>shuffled: 5,359 of 10,000</t>
        </is>
      </c>
      <c r="S1071" t="inlineStr">
        <is>
          <t>shuffled: 4,879 of 10,000</t>
        </is>
      </c>
      <c r="T1071" t="n">
        <v>0.04165945384811781</v>
      </c>
      <c r="U1071" t="n">
        <v>0.04232983635680299</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0.03353180345793035</v>
      </c>
      <c r="AI1071">
        <f>IF($Y1071="worse","Yes",IF($Y1071="worse, not significant","Not sure",IF(OR($Y1071="too few losses to test",$Y1071="too few loans to test"),"Too few losses",IF($Y1071="","","No"))))</f>
        <v/>
      </c>
      <c r="AJ1071">
        <f>IF($AA1071="yes","Yes",IF($AA1071="","","No"))</f>
        <v/>
      </c>
      <c r="AK1071" t="n">
        <v>0.003907213937934329</v>
      </c>
      <c r="AL1071" t="n">
        <v>0.007258145058233783</v>
      </c>
      <c r="AM1071">
        <f>IF(AND(ISNUMBER($AC1071),ISNUMBER(IF($V1071,IF($AL1071="","",$AL1071),IF($AK1071="","",$AK1071)))),IF(AND(ABS($AC1071-significance_bar)&lt;=2.0*IF($V1071,IF($AL1071="","",$AL1071),IF($AK1071="","",$AK1071)),OR($Y1071="worse",$Y1071="better",$Y1071="worse, not significant",$Y1071="better, not significant")),IF(ROUND($AC1071,3)=ROUND(significance_bar,3),TEXT($AC1071,"0.0000"),TEXT($AC1071,"0.000")),""),"")</f>
        <v/>
      </c>
      <c r="AN1071">
        <f>IF(AND(ISNUMBER($AC1071),ISNUMBER(IF($V1071,IF($AL1071="","",$AL1071),IF($AK1071="","",$AK1071)))),IF(AND(ABS($AC1071-significance_bar)&lt;=2.0*IF($V1071,IF($AL1071="","",$AL1071),IF($AK1071="","",$AK1071)),OR($Y1071="worse",$Y1071="worse, not significant")),IF(ROUND($AC1071,3)=ROUND(significance_bar,3),TEXT($AC1071,"0.0000"),TEXT($AC1071,"0.000")),""),"")</f>
        <v/>
      </c>
      <c r="AO1071">
        <f>IF(OR($AI1071="",$AN1071=""),$AI1071,$AI1071&amp;" · borderline (p "&amp;$AN1071&amp;")")</f>
        <v/>
      </c>
    </row>
    <row r="1072">
      <c r="A1072" t="inlineStr">
        <is>
          <t>three-way</t>
        </is>
      </c>
      <c r="B1072" t="inlineStr">
        <is>
          <t>ORIG_BAL x ASSET_CLASS / SYS_FLAG</t>
        </is>
      </c>
      <c r="C1072" t="inlineStr">
        <is>
          <t>5,005 - 15,448</t>
        </is>
      </c>
      <c r="D1072" t="inlineStr">
        <is>
          <t>3 / SYS_FLAG N</t>
        </is>
      </c>
      <c r="E1072" t="inlineStr">
        <is>
          <t>ranr_rate</t>
        </is>
      </c>
      <c r="F1072" t="inlineStr">
        <is>
          <t>Profit after losses: RANR per booked dollar</t>
        </is>
      </c>
      <c r="G1072" t="n">
        <v>170</v>
      </c>
      <c r="H1072" t="n">
        <v>1720324.41</v>
      </c>
      <c r="I1072" t="b">
        <v>0</v>
      </c>
      <c r="J1072" t="b">
        <v>0</v>
      </c>
      <c r="K1072" t="n">
        <v>0.02507544335061643</v>
      </c>
      <c r="L1072" t="n">
        <v>0.4431556844315568</v>
      </c>
      <c r="M1072" t="n">
        <v>0.006955565820574355</v>
      </c>
      <c r="N1072" t="n">
        <v>0.8101689831016898</v>
      </c>
      <c r="O1072" t="n">
        <v>-43137.89728763764</v>
      </c>
      <c r="P1072" t="n">
        <v>-11965.82966649573</v>
      </c>
      <c r="Q1072">
        <f>'_live'!$C$23</f>
        <v/>
      </c>
      <c r="R1072" t="inlineStr">
        <is>
          <t>shuffled: 1,107 of 10,000</t>
        </is>
      </c>
      <c r="S1072" t="inlineStr">
        <is>
          <t>shuffled: 6,481 of 10,000</t>
        </is>
      </c>
      <c r="T1072" t="n">
        <v>0.1278228928416836</v>
      </c>
      <c r="U1072" t="n">
        <v>0.1459427703717256</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0.1528983361923</v>
      </c>
      <c r="AI1072">
        <f>IF($Y1072="worse","Yes",IF($Y1072="worse, not significant","Not sure",IF(OR($Y1072="too few losses to test",$Y1072="too few loans to test"),"Too few losses",IF($Y1072="","","No"))))</f>
        <v/>
      </c>
      <c r="AJ1072">
        <f>IF($AA1072="yes","Yes",IF($AA1072="","","No"))</f>
        <v/>
      </c>
      <c r="AK1072" t="n">
        <v>0.01255482288637409</v>
      </c>
      <c r="AL1072" t="n">
        <v>0.005969400704401457</v>
      </c>
      <c r="AM1072">
        <f>IF(AND(ISNUMBER($AC1072),ISNUMBER(IF($V1072,IF($AL1072="","",$AL1072),IF($AK1072="","",$AK1072)))),IF(AND(ABS($AC1072-significance_bar)&lt;=2.0*IF($V1072,IF($AL1072="","",$AL1072),IF($AK1072="","",$AK1072)),OR($Y1072="worse",$Y1072="better",$Y1072="worse, not significant",$Y1072="better, not significant",AND(profit_kind="test",$Y1072="in line",ISNUMBER($AB1072),$AB1072&lt;&gt;0))),IF(ROUND($AC1072,3)=ROUND(significance_bar,3),TEXT($AC1072,"0.0000"),TEXT($AC1072,"0.000")),""),"")</f>
        <v/>
      </c>
      <c r="AN1072">
        <f>IF(AND(ISNUMBER($AC1072),ISNUMBER(IF($V1072,IF($AL1072="","",$AL1072),IF($AK1072="","",$AK1072)))),IF(AND(ABS($AC1072-significance_bar)&lt;=2.0*IF($V1072,IF($AL1072="","",$AL1072),IF($AK1072="","",$AK1072)),OR($Y1072="worse",$Y1072="worse, not significant",AND(profit_kind="test",$Y1072="in line",ISNUMBER($AB1072),$AB1072&lt;0))),IF(ROUND($AC1072,3)=ROUND(significance_bar,3),TEXT($AC1072,"0.0000"),TEXT($AC1072,"0.000")),""),"")</f>
        <v/>
      </c>
      <c r="AO1072">
        <f>IF(OR($AI1072="",$AN1072=""),$AI1072,$AI1072&amp;" · borderline (p "&amp;$AN1072&amp;")")</f>
        <v/>
      </c>
    </row>
    <row r="1073">
      <c r="A1073" t="inlineStr">
        <is>
          <t>three-way</t>
        </is>
      </c>
      <c r="B1073" t="inlineStr">
        <is>
          <t>ORIG_BAL x ASSET_CLASS / SYS_FLAG</t>
        </is>
      </c>
      <c r="C1073" t="inlineStr">
        <is>
          <t>5,005 - 15,448</t>
        </is>
      </c>
      <c r="D1073" t="inlineStr">
        <is>
          <t>3 / SYS_FLAG N</t>
        </is>
      </c>
      <c r="E1073" t="inlineStr">
        <is>
          <t>contribution_rate</t>
        </is>
      </c>
      <c r="F1073" t="inlineStr">
        <is>
          <t>Contribution before losses per booked dollar</t>
        </is>
      </c>
      <c r="G1073" t="n">
        <v>170</v>
      </c>
      <c r="H1073" t="n">
        <v>1720324.41</v>
      </c>
      <c r="I1073" t="b">
        <v>0</v>
      </c>
      <c r="J1073" t="b">
        <v>0</v>
      </c>
      <c r="K1073" t="n">
        <v>0.01695069727901019</v>
      </c>
      <c r="L1073" t="n">
        <v>0.4457332044573321</v>
      </c>
      <c r="M1073" t="n">
        <v>-0.001842467078298299</v>
      </c>
      <c r="N1073" t="n">
        <v>0.9516886149222916</v>
      </c>
      <c r="O1073" t="n">
        <v>-29160.69829560182</v>
      </c>
      <c r="P1073" t="n">
        <v>3169.641089417913</v>
      </c>
      <c r="Q1073">
        <f>'_live'!$C$24</f>
        <v/>
      </c>
      <c r="R1073" t="inlineStr">
        <is>
          <t>shuffled: 1,002 of 10,000</t>
        </is>
      </c>
      <c r="S1073" t="inlineStr">
        <is>
          <t>shuffled: 8,516 of 10,000</t>
        </is>
      </c>
      <c r="T1073" t="n">
        <v>0.1694794423712201</v>
      </c>
      <c r="U1073" t="n">
        <v>0.1882726067285286</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0.1864301396502303</v>
      </c>
      <c r="AI1073">
        <f>IF($Y1073="worse","Yes",IF($Y1073="worse, not significant","Not sure",IF(OR($Y1073="too few losses to test",$Y1073="too few loans to test"),"Too few losses",IF($Y1073="","","No"))))</f>
        <v/>
      </c>
      <c r="AJ1073">
        <f>IF($AA1073="yes","Yes",IF($AA1073="","","No"))</f>
        <v/>
      </c>
      <c r="AK1073" t="n">
        <v>0.01335049952136251</v>
      </c>
      <c r="AL1073" t="n">
        <v>0.003509149995369788</v>
      </c>
      <c r="AM1073">
        <f>IF(AND(ISNUMBER($AC1073),ISNUMBER(IF($V1073,IF($AL1073="","",$AL1073),IF($AK1073="","",$AK1073)))),IF(AND(ABS($AC1073-significance_bar)&lt;=2.0*IF($V1073,IF($AL1073="","",$AL1073),IF($AK1073="","",$AK1073)),OR($Y1073="worse",$Y1073="better",$Y1073="worse, not significant",$Y1073="better, not significant",AND(profit_kind="test",$Y1073="in line",ISNUMBER($AB1073),$AB1073&lt;&gt;0))),IF(ROUND($AC1073,3)=ROUND(significance_bar,3),TEXT($AC1073,"0.0000"),TEXT($AC1073,"0.000")),""),"")</f>
        <v/>
      </c>
      <c r="AN1073">
        <f>IF(AND(ISNUMBER($AC1073),ISNUMBER(IF($V1073,IF($AL1073="","",$AL1073),IF($AK1073="","",$AK1073)))),IF(AND(ABS($AC1073-significance_bar)&lt;=2.0*IF($V1073,IF($AL1073="","",$AL1073),IF($AK1073="","",$AK1073)),OR($Y1073="worse",$Y1073="worse, not significant",AND(profit_kind="test",$Y1073="in line",ISNUMBER($AB1073),$AB1073&lt;0))),IF(ROUND($AC1073,3)=ROUND(significance_bar,3),TEXT($AC1073,"0.0000"),TEXT($AC1073,"0.000")),""),"")</f>
        <v/>
      </c>
      <c r="AO1073">
        <f>IF(OR($AI1073="",$AN1073=""),$AI1073,$AI1073&amp;" · borderline (p "&amp;$AN1073&amp;")")</f>
        <v/>
      </c>
    </row>
    <row r="1074">
      <c r="A1074" t="inlineStr">
        <is>
          <t>three-way</t>
        </is>
      </c>
      <c r="B1074" t="inlineStr">
        <is>
          <t>ORIG_BAL x ASSET_CLASS / SYS_FLAG</t>
        </is>
      </c>
      <c r="C1074" t="inlineStr">
        <is>
          <t>49,152 - 59,984</t>
        </is>
      </c>
      <c r="D1074" t="inlineStr">
        <is>
          <t>3 / SYS_FLAG N</t>
        </is>
      </c>
      <c r="E1074" t="inlineStr">
        <is>
          <t>outcome_loans</t>
        </is>
      </c>
      <c r="F1074" t="inlineStr">
        <is>
          <t>Outcome, share of loans</t>
        </is>
      </c>
      <c r="G1074" t="n">
        <v>226</v>
      </c>
      <c r="H1074" t="n">
        <v>226</v>
      </c>
      <c r="I1074" t="b">
        <v>1</v>
      </c>
      <c r="J1074" t="b">
        <v>0</v>
      </c>
      <c r="K1074" t="n">
        <v>0.4503280564286024</v>
      </c>
      <c r="M1074" t="n">
        <v>0.511970190964136</v>
      </c>
      <c r="O1074" t="n">
        <v>-9.764826965135729</v>
      </c>
      <c r="P1074" t="n">
        <v>-7.625909752547308</v>
      </c>
      <c r="Q1074">
        <f>'_live'!$C$20</f>
        <v/>
      </c>
      <c r="T1074" t="n">
        <v>0.07860542904927313</v>
      </c>
      <c r="U1074" t="n">
        <v>0.06914119359534207</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0.03539823008849557</v>
      </c>
      <c r="AI1074">
        <f>IF($Y1074="worse","Yes",IF($Y1074="worse, not significant","Not sure",IF(OR($Y1074="too few losses to test",$Y1074="too few loans to test"),"Too few losses",IF($Y1074="","","No"))))</f>
        <v/>
      </c>
      <c r="AJ1074">
        <f>IF($AA1074="yes","Yes",IF($AA1074="","","No"))</f>
        <v/>
      </c>
      <c r="AM1074">
        <f>IF(AND(ISNUMBER($AC1074),ISNUMBER(IF($V1074,IF($AL1074="","",$AL1074),IF($AK1074="","",$AK1074)))),IF(AND(ABS($AC1074-significance_bar)&lt;=2.0*IF($V1074,IF($AL1074="","",$AL1074),IF($AK1074="","",$AK1074)),OR($Y1074="worse",$Y1074="better",$Y1074="worse, not significant",$Y1074="better, not significant")),IF(ROUND($AC1074,3)=ROUND(significance_bar,3),TEXT($AC1074,"0.0000"),TEXT($AC1074,"0.000")),""),"")</f>
        <v/>
      </c>
      <c r="AN1074">
        <f>IF(AND(ISNUMBER($AC1074),ISNUMBER(IF($V1074,IF($AL1074="","",$AL1074),IF($AK1074="","",$AK1074)))),IF(AND(ABS($AC1074-significance_bar)&lt;=2.0*IF($V1074,IF($AL1074="","",$AL1074),IF($AK1074="","",$AK1074)),OR($Y1074="worse",$Y1074="worse, not significant")),IF(ROUND($AC1074,3)=ROUND(significance_bar,3),TEXT($AC1074,"0.0000"),TEXT($AC1074,"0.000")),""),"")</f>
        <v/>
      </c>
      <c r="AO1074">
        <f>IF(OR($AI1074="",$AN1074=""),$AI1074,$AI1074&amp;" · borderline (p "&amp;$AN1074&amp;")")</f>
        <v/>
      </c>
    </row>
    <row r="1075">
      <c r="A1075" t="inlineStr">
        <is>
          <t>three-way</t>
        </is>
      </c>
      <c r="B1075" t="inlineStr">
        <is>
          <t>ORIG_BAL x ASSET_CLASS / SYS_FLAG</t>
        </is>
      </c>
      <c r="C1075" t="inlineStr">
        <is>
          <t>49,152 - 59,984</t>
        </is>
      </c>
      <c r="D1075" t="inlineStr">
        <is>
          <t>3 / SYS_FLAG N</t>
        </is>
      </c>
      <c r="E1075" t="inlineStr">
        <is>
          <t>outcome_booked</t>
        </is>
      </c>
      <c r="F1075" t="inlineStr">
        <is>
          <t>Outcome, share of booked dollars</t>
        </is>
      </c>
      <c r="G1075" t="n">
        <v>226</v>
      </c>
      <c r="H1075" t="n">
        <v>12380371.94999999</v>
      </c>
      <c r="I1075" t="b">
        <v>1</v>
      </c>
      <c r="J1075" t="b">
        <v>0</v>
      </c>
      <c r="K1075" t="n">
        <v>0.4534170763693915</v>
      </c>
      <c r="M1075" t="n">
        <v>0.5000953883967952</v>
      </c>
      <c r="O1075" t="n">
        <v>-519996.4192664922</v>
      </c>
      <c r="P1075" t="n">
        <v>-431197.7235682401</v>
      </c>
      <c r="Q1075">
        <f>'_live'!$C$21</f>
        <v/>
      </c>
      <c r="T1075" t="n">
        <v>0.07684411285126962</v>
      </c>
      <c r="U1075" t="n">
        <v>0.06967157425090453</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0.03484243298522226</v>
      </c>
      <c r="AI1075">
        <f>IF($Y1075="worse","Yes",IF($Y1075="worse, not significant","Not sure",IF(OR($Y1075="too few losses to test",$Y1075="too few loans to test"),"Too few losses",IF($Y1075="","","No"))))</f>
        <v/>
      </c>
      <c r="AJ1075">
        <f>IF($AA1075="yes","Yes",IF($AA1075="","","No"))</f>
        <v/>
      </c>
      <c r="AM1075">
        <f>IF(AND(ISNUMBER($AC1075),ISNUMBER(IF($V1075,IF($AL1075="","",$AL1075),IF($AK1075="","",$AK1075)))),IF(AND(ABS($AC1075-significance_bar)&lt;=2.0*IF($V1075,IF($AL1075="","",$AL1075),IF($AK1075="","",$AK1075)),OR($Y1075="worse",$Y1075="better",$Y1075="worse, not significant",$Y1075="better, not significant")),IF(ROUND($AC1075,3)=ROUND(significance_bar,3),TEXT($AC1075,"0.0000"),TEXT($AC1075,"0.000")),""),"")</f>
        <v/>
      </c>
      <c r="AN1075">
        <f>IF(AND(ISNUMBER($AC1075),ISNUMBER(IF($V1075,IF($AL1075="","",$AL1075),IF($AK1075="","",$AK1075)))),IF(AND(ABS($AC1075-significance_bar)&lt;=2.0*IF($V1075,IF($AL1075="","",$AL1075),IF($AK1075="","",$AK1075)),OR($Y1075="worse",$Y1075="worse, not significant")),IF(ROUND($AC1075,3)=ROUND(significance_bar,3),TEXT($AC1075,"0.0000"),TEXT($AC1075,"0.000")),""),"")</f>
        <v/>
      </c>
      <c r="AO1075">
        <f>IF(OR($AI1075="",$AN1075=""),$AI1075,$AI1075&amp;" · borderline (p "&amp;$AN1075&amp;")")</f>
        <v/>
      </c>
    </row>
    <row r="1076">
      <c r="A1076" t="inlineStr">
        <is>
          <t>three-way</t>
        </is>
      </c>
      <c r="B1076" t="inlineStr">
        <is>
          <t>ORIG_BAL x ASSET_CLASS / SYS_FLAG</t>
        </is>
      </c>
      <c r="C1076" t="inlineStr">
        <is>
          <t>49,152 - 59,984</t>
        </is>
      </c>
      <c r="D1076" t="inlineStr">
        <is>
          <t>3 / SYS_FLAG N</t>
        </is>
      </c>
      <c r="E1076" t="inlineStr">
        <is>
          <t>gco_rate</t>
        </is>
      </c>
      <c r="F1076" t="inlineStr">
        <is>
          <t>GCO per booked dollar</t>
        </is>
      </c>
      <c r="G1076" t="n">
        <v>226</v>
      </c>
      <c r="H1076" t="n">
        <v>12380371.94999999</v>
      </c>
      <c r="I1076" t="b">
        <v>1</v>
      </c>
      <c r="J1076" t="b">
        <v>0</v>
      </c>
      <c r="K1076" t="n">
        <v>0.3983344849619103</v>
      </c>
      <c r="M1076" t="n">
        <v>0.4420502320302219</v>
      </c>
      <c r="O1076" t="n">
        <v>-319123.6296043748</v>
      </c>
      <c r="P1076" t="n">
        <v>-266670.6547296754</v>
      </c>
      <c r="Q1076">
        <f>'_live'!$C$22</f>
        <v/>
      </c>
      <c r="T1076" t="n">
        <v>0.0428420407518027</v>
      </c>
      <c r="U1076" t="n">
        <v>0.03860525569505815</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0.0170654622375865</v>
      </c>
      <c r="AI1076">
        <f>IF($Y1076="worse","Yes",IF($Y1076="worse, not significant","Not sure",IF(OR($Y1076="too few losses to test",$Y1076="too few loans to test"),"Too few losses",IF($Y1076="","","No"))))</f>
        <v/>
      </c>
      <c r="AJ1076">
        <f>IF($AA1076="yes","Yes",IF($AA1076="","","No"))</f>
        <v/>
      </c>
      <c r="AM1076">
        <f>IF(AND(ISNUMBER($AC1076),ISNUMBER(IF($V1076,IF($AL1076="","",$AL1076),IF($AK1076="","",$AK1076)))),IF(AND(ABS($AC1076-significance_bar)&lt;=2.0*IF($V1076,IF($AL1076="","",$AL1076),IF($AK1076="","",$AK1076)),OR($Y1076="worse",$Y1076="better",$Y1076="worse, not significant",$Y1076="better, not significant")),IF(ROUND($AC1076,3)=ROUND(significance_bar,3),TEXT($AC1076,"0.0000"),TEXT($AC1076,"0.000")),""),"")</f>
        <v/>
      </c>
      <c r="AN1076">
        <f>IF(AND(ISNUMBER($AC1076),ISNUMBER(IF($V1076,IF($AL1076="","",$AL1076),IF($AK1076="","",$AK1076)))),IF(AND(ABS($AC1076-significance_bar)&lt;=2.0*IF($V1076,IF($AL1076="","",$AL1076),IF($AK1076="","",$AK1076)),OR($Y1076="worse",$Y1076="worse, not significant")),IF(ROUND($AC1076,3)=ROUND(significance_bar,3),TEXT($AC1076,"0.0000"),TEXT($AC1076,"0.000")),""),"")</f>
        <v/>
      </c>
      <c r="AO1076">
        <f>IF(OR($AI1076="",$AN1076=""),$AI1076,$AI1076&amp;" · borderline (p "&amp;$AN1076&amp;")")</f>
        <v/>
      </c>
    </row>
    <row r="1077">
      <c r="A1077" t="inlineStr">
        <is>
          <t>three-way</t>
        </is>
      </c>
      <c r="B1077" t="inlineStr">
        <is>
          <t>ORIG_BAL x ASSET_CLASS / SYS_FLAG</t>
        </is>
      </c>
      <c r="C1077" t="inlineStr">
        <is>
          <t>49,152 - 59,984</t>
        </is>
      </c>
      <c r="D1077" t="inlineStr">
        <is>
          <t>3 / SYS_FLAG N</t>
        </is>
      </c>
      <c r="E1077" t="inlineStr">
        <is>
          <t>ranr_rate</t>
        </is>
      </c>
      <c r="F1077" t="inlineStr">
        <is>
          <t>Profit after losses: RANR per booked dollar</t>
        </is>
      </c>
      <c r="G1077" t="n">
        <v>226</v>
      </c>
      <c r="H1077" t="n">
        <v>12380371.94999999</v>
      </c>
      <c r="I1077" t="b">
        <v>0</v>
      </c>
      <c r="J1077" t="b">
        <v>0</v>
      </c>
      <c r="K1077" t="n">
        <v>0.01628281191884867</v>
      </c>
      <c r="L1077" t="n">
        <v>0.5817196058171961</v>
      </c>
      <c r="M1077" t="n">
        <v>0.01522558272206143</v>
      </c>
      <c r="N1077" t="n">
        <v>0.4690057310058468</v>
      </c>
      <c r="O1077" t="n">
        <v>-201587.2679472398</v>
      </c>
      <c r="P1077" t="n">
        <v>-188498.3772546139</v>
      </c>
      <c r="Q1077">
        <f>'_live'!$C$23</f>
        <v/>
      </c>
      <c r="R1077" t="inlineStr">
        <is>
          <t>shuffled: 2,355 of 10,000</t>
        </is>
      </c>
      <c r="S1077" t="inlineStr">
        <is>
          <t>shuffled: 2,223 of 10,000</t>
        </is>
      </c>
      <c r="T1077" t="n">
        <v>0.1272089108803198</v>
      </c>
      <c r="U1077" t="n">
        <v>0.128266140077107</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0.1434917227991685</v>
      </c>
      <c r="AI1077">
        <f>IF($Y1077="worse","Yes",IF($Y1077="worse, not significant","Not sure",IF(OR($Y1077="too few losses to test",$Y1077="too few loans to test"),"Too few losses",IF($Y1077="","","No"))))</f>
        <v/>
      </c>
      <c r="AJ1077">
        <f>IF($AA1077="yes","Yes",IF($AA1077="","","No"))</f>
        <v/>
      </c>
      <c r="AK1077" t="n">
        <v>0.009768892134511521</v>
      </c>
      <c r="AL1077" t="n">
        <v>0.008760217523622172</v>
      </c>
      <c r="AM1077">
        <f>IF(AND(ISNUMBER($AC1077),ISNUMBER(IF($V1077,IF($AL1077="","",$AL1077),IF($AK1077="","",$AK1077)))),IF(AND(ABS($AC1077-significance_bar)&lt;=2.0*IF($V1077,IF($AL1077="","",$AL1077),IF($AK1077="","",$AK1077)),OR($Y1077="worse",$Y1077="better",$Y1077="worse, not significant",$Y1077="better, not significant",AND(profit_kind="test",$Y1077="in line",ISNUMBER($AB1077),$AB1077&lt;&gt;0))),IF(ROUND($AC1077,3)=ROUND(significance_bar,3),TEXT($AC1077,"0.0000"),TEXT($AC1077,"0.000")),""),"")</f>
        <v/>
      </c>
      <c r="AN1077">
        <f>IF(AND(ISNUMBER($AC1077),ISNUMBER(IF($V1077,IF($AL1077="","",$AL1077),IF($AK1077="","",$AK1077)))),IF(AND(ABS($AC1077-significance_bar)&lt;=2.0*IF($V1077,IF($AL1077="","",$AL1077),IF($AK1077="","",$AK1077)),OR($Y1077="worse",$Y1077="worse, not significant",AND(profit_kind="test",$Y1077="in line",ISNUMBER($AB1077),$AB1077&lt;0))),IF(ROUND($AC1077,3)=ROUND(significance_bar,3),TEXT($AC1077,"0.0000"),TEXT($AC1077,"0.000")),""),"")</f>
        <v/>
      </c>
      <c r="AO1077">
        <f>IF(OR($AI1077="",$AN1077=""),$AI1077,$AI1077&amp;" · borderline (p "&amp;$AN1077&amp;")")</f>
        <v/>
      </c>
    </row>
    <row r="1078">
      <c r="A1078" t="inlineStr">
        <is>
          <t>three-way</t>
        </is>
      </c>
      <c r="B1078" t="inlineStr">
        <is>
          <t>ORIG_BAL x ASSET_CLASS / SYS_FLAG</t>
        </is>
      </c>
      <c r="C1078" t="inlineStr">
        <is>
          <t>49,152 - 59,984</t>
        </is>
      </c>
      <c r="D1078" t="inlineStr">
        <is>
          <t>3 / SYS_FLAG N</t>
        </is>
      </c>
      <c r="E1078" t="inlineStr">
        <is>
          <t>contribution_rate</t>
        </is>
      </c>
      <c r="F1078" t="inlineStr">
        <is>
          <t>Contribution before losses per booked dollar</t>
        </is>
      </c>
      <c r="G1078" t="n">
        <v>226</v>
      </c>
      <c r="H1078" t="n">
        <v>12380371.94999999</v>
      </c>
      <c r="I1078" t="b">
        <v>0</v>
      </c>
      <c r="J1078" t="b">
        <v>0</v>
      </c>
      <c r="K1078" t="n">
        <v>-0.009490637053659767</v>
      </c>
      <c r="L1078" t="n">
        <v>0.774705138181834</v>
      </c>
      <c r="M1078" t="n">
        <v>-0.006314210735410192</v>
      </c>
      <c r="N1078" t="n">
        <v>0.8694368658372257</v>
      </c>
      <c r="O1078" t="n">
        <v>117497.6167667601</v>
      </c>
      <c r="P1078" t="n">
        <v>78172.27747506136</v>
      </c>
      <c r="Q1078">
        <f>'_live'!$C$24</f>
        <v/>
      </c>
      <c r="R1078" t="inlineStr">
        <is>
          <t>shuffled: 2,955 of 10,000</t>
        </is>
      </c>
      <c r="S1078" t="inlineStr">
        <is>
          <t>shuffled: 4,564 of 10,000</t>
        </is>
      </c>
      <c r="T1078" t="n">
        <v>0.1700478220904148</v>
      </c>
      <c r="U1078" t="n">
        <v>0.1668713957721652</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0.160557185036755</v>
      </c>
      <c r="AI1078">
        <f>IF($Y1078="worse","Yes",IF($Y1078="worse, not significant","Not sure",IF(OR($Y1078="too few losses to test",$Y1078="too few loans to test"),"Too few losses",IF($Y1078="","","No"))))</f>
        <v/>
      </c>
      <c r="AJ1078">
        <f>IF($AA1078="yes","Yes",IF($AA1078="","","No"))</f>
        <v/>
      </c>
      <c r="AK1078" t="n">
        <v>0.008643756316955952</v>
      </c>
      <c r="AL1078" t="n">
        <v>0.009487622236184769</v>
      </c>
      <c r="AM1078">
        <f>IF(AND(ISNUMBER($AC1078),ISNUMBER(IF($V1078,IF($AL1078="","",$AL1078),IF($AK1078="","",$AK1078)))),IF(AND(ABS($AC1078-significance_bar)&lt;=2.0*IF($V1078,IF($AL1078="","",$AL1078),IF($AK1078="","",$AK1078)),OR($Y1078="worse",$Y1078="better",$Y1078="worse, not significant",$Y1078="better, not significant",AND(profit_kind="test",$Y1078="in line",ISNUMBER($AB1078),$AB1078&lt;&gt;0))),IF(ROUND($AC1078,3)=ROUND(significance_bar,3),TEXT($AC1078,"0.0000"),TEXT($AC1078,"0.000")),""),"")</f>
        <v/>
      </c>
      <c r="AN1078">
        <f>IF(AND(ISNUMBER($AC1078),ISNUMBER(IF($V1078,IF($AL1078="","",$AL1078),IF($AK1078="","",$AK1078)))),IF(AND(ABS($AC1078-significance_bar)&lt;=2.0*IF($V1078,IF($AL1078="","",$AL1078),IF($AK1078="","",$AK1078)),OR($Y1078="worse",$Y1078="worse, not significant",AND(profit_kind="test",$Y1078="in line",ISNUMBER($AB1078),$AB1078&lt;0))),IF(ROUND($AC1078,3)=ROUND(significance_bar,3),TEXT($AC1078,"0.0000"),TEXT($AC1078,"0.000")),""),"")</f>
        <v/>
      </c>
      <c r="AO1078">
        <f>IF(OR($AI1078="",$AN1078=""),$AI1078,$AI1078&amp;" · borderline (p "&amp;$AN1078&amp;")")</f>
        <v/>
      </c>
    </row>
    <row r="1079">
      <c r="A1079" t="inlineStr">
        <is>
          <t>three-way</t>
        </is>
      </c>
      <c r="B1079" t="inlineStr">
        <is>
          <t>ORIG_BAL x ASSET_CLASS / SYS_FLAG</t>
        </is>
      </c>
      <c r="C1079" t="inlineStr">
        <is>
          <t>37,951 - 49,151</t>
        </is>
      </c>
      <c r="D1079" t="inlineStr">
        <is>
          <t>3 / SYS_FLAG N</t>
        </is>
      </c>
      <c r="E1079" t="inlineStr">
        <is>
          <t>outcome_loans</t>
        </is>
      </c>
      <c r="F1079" t="inlineStr">
        <is>
          <t>Outcome, share of loans</t>
        </is>
      </c>
      <c r="G1079" t="n">
        <v>187</v>
      </c>
      <c r="H1079" t="n">
        <v>187</v>
      </c>
      <c r="I1079" t="b">
        <v>0</v>
      </c>
      <c r="J1079" t="b">
        <v>0</v>
      </c>
      <c r="K1079" t="n">
        <v>0.8258728382771411</v>
      </c>
      <c r="L1079" t="n">
        <v>0.7933268312298792</v>
      </c>
      <c r="M1079" t="n">
        <v>0.7432278425528185</v>
      </c>
      <c r="N1079" t="n">
        <v>0.57171124817441</v>
      </c>
      <c r="O1079" t="n">
        <v>-2.530081925243216</v>
      </c>
      <c r="P1079" t="n">
        <v>-4.145789101203114</v>
      </c>
      <c r="Q1079">
        <f>'_live'!$C$20</f>
        <v/>
      </c>
      <c r="R1079" t="inlineStr">
        <is>
          <t>z test</t>
        </is>
      </c>
      <c r="S1079" t="inlineStr">
        <is>
          <t>z test</t>
        </is>
      </c>
      <c r="T1079" t="n">
        <v>0.07770097286226318</v>
      </c>
      <c r="U1079" t="n">
        <v>0.08634111818825195</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0.06417112299465241</v>
      </c>
      <c r="AI1079">
        <f>IF($Y1079="worse","Yes",IF($Y1079="worse, not significant","Not sure",IF(OR($Y1079="too few losses to test",$Y1079="too few loans to test"),"Too few losses",IF($Y1079="","","No"))))</f>
        <v/>
      </c>
      <c r="AJ1079">
        <f>IF($AA1079="yes","Yes",IF($AA1079="","","No"))</f>
        <v/>
      </c>
      <c r="AM1079">
        <f>IF(AND(ISNUMBER($AC1079),ISNUMBER(IF($V1079,IF($AL1079="","",$AL1079),IF($AK1079="","",$AK1079)))),IF(AND(ABS($AC1079-significance_bar)&lt;=2.0*IF($V1079,IF($AL1079="","",$AL1079),IF($AK1079="","",$AK1079)),OR($Y1079="worse",$Y1079="better",$Y1079="worse, not significant",$Y1079="better, not significant")),IF(ROUND($AC1079,3)=ROUND(significance_bar,3),TEXT($AC1079,"0.0000"),TEXT($AC1079,"0.000")),""),"")</f>
        <v/>
      </c>
      <c r="AN1079">
        <f>IF(AND(ISNUMBER($AC1079),ISNUMBER(IF($V1079,IF($AL1079="","",$AL1079),IF($AK1079="","",$AK1079)))),IF(AND(ABS($AC1079-significance_bar)&lt;=2.0*IF($V1079,IF($AL1079="","",$AL1079),IF($AK1079="","",$AK1079)),OR($Y1079="worse",$Y1079="worse, not significant")),IF(ROUND($AC1079,3)=ROUND(significance_bar,3),TEXT($AC1079,"0.0000"),TEXT($AC1079,"0.000")),""),"")</f>
        <v/>
      </c>
      <c r="AO1079">
        <f>IF(OR($AI1079="",$AN1079=""),$AI1079,$AI1079&amp;" · borderline (p "&amp;$AN1079&amp;")")</f>
        <v/>
      </c>
    </row>
    <row r="1080">
      <c r="A1080" t="inlineStr">
        <is>
          <t>three-way</t>
        </is>
      </c>
      <c r="B1080" t="inlineStr">
        <is>
          <t>ORIG_BAL x ASSET_CLASS / SYS_FLAG</t>
        </is>
      </c>
      <c r="C1080" t="inlineStr">
        <is>
          <t>37,951 - 49,151</t>
        </is>
      </c>
      <c r="D1080" t="inlineStr">
        <is>
          <t>3 / SYS_FLAG N</t>
        </is>
      </c>
      <c r="E1080" t="inlineStr">
        <is>
          <t>outcome_booked</t>
        </is>
      </c>
      <c r="F1080" t="inlineStr">
        <is>
          <t>Outcome, share of booked dollars</t>
        </is>
      </c>
      <c r="G1080" t="n">
        <v>187</v>
      </c>
      <c r="H1080" t="n">
        <v>8177562.970000001</v>
      </c>
      <c r="I1080" t="b">
        <v>0</v>
      </c>
      <c r="J1080" t="b">
        <v>0</v>
      </c>
      <c r="K1080" t="n">
        <v>0.854736245490164</v>
      </c>
      <c r="L1080" t="n">
        <v>0.8613995743282814</v>
      </c>
      <c r="M1080" t="n">
        <v>0.7507023071855486</v>
      </c>
      <c r="N1080" t="n">
        <v>0.6170582941705829</v>
      </c>
      <c r="O1080" t="n">
        <v>-89300.58939592447</v>
      </c>
      <c r="P1080" t="n">
        <v>-174493.6752128026</v>
      </c>
      <c r="Q1080">
        <f>'_live'!$C$21</f>
        <v/>
      </c>
      <c r="R1080" t="inlineStr">
        <is>
          <t>shuffled: 6,033 of 10,000</t>
        </is>
      </c>
      <c r="S1080" t="inlineStr">
        <is>
          <t>shuffled: 3,218 of 10,000</t>
        </is>
      </c>
      <c r="T1080" t="n">
        <v>0.07517495269081668</v>
      </c>
      <c r="U1080" t="n">
        <v>0.0855928591171463</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0.06425475681784935</v>
      </c>
      <c r="AI1080">
        <f>IF($Y1080="worse","Yes",IF($Y1080="worse, not significant","Not sure",IF(OR($Y1080="too few losses to test",$Y1080="too few loans to test"),"Too few losses",IF($Y1080="","","No"))))</f>
        <v/>
      </c>
      <c r="AJ1080">
        <f>IF($AA1080="yes","Yes",IF($AA1080="","","No"))</f>
        <v/>
      </c>
      <c r="AK1080" t="n">
        <v>0.004923895101667321</v>
      </c>
      <c r="AL1080" t="n">
        <v>0.007788018568726085</v>
      </c>
      <c r="AM1080">
        <f>IF(AND(ISNUMBER($AC1080),ISNUMBER(IF($V1080,IF($AL1080="","",$AL1080),IF($AK1080="","",$AK1080)))),IF(AND(ABS($AC1080-significance_bar)&lt;=2.0*IF($V1080,IF($AL1080="","",$AL1080),IF($AK1080="","",$AK1080)),OR($Y1080="worse",$Y1080="better",$Y1080="worse, not significant",$Y1080="better, not significant")),IF(ROUND($AC1080,3)=ROUND(significance_bar,3),TEXT($AC1080,"0.0000"),TEXT($AC1080,"0.000")),""),"")</f>
        <v/>
      </c>
      <c r="AN1080">
        <f>IF(AND(ISNUMBER($AC1080),ISNUMBER(IF($V1080,IF($AL1080="","",$AL1080),IF($AK1080="","",$AK1080)))),IF(AND(ABS($AC1080-significance_bar)&lt;=2.0*IF($V1080,IF($AL1080="","",$AL1080),IF($AK1080="","",$AK1080)),OR($Y1080="worse",$Y1080="worse, not significant")),IF(ROUND($AC1080,3)=ROUND(significance_bar,3),TEXT($AC1080,"0.0000"),TEXT($AC1080,"0.000")),""),"")</f>
        <v/>
      </c>
      <c r="AO1080">
        <f>IF(OR($AI1080="",$AN1080=""),$AI1080,$AI1080&amp;" · borderline (p "&amp;$AN1080&amp;")")</f>
        <v/>
      </c>
    </row>
    <row r="1081">
      <c r="A1081" t="inlineStr">
        <is>
          <t>three-way</t>
        </is>
      </c>
      <c r="B1081" t="inlineStr">
        <is>
          <t>ORIG_BAL x ASSET_CLASS / SYS_FLAG</t>
        </is>
      </c>
      <c r="C1081" t="inlineStr">
        <is>
          <t>37,951 - 49,151</t>
        </is>
      </c>
      <c r="D1081" t="inlineStr">
        <is>
          <t>3 / SYS_FLAG N</t>
        </is>
      </c>
      <c r="E1081" t="inlineStr">
        <is>
          <t>gco_rate</t>
        </is>
      </c>
      <c r="F1081" t="inlineStr">
        <is>
          <t>GCO per booked dollar</t>
        </is>
      </c>
      <c r="G1081" t="n">
        <v>187</v>
      </c>
      <c r="H1081" t="n">
        <v>8177562.970000001</v>
      </c>
      <c r="I1081" t="b">
        <v>0</v>
      </c>
      <c r="J1081" t="b">
        <v>0</v>
      </c>
      <c r="K1081" t="n">
        <v>0.8708636287169355</v>
      </c>
      <c r="L1081" t="n">
        <v>0.9412575983780932</v>
      </c>
      <c r="M1081" t="n">
        <v>0.7556298967509577</v>
      </c>
      <c r="N1081" t="n">
        <v>0.7391260873912608</v>
      </c>
      <c r="O1081" t="n">
        <v>-44116.57952561037</v>
      </c>
      <c r="P1081" t="n">
        <v>-96214.90313784429</v>
      </c>
      <c r="Q1081">
        <f>'_live'!$C$22</f>
        <v/>
      </c>
      <c r="R1081" t="inlineStr">
        <is>
          <t>shuffled: 6,611 of 10,000</t>
        </is>
      </c>
      <c r="S1081" t="inlineStr">
        <is>
          <t>shuffled: 3,464 of 10,000</t>
        </is>
      </c>
      <c r="T1081" t="n">
        <v>0.04177624076743861</v>
      </c>
      <c r="U1081" t="n">
        <v>0.04814712703310975</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0.03638140862888396</v>
      </c>
      <c r="AI1081">
        <f>IF($Y1081="worse","Yes",IF($Y1081="worse, not significant","Not sure",IF(OR($Y1081="too few losses to test",$Y1081="too few loans to test"),"Too few losses",IF($Y1081="","","No"))))</f>
        <v/>
      </c>
      <c r="AJ1081">
        <f>IF($AA1081="yes","Yes",IF($AA1081="","","No"))</f>
        <v/>
      </c>
      <c r="AK1081" t="n">
        <v>0.003907213937934329</v>
      </c>
      <c r="AL1081" t="n">
        <v>0.01015132969962906</v>
      </c>
      <c r="AM1081">
        <f>IF(AND(ISNUMBER($AC1081),ISNUMBER(IF($V1081,IF($AL1081="","",$AL1081),IF($AK1081="","",$AK1081)))),IF(AND(ABS($AC1081-significance_bar)&lt;=2.0*IF($V1081,IF($AL1081="","",$AL1081),IF($AK1081="","",$AK1081)),OR($Y1081="worse",$Y1081="better",$Y1081="worse, not significant",$Y1081="better, not significant")),IF(ROUND($AC1081,3)=ROUND(significance_bar,3),TEXT($AC1081,"0.0000"),TEXT($AC1081,"0.000")),""),"")</f>
        <v/>
      </c>
      <c r="AN1081">
        <f>IF(AND(ISNUMBER($AC1081),ISNUMBER(IF($V1081,IF($AL1081="","",$AL1081),IF($AK1081="","",$AK1081)))),IF(AND(ABS($AC1081-significance_bar)&lt;=2.0*IF($V1081,IF($AL1081="","",$AL1081),IF($AK1081="","",$AK1081)),OR($Y1081="worse",$Y1081="worse, not significant")),IF(ROUND($AC1081,3)=ROUND(significance_bar,3),TEXT($AC1081,"0.0000"),TEXT($AC1081,"0.000")),""),"")</f>
        <v/>
      </c>
      <c r="AO1081">
        <f>IF(OR($AI1081="",$AN1081=""),$AI1081,$AI1081&amp;" · borderline (p "&amp;$AN1081&amp;")")</f>
        <v/>
      </c>
    </row>
    <row r="1082">
      <c r="A1082" t="inlineStr">
        <is>
          <t>three-way</t>
        </is>
      </c>
      <c r="B1082" t="inlineStr">
        <is>
          <t>ORIG_BAL x ASSET_CLASS / SYS_FLAG</t>
        </is>
      </c>
      <c r="C1082" t="inlineStr">
        <is>
          <t>37,951 - 49,151</t>
        </is>
      </c>
      <c r="D1082" t="inlineStr">
        <is>
          <t>3 / SYS_FLAG N</t>
        </is>
      </c>
      <c r="E1082" t="inlineStr">
        <is>
          <t>ranr_rate</t>
        </is>
      </c>
      <c r="F1082" t="inlineStr">
        <is>
          <t>Profit after losses: RANR per booked dollar</t>
        </is>
      </c>
      <c r="G1082" t="n">
        <v>187</v>
      </c>
      <c r="H1082" t="n">
        <v>8177562.970000001</v>
      </c>
      <c r="I1082" t="b">
        <v>0</v>
      </c>
      <c r="J1082" t="b">
        <v>0</v>
      </c>
      <c r="K1082" t="n">
        <v>0.01309433094899745</v>
      </c>
      <c r="L1082" t="n">
        <v>0.6950214069502141</v>
      </c>
      <c r="M1082" t="n">
        <v>0.02066565469957782</v>
      </c>
      <c r="N1082" t="n">
        <v>0.4690057310058468</v>
      </c>
      <c r="O1082" t="n">
        <v>-107079.7158854466</v>
      </c>
      <c r="P1082" t="n">
        <v>-168994.6926220742</v>
      </c>
      <c r="Q1082">
        <f>'_live'!$C$23</f>
        <v/>
      </c>
      <c r="R1082" t="inlineStr">
        <is>
          <t>shuffled: 3,822 of 10,000</t>
        </is>
      </c>
      <c r="S1082" t="inlineStr">
        <is>
          <t>shuffled: 1,795 of 10,000</t>
        </is>
      </c>
      <c r="T1082" t="n">
        <v>0.1275751220677611</v>
      </c>
      <c r="U1082" t="n">
        <v>0.1200037983171808</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0.1406694530167586</v>
      </c>
      <c r="AI1082">
        <f>IF($Y1082="worse","Yes",IF($Y1082="worse, not significant","Not sure",IF(OR($Y1082="too few losses to test",$Y1082="too few loans to test"),"Too few losses",IF($Y1082="","","No"))))</f>
        <v/>
      </c>
      <c r="AJ1082">
        <f>IF($AA1082="yes","Yes",IF($AA1082="","","No"))</f>
        <v/>
      </c>
      <c r="AK1082" t="n">
        <v>0.008835273222968095</v>
      </c>
      <c r="AL1082" t="n">
        <v>0.008760217523622172</v>
      </c>
      <c r="AM1082">
        <f>IF(AND(ISNUMBER($AC1082),ISNUMBER(IF($V1082,IF($AL1082="","",$AL1082),IF($AK1082="","",$AK1082)))),IF(AND(ABS($AC1082-significance_bar)&lt;=2.0*IF($V1082,IF($AL1082="","",$AL1082),IF($AK1082="","",$AK1082)),OR($Y1082="worse",$Y1082="better",$Y1082="worse, not significant",$Y1082="better, not significant",AND(profit_kind="test",$Y1082="in line",ISNUMBER($AB1082),$AB1082&lt;&gt;0))),IF(ROUND($AC1082,3)=ROUND(significance_bar,3),TEXT($AC1082,"0.0000"),TEXT($AC1082,"0.000")),""),"")</f>
        <v/>
      </c>
      <c r="AN1082">
        <f>IF(AND(ISNUMBER($AC1082),ISNUMBER(IF($V1082,IF($AL1082="","",$AL1082),IF($AK1082="","",$AK1082)))),IF(AND(ABS($AC1082-significance_bar)&lt;=2.0*IF($V1082,IF($AL1082="","",$AL1082),IF($AK1082="","",$AK1082)),OR($Y1082="worse",$Y1082="worse, not significant",AND(profit_kind="test",$Y1082="in line",ISNUMBER($AB1082),$AB1082&lt;0))),IF(ROUND($AC1082,3)=ROUND(significance_bar,3),TEXT($AC1082,"0.0000"),TEXT($AC1082,"0.000")),""),"")</f>
        <v/>
      </c>
      <c r="AO1082">
        <f>IF(OR($AI1082="",$AN1082=""),$AI1082,$AI1082&amp;" · borderline (p "&amp;$AN1082&amp;")")</f>
        <v/>
      </c>
    </row>
    <row r="1083">
      <c r="A1083" t="inlineStr">
        <is>
          <t>three-way</t>
        </is>
      </c>
      <c r="B1083" t="inlineStr">
        <is>
          <t>ORIG_BAL x ASSET_CLASS / SYS_FLAG</t>
        </is>
      </c>
      <c r="C1083" t="inlineStr">
        <is>
          <t>37,951 - 49,151</t>
        </is>
      </c>
      <c r="D1083" t="inlineStr">
        <is>
          <t>3 / SYS_FLAG N</t>
        </is>
      </c>
      <c r="E1083" t="inlineStr">
        <is>
          <t>contribution_rate</t>
        </is>
      </c>
      <c r="F1083" t="inlineStr">
        <is>
          <t>Contribution before losses per booked dollar</t>
        </is>
      </c>
      <c r="G1083" t="n">
        <v>187</v>
      </c>
      <c r="H1083" t="n">
        <v>8177562.970000001</v>
      </c>
      <c r="I1083" t="b">
        <v>0</v>
      </c>
      <c r="J1083" t="b">
        <v>0</v>
      </c>
      <c r="K1083" t="n">
        <v>0.007702517543203419</v>
      </c>
      <c r="L1083" t="n">
        <v>0.774705138181834</v>
      </c>
      <c r="M1083" t="n">
        <v>0.008917091258952098</v>
      </c>
      <c r="N1083" t="n">
        <v>0.798978925636848</v>
      </c>
      <c r="O1083" t="n">
        <v>-62987.82223707554</v>
      </c>
      <c r="P1083" t="n">
        <v>-72920.07527931733</v>
      </c>
      <c r="Q1083">
        <f>'_live'!$C$24</f>
        <v/>
      </c>
      <c r="R1083" t="inlineStr">
        <is>
          <t>shuffled: 4,278 of 10,000</t>
        </is>
      </c>
      <c r="S1083" t="inlineStr">
        <is>
          <t>shuffled: 3,395 of 10,000</t>
        </is>
      </c>
      <c r="T1083" t="n">
        <v>0.1693483441024391</v>
      </c>
      <c r="U1083" t="n">
        <v>0.1681337703866904</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0.1770508616456425</v>
      </c>
      <c r="AI1083">
        <f>IF($Y1083="worse","Yes",IF($Y1083="worse, not significant","Not sure",IF(OR($Y1083="too few losses to test",$Y1083="too few loans to test"),"Too few losses",IF($Y1083="","","No"))))</f>
        <v/>
      </c>
      <c r="AJ1083">
        <f>IF($AA1083="yes","Yes",IF($AA1083="","","No"))</f>
        <v/>
      </c>
      <c r="AK1083" t="n">
        <v>0.008643756316955952</v>
      </c>
      <c r="AL1083" t="n">
        <v>0.0111426347407216</v>
      </c>
      <c r="AM1083">
        <f>IF(AND(ISNUMBER($AC1083),ISNUMBER(IF($V1083,IF($AL1083="","",$AL1083),IF($AK1083="","",$AK1083)))),IF(AND(ABS($AC1083-significance_bar)&lt;=2.0*IF($V1083,IF($AL1083="","",$AL1083),IF($AK1083="","",$AK1083)),OR($Y1083="worse",$Y1083="better",$Y1083="worse, not significant",$Y1083="better, not significant",AND(profit_kind="test",$Y1083="in line",ISNUMBER($AB1083),$AB1083&lt;&gt;0))),IF(ROUND($AC1083,3)=ROUND(significance_bar,3),TEXT($AC1083,"0.0000"),TEXT($AC1083,"0.000")),""),"")</f>
        <v/>
      </c>
      <c r="AN1083">
        <f>IF(AND(ISNUMBER($AC1083),ISNUMBER(IF($V1083,IF($AL1083="","",$AL1083),IF($AK1083="","",$AK1083)))),IF(AND(ABS($AC1083-significance_bar)&lt;=2.0*IF($V1083,IF($AL1083="","",$AL1083),IF($AK1083="","",$AK1083)),OR($Y1083="worse",$Y1083="worse, not significant",AND(profit_kind="test",$Y1083="in line",ISNUMBER($AB1083),$AB1083&lt;0))),IF(ROUND($AC1083,3)=ROUND(significance_bar,3),TEXT($AC1083,"0.0000"),TEXT($AC1083,"0.000")),""),"")</f>
        <v/>
      </c>
      <c r="AO1083">
        <f>IF(OR($AI1083="",$AN1083=""),$AI1083,$AI1083&amp;" · borderline (p "&amp;$AN1083&amp;")")</f>
        <v/>
      </c>
    </row>
    <row r="1084">
      <c r="A1084" t="inlineStr">
        <is>
          <t>three-way</t>
        </is>
      </c>
      <c r="B1084" t="inlineStr">
        <is>
          <t>ORIG_BAL x ASSET_CLASS / SYS_FLAG</t>
        </is>
      </c>
      <c r="C1084" t="inlineStr">
        <is>
          <t>49,152 - 59,984</t>
        </is>
      </c>
      <c r="D1084" t="inlineStr">
        <is>
          <t>4 / SYS_FLAG N</t>
        </is>
      </c>
      <c r="E1084" t="inlineStr">
        <is>
          <t>outcome_loans</t>
        </is>
      </c>
      <c r="F1084" t="inlineStr">
        <is>
          <t>Outcome, share of loans</t>
        </is>
      </c>
      <c r="G1084" t="n">
        <v>213</v>
      </c>
      <c r="H1084" t="n">
        <v>213</v>
      </c>
      <c r="I1084" t="b">
        <v>0</v>
      </c>
      <c r="J1084" t="b">
        <v>0</v>
      </c>
      <c r="K1084" t="n">
        <v>0.7226489082766782</v>
      </c>
      <c r="L1084" t="n">
        <v>0.5639229556355464</v>
      </c>
      <c r="M1084" t="n">
        <v>0.8586906051694785</v>
      </c>
      <c r="N1084" t="n">
        <v>0.7202634591464744</v>
      </c>
      <c r="O1084" t="n">
        <v>-4.605574107372206</v>
      </c>
      <c r="P1084" t="n">
        <v>-1.974765681326604</v>
      </c>
      <c r="Q1084">
        <f>'_live'!$C$20</f>
        <v/>
      </c>
      <c r="R1084" t="inlineStr">
        <is>
          <t>z test</t>
        </is>
      </c>
      <c r="S1084" t="inlineStr">
        <is>
          <t>z test</t>
        </is>
      </c>
      <c r="T1084" t="n">
        <v>0.07796044181864886</v>
      </c>
      <c r="U1084" t="n">
        <v>0.06560922855082912</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0.05633802816901409</v>
      </c>
      <c r="AI1084">
        <f>IF($Y1084="worse","Yes",IF($Y1084="worse, not significant","Not sure",IF(OR($Y1084="too few losses to test",$Y1084="too few loans to test"),"Too few losses",IF($Y1084="","","No"))))</f>
        <v/>
      </c>
      <c r="AJ1084">
        <f>IF($AA1084="yes","Yes",IF($AA1084="","","No"))</f>
        <v/>
      </c>
      <c r="AM1084">
        <f>IF(AND(ISNUMBER($AC1084),ISNUMBER(IF($V1084,IF($AL1084="","",$AL1084),IF($AK1084="","",$AK1084)))),IF(AND(ABS($AC1084-significance_bar)&lt;=2.0*IF($V1084,IF($AL1084="","",$AL1084),IF($AK1084="","",$AK1084)),OR($Y1084="worse",$Y1084="better",$Y1084="worse, not significant",$Y1084="better, not significant")),IF(ROUND($AC1084,3)=ROUND(significance_bar,3),TEXT($AC1084,"0.0000"),TEXT($AC1084,"0.000")),""),"")</f>
        <v/>
      </c>
      <c r="AN1084">
        <f>IF(AND(ISNUMBER($AC1084),ISNUMBER(IF($V1084,IF($AL1084="","",$AL1084),IF($AK1084="","",$AK1084)))),IF(AND(ABS($AC1084-significance_bar)&lt;=2.0*IF($V1084,IF($AL1084="","",$AL1084),IF($AK1084="","",$AK1084)),OR($Y1084="worse",$Y1084="worse, not significant")),IF(ROUND($AC1084,3)=ROUND(significance_bar,3),TEXT($AC1084,"0.0000"),TEXT($AC1084,"0.000")),""),"")</f>
        <v/>
      </c>
      <c r="AO1084">
        <f>IF(OR($AI1084="",$AN1084=""),$AI1084,$AI1084&amp;" · borderline (p "&amp;$AN1084&amp;")")</f>
        <v/>
      </c>
    </row>
    <row r="1085">
      <c r="A1085" t="inlineStr">
        <is>
          <t>three-way</t>
        </is>
      </c>
      <c r="B1085" t="inlineStr">
        <is>
          <t>ORIG_BAL x ASSET_CLASS / SYS_FLAG</t>
        </is>
      </c>
      <c r="C1085" t="inlineStr">
        <is>
          <t>49,152 - 59,984</t>
        </is>
      </c>
      <c r="D1085" t="inlineStr">
        <is>
          <t>4 / SYS_FLAG N</t>
        </is>
      </c>
      <c r="E1085" t="inlineStr">
        <is>
          <t>outcome_booked</t>
        </is>
      </c>
      <c r="F1085" t="inlineStr">
        <is>
          <t>Outcome, share of booked dollars</t>
        </is>
      </c>
      <c r="G1085" t="n">
        <v>213</v>
      </c>
      <c r="H1085" t="n">
        <v>11682624.92</v>
      </c>
      <c r="I1085" t="b">
        <v>0</v>
      </c>
      <c r="J1085" t="b">
        <v>0</v>
      </c>
      <c r="K1085" t="n">
        <v>0.7600527776072826</v>
      </c>
      <c r="L1085" t="n">
        <v>0.7069410705988224</v>
      </c>
      <c r="M1085" t="n">
        <v>0.8731320811803013</v>
      </c>
      <c r="N1085" t="n">
        <v>0.7654345676543457</v>
      </c>
      <c r="O1085" t="n">
        <v>-212065.1294741083</v>
      </c>
      <c r="P1085" t="n">
        <v>-97604.34593638417</v>
      </c>
      <c r="Q1085">
        <f>'_live'!$C$21</f>
        <v/>
      </c>
      <c r="R1085" t="inlineStr">
        <is>
          <t>shuffled: 3,623 of 10,000</t>
        </is>
      </c>
      <c r="S1085" t="inlineStr">
        <is>
          <t>shuffled: 6,458 of 10,000</t>
        </is>
      </c>
      <c r="T1085" t="n">
        <v>0.07565072623029212</v>
      </c>
      <c r="U1085" t="n">
        <v>0.06585320347136371</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0.05749854459934164</v>
      </c>
      <c r="AI1085">
        <f>IF($Y1085="worse","Yes",IF($Y1085="worse, not significant","Not sure",IF(OR($Y1085="too few losses to test",$Y1085="too few loans to test"),"Too few losses",IF($Y1085="","","No"))))</f>
        <v/>
      </c>
      <c r="AJ1085">
        <f>IF($AA1085="yes","Yes",IF($AA1085="","","No"))</f>
        <v/>
      </c>
      <c r="AK1085" t="n">
        <v>0.009115629030301348</v>
      </c>
      <c r="AL1085" t="n">
        <v>0.00566825927822963</v>
      </c>
      <c r="AM1085">
        <f>IF(AND(ISNUMBER($AC1085),ISNUMBER(IF($V1085,IF($AL1085="","",$AL1085),IF($AK1085="","",$AK1085)))),IF(AND(ABS($AC1085-significance_bar)&lt;=2.0*IF($V1085,IF($AL1085="","",$AL1085),IF($AK1085="","",$AK1085)),OR($Y1085="worse",$Y1085="better",$Y1085="worse, not significant",$Y1085="better, not significant")),IF(ROUND($AC1085,3)=ROUND(significance_bar,3),TEXT($AC1085,"0.0000"),TEXT($AC1085,"0.000")),""),"")</f>
        <v/>
      </c>
      <c r="AN1085">
        <f>IF(AND(ISNUMBER($AC1085),ISNUMBER(IF($V1085,IF($AL1085="","",$AL1085),IF($AK1085="","",$AK1085)))),IF(AND(ABS($AC1085-significance_bar)&lt;=2.0*IF($V1085,IF($AL1085="","",$AL1085),IF($AK1085="","",$AK1085)),OR($Y1085="worse",$Y1085="worse, not significant")),IF(ROUND($AC1085,3)=ROUND(significance_bar,3),TEXT($AC1085,"0.0000"),TEXT($AC1085,"0.000")),""),"")</f>
        <v/>
      </c>
      <c r="AO1085">
        <f>IF(OR($AI1085="",$AN1085=""),$AI1085,$AI1085&amp;" · borderline (p "&amp;$AN1085&amp;")")</f>
        <v/>
      </c>
    </row>
    <row r="1086">
      <c r="A1086" t="inlineStr">
        <is>
          <t>three-way</t>
        </is>
      </c>
      <c r="B1086" t="inlineStr">
        <is>
          <t>ORIG_BAL x ASSET_CLASS / SYS_FLAG</t>
        </is>
      </c>
      <c r="C1086" t="inlineStr">
        <is>
          <t>49,152 - 59,984</t>
        </is>
      </c>
      <c r="D1086" t="inlineStr">
        <is>
          <t>4 / SYS_FLAG N</t>
        </is>
      </c>
      <c r="E1086" t="inlineStr">
        <is>
          <t>gco_rate</t>
        </is>
      </c>
      <c r="F1086" t="inlineStr">
        <is>
          <t>GCO per booked dollar</t>
        </is>
      </c>
      <c r="G1086" t="n">
        <v>213</v>
      </c>
      <c r="H1086" t="n">
        <v>11682624.92</v>
      </c>
      <c r="I1086" t="b">
        <v>0</v>
      </c>
      <c r="J1086" t="b">
        <v>0</v>
      </c>
      <c r="K1086" t="n">
        <v>0.8124417895267138</v>
      </c>
      <c r="L1086" t="n">
        <v>0.9280954257515425</v>
      </c>
      <c r="M1086" t="n">
        <v>0.9528447874230355</v>
      </c>
      <c r="N1086" t="n">
        <v>0.8843115688431157</v>
      </c>
      <c r="O1086" t="n">
        <v>-91945.09665802983</v>
      </c>
      <c r="P1086" t="n">
        <v>-19710.2572203966</v>
      </c>
      <c r="Q1086">
        <f>'_live'!$C$22</f>
        <v/>
      </c>
      <c r="R1086" t="inlineStr">
        <is>
          <t>shuffled: 4,930 of 10,000</t>
        </is>
      </c>
      <c r="S1086" t="inlineStr">
        <is>
          <t>shuffled: 8,720 of 10,000</t>
        </is>
      </c>
      <c r="T1086" t="n">
        <v>0.04196160195289655</v>
      </c>
      <c r="U1086" t="n">
        <v>0.0357785018420669</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0.03409135898201892</v>
      </c>
      <c r="AI1086">
        <f>IF($Y1086="worse","Yes",IF($Y1086="worse, not significant","Not sure",IF(OR($Y1086="too few losses to test",$Y1086="too few loans to test"),"Too few losses",IF($Y1086="","","No"))))</f>
        <v/>
      </c>
      <c r="AJ1086">
        <f>IF($AA1086="yes","Yes",IF($AA1086="","","No"))</f>
        <v/>
      </c>
      <c r="AK1086" t="n">
        <v>0.009410855620265928</v>
      </c>
      <c r="AL1086" t="n">
        <v>0.003198509309871446</v>
      </c>
      <c r="AM1086">
        <f>IF(AND(ISNUMBER($AC1086),ISNUMBER(IF($V1086,IF($AL1086="","",$AL1086),IF($AK1086="","",$AK1086)))),IF(AND(ABS($AC1086-significance_bar)&lt;=2.0*IF($V1086,IF($AL1086="","",$AL1086),IF($AK1086="","",$AK1086)),OR($Y1086="worse",$Y1086="better",$Y1086="worse, not significant",$Y1086="better, not significant")),IF(ROUND($AC1086,3)=ROUND(significance_bar,3),TEXT($AC1086,"0.0000"),TEXT($AC1086,"0.000")),""),"")</f>
        <v/>
      </c>
      <c r="AN1086">
        <f>IF(AND(ISNUMBER($AC1086),ISNUMBER(IF($V1086,IF($AL1086="","",$AL1086),IF($AK1086="","",$AK1086)))),IF(AND(ABS($AC1086-significance_bar)&lt;=2.0*IF($V1086,IF($AL1086="","",$AL1086),IF($AK1086="","",$AK1086)),OR($Y1086="worse",$Y1086="worse, not significant")),IF(ROUND($AC1086,3)=ROUND(significance_bar,3),TEXT($AC1086,"0.0000"),TEXT($AC1086,"0.000")),""),"")</f>
        <v/>
      </c>
      <c r="AO1086">
        <f>IF(OR($AI1086="",$AN1086=""),$AI1086,$AI1086&amp;" · borderline (p "&amp;$AN1086&amp;")")</f>
        <v/>
      </c>
    </row>
    <row r="1087">
      <c r="A1087" t="inlineStr">
        <is>
          <t>three-way</t>
        </is>
      </c>
      <c r="B1087" t="inlineStr">
        <is>
          <t>ORIG_BAL x ASSET_CLASS / SYS_FLAG</t>
        </is>
      </c>
      <c r="C1087" t="inlineStr">
        <is>
          <t>49,152 - 59,984</t>
        </is>
      </c>
      <c r="D1087" t="inlineStr">
        <is>
          <t>4 / SYS_FLAG N</t>
        </is>
      </c>
      <c r="E1087" t="inlineStr">
        <is>
          <t>ranr_rate</t>
        </is>
      </c>
      <c r="F1087" t="inlineStr">
        <is>
          <t>Profit after losses: RANR per booked dollar</t>
        </is>
      </c>
      <c r="G1087" t="n">
        <v>213</v>
      </c>
      <c r="H1087" t="n">
        <v>11682624.92</v>
      </c>
      <c r="I1087" t="b">
        <v>0</v>
      </c>
      <c r="J1087" t="b">
        <v>0</v>
      </c>
      <c r="K1087" t="n">
        <v>0.008876869274113519</v>
      </c>
      <c r="L1087" t="n">
        <v>0.8120616509777595</v>
      </c>
      <c r="M1087" t="n">
        <v>0.006973900899815144</v>
      </c>
      <c r="N1087" t="n">
        <v>0.8059883666805734</v>
      </c>
      <c r="O1087" t="n">
        <v>-103705.1341933408</v>
      </c>
      <c r="P1087" t="n">
        <v>-81473.46844179067</v>
      </c>
      <c r="Q1087">
        <f>'_live'!$C$23</f>
        <v/>
      </c>
      <c r="R1087" t="inlineStr">
        <is>
          <t>shuffled: 5,243 of 10,000</t>
        </is>
      </c>
      <c r="S1087" t="inlineStr">
        <is>
          <t>shuffled: 5,843 of 10,000</t>
        </is>
      </c>
      <c r="T1087" t="n">
        <v>0.1275881983726873</v>
      </c>
      <c r="U1087" t="n">
        <v>0.1294911667469857</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0.1364650676468008</v>
      </c>
      <c r="AI1087">
        <f>IF($Y1087="worse","Yes",IF($Y1087="worse, not significant","Not sure",IF(OR($Y1087="too few losses to test",$Y1087="too few loans to test"),"Too few losses",IF($Y1087="","","No"))))</f>
        <v/>
      </c>
      <c r="AJ1087">
        <f>IF($AA1087="yes","Yes",IF($AA1087="","","No"))</f>
        <v/>
      </c>
      <c r="AK1087" t="n">
        <v>0.007075619745553362</v>
      </c>
      <c r="AL1087" t="n">
        <v>0.006797726419537537</v>
      </c>
      <c r="AM1087">
        <f>IF(AND(ISNUMBER($AC1087),ISNUMBER(IF($V1087,IF($AL1087="","",$AL1087),IF($AK1087="","",$AK1087)))),IF(AND(ABS($AC1087-significance_bar)&lt;=2.0*IF($V1087,IF($AL1087="","",$AL1087),IF($AK1087="","",$AK1087)),OR($Y1087="worse",$Y1087="better",$Y1087="worse, not significant",$Y1087="better, not significant",AND(profit_kind="test",$Y1087="in line",ISNUMBER($AB1087),$AB1087&lt;&gt;0))),IF(ROUND($AC1087,3)=ROUND(significance_bar,3),TEXT($AC1087,"0.0000"),TEXT($AC1087,"0.000")),""),"")</f>
        <v/>
      </c>
      <c r="AN1087">
        <f>IF(AND(ISNUMBER($AC1087),ISNUMBER(IF($V1087,IF($AL1087="","",$AL1087),IF($AK1087="","",$AK1087)))),IF(AND(ABS($AC1087-significance_bar)&lt;=2.0*IF($V1087,IF($AL1087="","",$AL1087),IF($AK1087="","",$AK1087)),OR($Y1087="worse",$Y1087="worse, not significant",AND(profit_kind="test",$Y1087="in line",ISNUMBER($AB1087),$AB1087&lt;0))),IF(ROUND($AC1087,3)=ROUND(significance_bar,3),TEXT($AC1087,"0.0000"),TEXT($AC1087,"0.000")),""),"")</f>
        <v/>
      </c>
      <c r="AO1087">
        <f>IF(OR($AI1087="",$AN1087=""),$AI1087,$AI1087&amp;" · borderline (p "&amp;$AN1087&amp;")")</f>
        <v/>
      </c>
    </row>
    <row r="1088">
      <c r="A1088" t="inlineStr">
        <is>
          <t>three-way</t>
        </is>
      </c>
      <c r="B1088" t="inlineStr">
        <is>
          <t>ORIG_BAL x ASSET_CLASS / SYS_FLAG</t>
        </is>
      </c>
      <c r="C1088" t="inlineStr">
        <is>
          <t>49,152 - 59,984</t>
        </is>
      </c>
      <c r="D1088" t="inlineStr">
        <is>
          <t>4 / SYS_FLAG N</t>
        </is>
      </c>
      <c r="E1088" t="inlineStr">
        <is>
          <t>contribution_rate</t>
        </is>
      </c>
      <c r="F1088" t="inlineStr">
        <is>
          <t>Contribution before losses per booked dollar</t>
        </is>
      </c>
      <c r="G1088" t="n">
        <v>213</v>
      </c>
      <c r="H1088" t="n">
        <v>11682624.92</v>
      </c>
      <c r="I1088" t="b">
        <v>0</v>
      </c>
      <c r="J1088" t="b">
        <v>0</v>
      </c>
      <c r="K1088" t="n">
        <v>0.001009685880638073</v>
      </c>
      <c r="L1088" t="n">
        <v>0.9955004499550044</v>
      </c>
      <c r="M1088" t="n">
        <v>0.00528675803976722</v>
      </c>
      <c r="N1088" t="n">
        <v>0.892759208927592</v>
      </c>
      <c r="O1088" t="n">
        <v>-11795.7814305143</v>
      </c>
      <c r="P1088" t="n">
        <v>-61763.21122139483</v>
      </c>
      <c r="Q1088">
        <f>'_live'!$C$24</f>
        <v/>
      </c>
      <c r="R1088" t="inlineStr">
        <is>
          <t>shuffled: 9,148 of 10,000</t>
        </is>
      </c>
      <c r="S1088" t="inlineStr">
        <is>
          <t>shuffled: 5,511 of 10,000</t>
        </is>
      </c>
      <c r="T1088" t="n">
        <v>0.1695467407481817</v>
      </c>
      <c r="U1088" t="n">
        <v>0.1652696685890525</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0.1705564266288198</v>
      </c>
      <c r="AI1088">
        <f>IF($Y1088="worse","Yes",IF($Y1088="worse, not significant","Not sure",IF(OR($Y1088="too few losses to test",$Y1088="too few loans to test"),"Too few losses",IF($Y1088="","","No"))))</f>
        <v/>
      </c>
      <c r="AJ1088">
        <f>IF($AA1088="yes","Yes",IF($AA1088="","","No"))</f>
        <v/>
      </c>
      <c r="AK1088" t="n">
        <v>0.0006692760338147521</v>
      </c>
      <c r="AL1088" t="n">
        <v>0.005339600821528397</v>
      </c>
      <c r="AM1088">
        <f>IF(AND(ISNUMBER($AC1088),ISNUMBER(IF($V1088,IF($AL1088="","",$AL1088),IF($AK1088="","",$AK1088)))),IF(AND(ABS($AC1088-significance_bar)&lt;=2.0*IF($V1088,IF($AL1088="","",$AL1088),IF($AK1088="","",$AK1088)),OR($Y1088="worse",$Y1088="better",$Y1088="worse, not significant",$Y1088="better, not significant",AND(profit_kind="test",$Y1088="in line",ISNUMBER($AB1088),$AB1088&lt;&gt;0))),IF(ROUND($AC1088,3)=ROUND(significance_bar,3),TEXT($AC1088,"0.0000"),TEXT($AC1088,"0.000")),""),"")</f>
        <v/>
      </c>
      <c r="AN1088">
        <f>IF(AND(ISNUMBER($AC1088),ISNUMBER(IF($V1088,IF($AL1088="","",$AL1088),IF($AK1088="","",$AK1088)))),IF(AND(ABS($AC1088-significance_bar)&lt;=2.0*IF($V1088,IF($AL1088="","",$AL1088),IF($AK1088="","",$AK1088)),OR($Y1088="worse",$Y1088="worse, not significant",AND(profit_kind="test",$Y1088="in line",ISNUMBER($AB1088),$AB1088&lt;0))),IF(ROUND($AC1088,3)=ROUND(significance_bar,3),TEXT($AC1088,"0.0000"),TEXT($AC1088,"0.000")),""),"")</f>
        <v/>
      </c>
      <c r="AO1088">
        <f>IF(OR($AI1088="",$AN1088=""),$AI1088,$AI1088&amp;" · borderline (p "&amp;$AN1088&amp;")")</f>
        <v/>
      </c>
    </row>
    <row r="1089">
      <c r="A1089" t="inlineStr">
        <is>
          <t>three-way</t>
        </is>
      </c>
      <c r="B1089" t="inlineStr">
        <is>
          <t>ORIG_BAL x ASSET_CLASS / SYS_FLAG</t>
        </is>
      </c>
      <c r="C1089" t="inlineStr">
        <is>
          <t>49,152 - 59,984</t>
        </is>
      </c>
      <c r="D1089" t="inlineStr">
        <is>
          <t>3 / SYS_FLAG Y</t>
        </is>
      </c>
      <c r="E1089" t="inlineStr">
        <is>
          <t>outcome_loans</t>
        </is>
      </c>
      <c r="F1089" t="inlineStr">
        <is>
          <t>Outcome, share of loans</t>
        </is>
      </c>
      <c r="G1089" t="n">
        <v>179</v>
      </c>
      <c r="H1089" t="n">
        <v>179</v>
      </c>
      <c r="I1089" t="b">
        <v>0</v>
      </c>
      <c r="J1089" t="b">
        <v>0</v>
      </c>
      <c r="K1089" t="n">
        <v>0.8636669028926951</v>
      </c>
      <c r="L1089" t="n">
        <v>0.8352563197391758</v>
      </c>
      <c r="M1089" t="n">
        <v>1.046841426729695</v>
      </c>
      <c r="N1089" t="n">
        <v>0.905830011903313</v>
      </c>
      <c r="O1089" t="n">
        <v>-1.894245524296675</v>
      </c>
      <c r="P1089" t="n">
        <v>0.5369458128078808</v>
      </c>
      <c r="Q1089">
        <f>'_live'!$C$20</f>
        <v/>
      </c>
      <c r="R1089" t="inlineStr">
        <is>
          <t>z test</t>
        </is>
      </c>
      <c r="S1089" t="inlineStr">
        <is>
          <t>z test</t>
        </is>
      </c>
      <c r="T1089" t="n">
        <v>0.07762148337595907</v>
      </c>
      <c r="U1089" t="n">
        <v>0.06403940886699508</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0.0670391061452514</v>
      </c>
      <c r="AI1089">
        <f>IF($Y1089="worse","Yes",IF($Y1089="worse, not significant","Not sure",IF(OR($Y1089="too few losses to test",$Y1089="too few loans to test"),"Too few losses",IF($Y1089="","","No"))))</f>
        <v/>
      </c>
      <c r="AJ1089">
        <f>IF($AA1089="yes","Yes",IF($AA1089="","","No"))</f>
        <v/>
      </c>
      <c r="AM1089">
        <f>IF(AND(ISNUMBER($AC1089),ISNUMBER(IF($V1089,IF($AL1089="","",$AL1089),IF($AK1089="","",$AK1089)))),IF(AND(ABS($AC1089-significance_bar)&lt;=2.0*IF($V1089,IF($AL1089="","",$AL1089),IF($AK1089="","",$AK1089)),OR($Y1089="worse",$Y1089="better",$Y1089="worse, not significant",$Y1089="better, not significant")),IF(ROUND($AC1089,3)=ROUND(significance_bar,3),TEXT($AC1089,"0.0000"),TEXT($AC1089,"0.000")),""),"")</f>
        <v/>
      </c>
      <c r="AN1089">
        <f>IF(AND(ISNUMBER($AC1089),ISNUMBER(IF($V1089,IF($AL1089="","",$AL1089),IF($AK1089="","",$AK1089)))),IF(AND(ABS($AC1089-significance_bar)&lt;=2.0*IF($V1089,IF($AL1089="","",$AL1089),IF($AK1089="","",$AK1089)),OR($Y1089="worse",$Y1089="worse, not significant")),IF(ROUND($AC1089,3)=ROUND(significance_bar,3),TEXT($AC1089,"0.0000"),TEXT($AC1089,"0.000")),""),"")</f>
        <v/>
      </c>
      <c r="AO1089">
        <f>IF(OR($AI1089="",$AN1089=""),$AI1089,$AI1089&amp;" · borderline (p "&amp;$AN1089&amp;")")</f>
        <v/>
      </c>
    </row>
    <row r="1090">
      <c r="A1090" t="inlineStr">
        <is>
          <t>three-way</t>
        </is>
      </c>
      <c r="B1090" t="inlineStr">
        <is>
          <t>ORIG_BAL x ASSET_CLASS / SYS_FLAG</t>
        </is>
      </c>
      <c r="C1090" t="inlineStr">
        <is>
          <t>49,152 - 59,984</t>
        </is>
      </c>
      <c r="D1090" t="inlineStr">
        <is>
          <t>3 / SYS_FLAG Y</t>
        </is>
      </c>
      <c r="E1090" t="inlineStr">
        <is>
          <t>outcome_booked</t>
        </is>
      </c>
      <c r="F1090" t="inlineStr">
        <is>
          <t>Outcome, share of booked dollars</t>
        </is>
      </c>
      <c r="G1090" t="n">
        <v>179</v>
      </c>
      <c r="H1090" t="n">
        <v>9720228.540000001</v>
      </c>
      <c r="I1090" t="b">
        <v>0</v>
      </c>
      <c r="J1090" t="b">
        <v>0</v>
      </c>
      <c r="K1090" t="n">
        <v>0.8891920354105857</v>
      </c>
      <c r="L1090" t="n">
        <v>0.8613995743282814</v>
      </c>
      <c r="M1090" t="n">
        <v>1.036301173694173</v>
      </c>
      <c r="N1090" t="n">
        <v>0.9408059194080592</v>
      </c>
      <c r="O1090" t="n">
        <v>-80934.42112967453</v>
      </c>
      <c r="P1090" t="n">
        <v>22750.58289756335</v>
      </c>
      <c r="Q1090">
        <f>'_live'!$C$21</f>
        <v/>
      </c>
      <c r="R1090" t="inlineStr">
        <is>
          <t>shuffled: 7,042 of 10,000</t>
        </is>
      </c>
      <c r="S1090" t="inlineStr">
        <is>
          <t>shuffled: 9,408 of 10,000</t>
        </is>
      </c>
      <c r="T1090" t="n">
        <v>0.07514252963538597</v>
      </c>
      <c r="U1090" t="n">
        <v>0.06447559895566371</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0.0668161388723891</v>
      </c>
      <c r="AI1090">
        <f>IF($Y1090="worse","Yes",IF($Y1090="worse, not significant","Not sure",IF(OR($Y1090="too few losses to test",$Y1090="too few loans to test"),"Too few losses",IF($Y1090="","","No"))))</f>
        <v/>
      </c>
      <c r="AJ1090">
        <f>IF($AA1090="yes","Yes",IF($AA1090="","","No"))</f>
        <v/>
      </c>
      <c r="AK1090" t="n">
        <v>0.004923895101667321</v>
      </c>
      <c r="AL1090" t="n">
        <v>0.002359875874168292</v>
      </c>
      <c r="AM1090">
        <f>IF(AND(ISNUMBER($AC1090),ISNUMBER(IF($V1090,IF($AL1090="","",$AL1090),IF($AK1090="","",$AK1090)))),IF(AND(ABS($AC1090-significance_bar)&lt;=2.0*IF($V1090,IF($AL1090="","",$AL1090),IF($AK1090="","",$AK1090)),OR($Y1090="worse",$Y1090="better",$Y1090="worse, not significant",$Y1090="better, not significant")),IF(ROUND($AC1090,3)=ROUND(significance_bar,3),TEXT($AC1090,"0.0000"),TEXT($AC1090,"0.000")),""),"")</f>
        <v/>
      </c>
      <c r="AN1090">
        <f>IF(AND(ISNUMBER($AC1090),ISNUMBER(IF($V1090,IF($AL1090="","",$AL1090),IF($AK1090="","",$AK1090)))),IF(AND(ABS($AC1090-significance_bar)&lt;=2.0*IF($V1090,IF($AL1090="","",$AL1090),IF($AK1090="","",$AK1090)),OR($Y1090="worse",$Y1090="worse, not significant")),IF(ROUND($AC1090,3)=ROUND(significance_bar,3),TEXT($AC1090,"0.0000"),TEXT($AC1090,"0.000")),""),"")</f>
        <v/>
      </c>
      <c r="AO1090">
        <f>IF(OR($AI1090="",$AN1090=""),$AI1090,$AI1090&amp;" · borderline (p "&amp;$AN1090&amp;")")</f>
        <v/>
      </c>
    </row>
    <row r="1091">
      <c r="A1091" t="inlineStr">
        <is>
          <t>three-way</t>
        </is>
      </c>
      <c r="B1091" t="inlineStr">
        <is>
          <t>ORIG_BAL x ASSET_CLASS / SYS_FLAG</t>
        </is>
      </c>
      <c r="C1091" t="inlineStr">
        <is>
          <t>49,152 - 59,984</t>
        </is>
      </c>
      <c r="D1091" t="inlineStr">
        <is>
          <t>3 / SYS_FLAG Y</t>
        </is>
      </c>
      <c r="E1091" t="inlineStr">
        <is>
          <t>gco_rate</t>
        </is>
      </c>
      <c r="F1091" t="inlineStr">
        <is>
          <t>GCO per booked dollar</t>
        </is>
      </c>
      <c r="G1091" t="n">
        <v>179</v>
      </c>
      <c r="H1091" t="n">
        <v>9720228.540000001</v>
      </c>
      <c r="I1091" t="b">
        <v>0</v>
      </c>
      <c r="J1091" t="b">
        <v>0</v>
      </c>
      <c r="K1091" t="n">
        <v>0.8867052911793896</v>
      </c>
      <c r="L1091" t="n">
        <v>0.9412575983780932</v>
      </c>
      <c r="M1091" t="n">
        <v>1.047623418727635</v>
      </c>
      <c r="N1091" t="n">
        <v>0.8843115688431157</v>
      </c>
      <c r="O1091" t="n">
        <v>-46014.20338915248</v>
      </c>
      <c r="P1091" t="n">
        <v>16371.0656788054</v>
      </c>
      <c r="Q1091">
        <f>'_live'!$C$22</f>
        <v/>
      </c>
      <c r="R1091" t="inlineStr">
        <is>
          <t>shuffled: 7,111 of 10,000</t>
        </is>
      </c>
      <c r="S1091" t="inlineStr">
        <is>
          <t>shuffled: 8,843 of 10,000</t>
        </is>
      </c>
      <c r="T1091" t="n">
        <v>0.04178359507884085</v>
      </c>
      <c r="U1091" t="n">
        <v>0.03536550842468098</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0.03704973484090528</v>
      </c>
      <c r="AI1091">
        <f>IF($Y1091="worse","Yes",IF($Y1091="worse, not significant","Not sure",IF(OR($Y1091="too few losses to test",$Y1091="too few loans to test"),"Too few losses",IF($Y1091="","","No"))))</f>
        <v/>
      </c>
      <c r="AJ1091">
        <f>IF($AA1091="yes","Yes",IF($AA1091="","","No"))</f>
        <v/>
      </c>
      <c r="AK1091" t="n">
        <v>0.003907213937934329</v>
      </c>
      <c r="AL1091" t="n">
        <v>0.003198509309871446</v>
      </c>
      <c r="AM1091">
        <f>IF(AND(ISNUMBER($AC1091),ISNUMBER(IF($V1091,IF($AL1091="","",$AL1091),IF($AK1091="","",$AK1091)))),IF(AND(ABS($AC1091-significance_bar)&lt;=2.0*IF($V1091,IF($AL1091="","",$AL1091),IF($AK1091="","",$AK1091)),OR($Y1091="worse",$Y1091="better",$Y1091="worse, not significant",$Y1091="better, not significant")),IF(ROUND($AC1091,3)=ROUND(significance_bar,3),TEXT($AC1091,"0.0000"),TEXT($AC1091,"0.000")),""),"")</f>
        <v/>
      </c>
      <c r="AN1091">
        <f>IF(AND(ISNUMBER($AC1091),ISNUMBER(IF($V1091,IF($AL1091="","",$AL1091),IF($AK1091="","",$AK1091)))),IF(AND(ABS($AC1091-significance_bar)&lt;=2.0*IF($V1091,IF($AL1091="","",$AL1091),IF($AK1091="","",$AK1091)),OR($Y1091="worse",$Y1091="worse, not significant")),IF(ROUND($AC1091,3)=ROUND(significance_bar,3),TEXT($AC1091,"0.0000"),TEXT($AC1091,"0.000")),""),"")</f>
        <v/>
      </c>
      <c r="AO1091">
        <f>IF(OR($AI1091="",$AN1091=""),$AI1091,$AI1091&amp;" · borderline (p "&amp;$AN1091&amp;")")</f>
        <v/>
      </c>
    </row>
    <row r="1092">
      <c r="A1092" t="inlineStr">
        <is>
          <t>three-way</t>
        </is>
      </c>
      <c r="B1092" t="inlineStr">
        <is>
          <t>ORIG_BAL x ASSET_CLASS / SYS_FLAG</t>
        </is>
      </c>
      <c r="C1092" t="inlineStr">
        <is>
          <t>49,152 - 59,984</t>
        </is>
      </c>
      <c r="D1092" t="inlineStr">
        <is>
          <t>3 / SYS_FLAG Y</t>
        </is>
      </c>
      <c r="E1092" t="inlineStr">
        <is>
          <t>ranr_rate</t>
        </is>
      </c>
      <c r="F1092" t="inlineStr">
        <is>
          <t>Profit after losses: RANR per booked dollar</t>
        </is>
      </c>
      <c r="G1092" t="n">
        <v>179</v>
      </c>
      <c r="H1092" t="n">
        <v>9720228.540000001</v>
      </c>
      <c r="I1092" t="b">
        <v>0</v>
      </c>
      <c r="J1092" t="b">
        <v>0</v>
      </c>
      <c r="K1092" t="n">
        <v>-0.005692397864035831</v>
      </c>
      <c r="L1092" t="n">
        <v>0.8871612838716127</v>
      </c>
      <c r="M1092" t="n">
        <v>-0.00890211411182773</v>
      </c>
      <c r="N1092" t="n">
        <v>0.746925307469253</v>
      </c>
      <c r="O1092" t="n">
        <v>55331.40817903611</v>
      </c>
      <c r="P1092" t="n">
        <v>86530.58365612477</v>
      </c>
      <c r="Q1092">
        <f>'_live'!$C$23</f>
        <v/>
      </c>
      <c r="R1092" t="inlineStr">
        <is>
          <t>shuffled: 7,097 of 10,000</t>
        </is>
      </c>
      <c r="S1092" t="inlineStr">
        <is>
          <t>shuffled: 5,228 of 10,000</t>
        </is>
      </c>
      <c r="T1092" t="n">
        <v>0.1282044555897897</v>
      </c>
      <c r="U1092" t="n">
        <v>0.1314141718375816</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0.1225120577257538</v>
      </c>
      <c r="AI1092">
        <f>IF($Y1092="worse","Yes",IF($Y1092="worse, not significant","Not sure",IF(OR($Y1092="too few losses to test",$Y1092="too few loans to test"),"Too few losses",IF($Y1092="","","No"))))</f>
        <v/>
      </c>
      <c r="AJ1092">
        <f>IF($AA1092="yes","Yes",IF($AA1092="","","No"))</f>
        <v/>
      </c>
      <c r="AK1092" t="n">
        <v>0.005673591994837025</v>
      </c>
      <c r="AL1092" t="n">
        <v>0.007135395844586802</v>
      </c>
      <c r="AM1092">
        <f>IF(AND(ISNUMBER($AC1092),ISNUMBER(IF($V1092,IF($AL1092="","",$AL1092),IF($AK1092="","",$AK1092)))),IF(AND(ABS($AC1092-significance_bar)&lt;=2.0*IF($V1092,IF($AL1092="","",$AL1092),IF($AK1092="","",$AK1092)),OR($Y1092="worse",$Y1092="better",$Y1092="worse, not significant",$Y1092="better, not significant",AND(profit_kind="test",$Y1092="in line",ISNUMBER($AB1092),$AB1092&lt;&gt;0))),IF(ROUND($AC1092,3)=ROUND(significance_bar,3),TEXT($AC1092,"0.0000"),TEXT($AC1092,"0.000")),""),"")</f>
        <v/>
      </c>
      <c r="AN1092">
        <f>IF(AND(ISNUMBER($AC1092),ISNUMBER(IF($V1092,IF($AL1092="","",$AL1092),IF($AK1092="","",$AK1092)))),IF(AND(ABS($AC1092-significance_bar)&lt;=2.0*IF($V1092,IF($AL1092="","",$AL1092),IF($AK1092="","",$AK1092)),OR($Y1092="worse",$Y1092="worse, not significant",AND(profit_kind="test",$Y1092="in line",ISNUMBER($AB1092),$AB1092&lt;0))),IF(ROUND($AC1092,3)=ROUND(significance_bar,3),TEXT($AC1092,"0.0000"),TEXT($AC1092,"0.000")),""),"")</f>
        <v/>
      </c>
      <c r="AO1092">
        <f>IF(OR($AI1092="",$AN1092=""),$AI1092,$AI1092&amp;" · borderline (p "&amp;$AN1092&amp;")")</f>
        <v/>
      </c>
    </row>
    <row r="1093">
      <c r="A1093" t="inlineStr">
        <is>
          <t>three-way</t>
        </is>
      </c>
      <c r="B1093" t="inlineStr">
        <is>
          <t>ORIG_BAL x ASSET_CLASS / SYS_FLAG</t>
        </is>
      </c>
      <c r="C1093" t="inlineStr">
        <is>
          <t>49,152 - 59,984</t>
        </is>
      </c>
      <c r="D1093" t="inlineStr">
        <is>
          <t>3 / SYS_FLAG Y</t>
        </is>
      </c>
      <c r="E1093" t="inlineStr">
        <is>
          <t>contribution_rate</t>
        </is>
      </c>
      <c r="F1093" t="inlineStr">
        <is>
          <t>Contribution before losses per booked dollar</t>
        </is>
      </c>
      <c r="G1093" t="n">
        <v>179</v>
      </c>
      <c r="H1093" t="n">
        <v>9720228.540000001</v>
      </c>
      <c r="I1093" t="b">
        <v>0</v>
      </c>
      <c r="J1093" t="b">
        <v>0</v>
      </c>
      <c r="K1093" t="n">
        <v>-0.01042332119421593</v>
      </c>
      <c r="L1093" t="n">
        <v>0.774705138181834</v>
      </c>
      <c r="M1093" t="n">
        <v>-0.007217887695603442</v>
      </c>
      <c r="N1093" t="n">
        <v>0.8694368658372257</v>
      </c>
      <c r="O1093" t="n">
        <v>101317.0641536047</v>
      </c>
      <c r="P1093" t="n">
        <v>70159.51797731942</v>
      </c>
      <c r="Q1093">
        <f>'_live'!$C$24</f>
        <v/>
      </c>
      <c r="R1093" t="inlineStr">
        <is>
          <t>shuffled: 3,013 of 10,000</t>
        </is>
      </c>
      <c r="S1093" t="inlineStr">
        <is>
          <t>shuffled: 4,414 of 10,000</t>
        </is>
      </c>
      <c r="T1093" t="n">
        <v>0.169985113760875</v>
      </c>
      <c r="U1093" t="n">
        <v>0.1667796802622625</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0.1595617925666591</v>
      </c>
      <c r="AI1093">
        <f>IF($Y1093="worse","Yes",IF($Y1093="worse, not significant","Not sure",IF(OR($Y1093="too few losses to test",$Y1093="too few loans to test"),"Too few losses",IF($Y1093="","","No"))))</f>
        <v/>
      </c>
      <c r="AJ1093">
        <f>IF($AA1093="yes","Yes",IF($AA1093="","","No"))</f>
        <v/>
      </c>
      <c r="AK1093" t="n">
        <v>0.008643756316955952</v>
      </c>
      <c r="AL1093" t="n">
        <v>0.009487622236184769</v>
      </c>
      <c r="AM1093">
        <f>IF(AND(ISNUMBER($AC1093),ISNUMBER(IF($V1093,IF($AL1093="","",$AL1093),IF($AK1093="","",$AK1093)))),IF(AND(ABS($AC1093-significance_bar)&lt;=2.0*IF($V1093,IF($AL1093="","",$AL1093),IF($AK1093="","",$AK1093)),OR($Y1093="worse",$Y1093="better",$Y1093="worse, not significant",$Y1093="better, not significant",AND(profit_kind="test",$Y1093="in line",ISNUMBER($AB1093),$AB1093&lt;&gt;0))),IF(ROUND($AC1093,3)=ROUND(significance_bar,3),TEXT($AC1093,"0.0000"),TEXT($AC1093,"0.000")),""),"")</f>
        <v/>
      </c>
      <c r="AN1093">
        <f>IF(AND(ISNUMBER($AC1093),ISNUMBER(IF($V1093,IF($AL1093="","",$AL1093),IF($AK1093="","",$AK1093)))),IF(AND(ABS($AC1093-significance_bar)&lt;=2.0*IF($V1093,IF($AL1093="","",$AL1093),IF($AK1093="","",$AK1093)),OR($Y1093="worse",$Y1093="worse, not significant",AND(profit_kind="test",$Y1093="in line",ISNUMBER($AB1093),$AB1093&lt;0))),IF(ROUND($AC1093,3)=ROUND(significance_bar,3),TEXT($AC1093,"0.0000"),TEXT($AC1093,"0.000")),""),"")</f>
        <v/>
      </c>
      <c r="AO1093">
        <f>IF(OR($AI1093="",$AN1093=""),$AI1093,$AI1093&amp;" · borderline (p "&amp;$AN1093&amp;")")</f>
        <v/>
      </c>
    </row>
    <row r="1094">
      <c r="A1094" t="inlineStr">
        <is>
          <t>three-way</t>
        </is>
      </c>
      <c r="B1094" t="inlineStr">
        <is>
          <t>ORIG_BAL x ASSET_CLASS / SYS_FLAG</t>
        </is>
      </c>
      <c r="C1094" t="inlineStr">
        <is>
          <t>5,005 - 15,448</t>
        </is>
      </c>
      <c r="D1094" t="inlineStr">
        <is>
          <t>4 / SYS_FLAG N</t>
        </is>
      </c>
      <c r="E1094" t="inlineStr">
        <is>
          <t>outcome_loans</t>
        </is>
      </c>
      <c r="F1094" t="inlineStr">
        <is>
          <t>Outcome, share of loans</t>
        </is>
      </c>
      <c r="G1094" t="n">
        <v>229</v>
      </c>
      <c r="H1094" t="n">
        <v>229</v>
      </c>
      <c r="I1094" t="b">
        <v>0</v>
      </c>
      <c r="J1094" t="b">
        <v>0</v>
      </c>
      <c r="K1094" t="n">
        <v>1.250356586425578</v>
      </c>
      <c r="L1094" t="n">
        <v>0.5639229556355464</v>
      </c>
      <c r="M1094" t="n">
        <v>1.30407713260409</v>
      </c>
      <c r="N1094" t="n">
        <v>0.57171124817441</v>
      </c>
      <c r="O1094" t="n">
        <v>4.405019305019305</v>
      </c>
      <c r="P1094" t="n">
        <v>5.129832239241431</v>
      </c>
      <c r="Q1094">
        <f>'_live'!$C$20</f>
        <v/>
      </c>
      <c r="R1094" t="inlineStr">
        <is>
          <t>z test</t>
        </is>
      </c>
      <c r="S1094" t="inlineStr">
        <is>
          <t>z test</t>
        </is>
      </c>
      <c r="T1094" t="n">
        <v>0.07683397683397683</v>
      </c>
      <c r="U1094" t="n">
        <v>0.0736688548504741</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0.09606986899563319</v>
      </c>
      <c r="AI1094">
        <f>IF($Y1094="worse","Yes",IF($Y1094="worse, not significant","Not sure",IF(OR($Y1094="too few losses to test",$Y1094="too few loans to test"),"Too few losses",IF($Y1094="","","No"))))</f>
        <v/>
      </c>
      <c r="AJ1094">
        <f>IF($AA1094="yes","Yes",IF($AA1094="","","No"))</f>
        <v/>
      </c>
      <c r="AM1094">
        <f>IF(AND(ISNUMBER($AC1094),ISNUMBER(IF($V1094,IF($AL1094="","",$AL1094),IF($AK1094="","",$AK1094)))),IF(AND(ABS($AC1094-significance_bar)&lt;=2.0*IF($V1094,IF($AL1094="","",$AL1094),IF($AK1094="","",$AK1094)),OR($Y1094="worse",$Y1094="better",$Y1094="worse, not significant",$Y1094="better, not significant")),IF(ROUND($AC1094,3)=ROUND(significance_bar,3),TEXT($AC1094,"0.0000"),TEXT($AC1094,"0.000")),""),"")</f>
        <v/>
      </c>
      <c r="AN1094">
        <f>IF(AND(ISNUMBER($AC1094),ISNUMBER(IF($V1094,IF($AL1094="","",$AL1094),IF($AK1094="","",$AK1094)))),IF(AND(ABS($AC1094-significance_bar)&lt;=2.0*IF($V1094,IF($AL1094="","",$AL1094),IF($AK1094="","",$AK1094)),OR($Y1094="worse",$Y1094="worse, not significant")),IF(ROUND($AC1094,3)=ROUND(significance_bar,3),TEXT($AC1094,"0.0000"),TEXT($AC1094,"0.000")),""),"")</f>
        <v/>
      </c>
      <c r="AO1094">
        <f>IF(OR($AI1094="",$AN1094=""),$AI1094,$AI1094&amp;" · borderline (p "&amp;$AN1094&amp;")")</f>
        <v/>
      </c>
    </row>
    <row r="1095">
      <c r="A1095" t="inlineStr">
        <is>
          <t>three-way</t>
        </is>
      </c>
      <c r="B1095" t="inlineStr">
        <is>
          <t>ORIG_BAL x ASSET_CLASS / SYS_FLAG</t>
        </is>
      </c>
      <c r="C1095" t="inlineStr">
        <is>
          <t>5,005 - 15,448</t>
        </is>
      </c>
      <c r="D1095" t="inlineStr">
        <is>
          <t>4 / SYS_FLAG N</t>
        </is>
      </c>
      <c r="E1095" t="inlineStr">
        <is>
          <t>outcome_booked</t>
        </is>
      </c>
      <c r="F1095" t="inlineStr">
        <is>
          <t>Outcome, share of booked dollars</t>
        </is>
      </c>
      <c r="G1095" t="n">
        <v>229</v>
      </c>
      <c r="H1095" t="n">
        <v>2298904.150000002</v>
      </c>
      <c r="I1095" t="b">
        <v>0</v>
      </c>
      <c r="J1095" t="b">
        <v>0</v>
      </c>
      <c r="K1095" t="n">
        <v>1.295377455689952</v>
      </c>
      <c r="L1095" t="n">
        <v>0.6458431079968926</v>
      </c>
      <c r="M1095" t="n">
        <v>1.341007877461044</v>
      </c>
      <c r="N1095" t="n">
        <v>0.6170582941705829</v>
      </c>
      <c r="O1095" t="n">
        <v>50678.76058654522</v>
      </c>
      <c r="P1095" t="n">
        <v>56516.86413813612</v>
      </c>
      <c r="Q1095">
        <f>'_live'!$C$21</f>
        <v/>
      </c>
      <c r="R1095" t="inlineStr">
        <is>
          <t>shuffled: 2,567 of 10,000</t>
        </is>
      </c>
      <c r="S1095" t="inlineStr">
        <is>
          <t>shuffled: 2,045 of 10,000</t>
        </is>
      </c>
      <c r="T1095" t="n">
        <v>0.07463246321663938</v>
      </c>
      <c r="U1095" t="n">
        <v>0.07209294735574936</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0.09667721031344426</v>
      </c>
      <c r="AI1095">
        <f>IF($Y1095="worse","Yes",IF($Y1095="worse, not significant","Not sure",IF(OR($Y1095="too few losses to test",$Y1095="too few loans to test"),"Too few losses",IF($Y1095="","","No"))))</f>
        <v/>
      </c>
      <c r="AJ1095">
        <f>IF($AA1095="yes","Yes",IF($AA1095="","","No"))</f>
        <v/>
      </c>
      <c r="AK1095" t="n">
        <v>0.01082891652154916</v>
      </c>
      <c r="AL1095" t="n">
        <v>0.007788018568726085</v>
      </c>
      <c r="AM1095">
        <f>IF(AND(ISNUMBER($AC1095),ISNUMBER(IF($V1095,IF($AL1095="","",$AL1095),IF($AK1095="","",$AK1095)))),IF(AND(ABS($AC1095-significance_bar)&lt;=2.0*IF($V1095,IF($AL1095="","",$AL1095),IF($AK1095="","",$AK1095)),OR($Y1095="worse",$Y1095="better",$Y1095="worse, not significant",$Y1095="better, not significant")),IF(ROUND($AC1095,3)=ROUND(significance_bar,3),TEXT($AC1095,"0.0000"),TEXT($AC1095,"0.000")),""),"")</f>
        <v/>
      </c>
      <c r="AN1095">
        <f>IF(AND(ISNUMBER($AC1095),ISNUMBER(IF($V1095,IF($AL1095="","",$AL1095),IF($AK1095="","",$AK1095)))),IF(AND(ABS($AC1095-significance_bar)&lt;=2.0*IF($V1095,IF($AL1095="","",$AL1095),IF($AK1095="","",$AK1095)),OR($Y1095="worse",$Y1095="worse, not significant")),IF(ROUND($AC1095,3)=ROUND(significance_bar,3),TEXT($AC1095,"0.0000"),TEXT($AC1095,"0.000")),""),"")</f>
        <v/>
      </c>
      <c r="AO1095">
        <f>IF(OR($AI1095="",$AN1095=""),$AI1095,$AI1095&amp;" · borderline (p "&amp;$AN1095&amp;")")</f>
        <v/>
      </c>
    </row>
    <row r="1096">
      <c r="A1096" t="inlineStr">
        <is>
          <t>three-way</t>
        </is>
      </c>
      <c r="B1096" t="inlineStr">
        <is>
          <t>ORIG_BAL x ASSET_CLASS / SYS_FLAG</t>
        </is>
      </c>
      <c r="C1096" t="inlineStr">
        <is>
          <t>5,005 - 15,448</t>
        </is>
      </c>
      <c r="D1096" t="inlineStr">
        <is>
          <t>4 / SYS_FLAG N</t>
        </is>
      </c>
      <c r="E1096" t="inlineStr">
        <is>
          <t>gco_rate</t>
        </is>
      </c>
      <c r="F1096" t="inlineStr">
        <is>
          <t>GCO per booked dollar</t>
        </is>
      </c>
      <c r="G1096" t="n">
        <v>229</v>
      </c>
      <c r="H1096" t="n">
        <v>2298904.150000002</v>
      </c>
      <c r="I1096" t="b">
        <v>0</v>
      </c>
      <c r="J1096" t="b">
        <v>0</v>
      </c>
      <c r="K1096" t="n">
        <v>1.146641225540308</v>
      </c>
      <c r="L1096" t="n">
        <v>0.9412575983780932</v>
      </c>
      <c r="M1096" t="n">
        <v>1.180276566046068</v>
      </c>
      <c r="N1096" t="n">
        <v>0.7733044877330449</v>
      </c>
      <c r="O1096" t="n">
        <v>14007.42181967833</v>
      </c>
      <c r="P1096" t="n">
        <v>16729.58508981219</v>
      </c>
      <c r="Q1096">
        <f>'_live'!$C$22</f>
        <v/>
      </c>
      <c r="R1096" t="inlineStr">
        <is>
          <t>shuffled: 5,867 of 10,000</t>
        </is>
      </c>
      <c r="S1096" t="inlineStr">
        <is>
          <t>shuffled: 5,181 of 10,000</t>
        </is>
      </c>
      <c r="T1096" t="n">
        <v>0.04155097905248532</v>
      </c>
      <c r="U1096" t="n">
        <v>0.04036686562603653</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0.04764406554314145</v>
      </c>
      <c r="AI1096">
        <f>IF($Y1096="worse","Yes",IF($Y1096="worse, not significant","Not sure",IF(OR($Y1096="too few losses to test",$Y1096="too few loans to test"),"Too few losses",IF($Y1096="","","No"))))</f>
        <v/>
      </c>
      <c r="AJ1096">
        <f>IF($AA1096="yes","Yes",IF($AA1096="","","No"))</f>
        <v/>
      </c>
      <c r="AK1096" t="n">
        <v>0.003907213937934329</v>
      </c>
      <c r="AL1096" t="n">
        <v>0.007258145058233783</v>
      </c>
      <c r="AM1096">
        <f>IF(AND(ISNUMBER($AC1096),ISNUMBER(IF($V1096,IF($AL1096="","",$AL1096),IF($AK1096="","",$AK1096)))),IF(AND(ABS($AC1096-significance_bar)&lt;=2.0*IF($V1096,IF($AL1096="","",$AL1096),IF($AK1096="","",$AK1096)),OR($Y1096="worse",$Y1096="better",$Y1096="worse, not significant",$Y1096="better, not significant")),IF(ROUND($AC1096,3)=ROUND(significance_bar,3),TEXT($AC1096,"0.0000"),TEXT($AC1096,"0.000")),""),"")</f>
        <v/>
      </c>
      <c r="AN1096">
        <f>IF(AND(ISNUMBER($AC1096),ISNUMBER(IF($V1096,IF($AL1096="","",$AL1096),IF($AK1096="","",$AK1096)))),IF(AND(ABS($AC1096-significance_bar)&lt;=2.0*IF($V1096,IF($AL1096="","",$AL1096),IF($AK1096="","",$AK1096)),OR($Y1096="worse",$Y1096="worse, not significant")),IF(ROUND($AC1096,3)=ROUND(significance_bar,3),TEXT($AC1096,"0.0000"),TEXT($AC1096,"0.000")),""),"")</f>
        <v/>
      </c>
      <c r="AO1096">
        <f>IF(OR($AI1096="",$AN1096=""),$AI1096,$AI1096&amp;" · borderline (p "&amp;$AN1096&amp;")")</f>
        <v/>
      </c>
    </row>
    <row r="1097">
      <c r="A1097" t="inlineStr">
        <is>
          <t>three-way</t>
        </is>
      </c>
      <c r="B1097" t="inlineStr">
        <is>
          <t>ORIG_BAL x ASSET_CLASS / SYS_FLAG</t>
        </is>
      </c>
      <c r="C1097" t="inlineStr">
        <is>
          <t>5,005 - 15,448</t>
        </is>
      </c>
      <c r="D1097" t="inlineStr">
        <is>
          <t>4 / SYS_FLAG N</t>
        </is>
      </c>
      <c r="E1097" t="inlineStr">
        <is>
          <t>ranr_rate</t>
        </is>
      </c>
      <c r="F1097" t="inlineStr">
        <is>
          <t>Profit after losses: RANR per booked dollar</t>
        </is>
      </c>
      <c r="G1097" t="n">
        <v>229</v>
      </c>
      <c r="H1097" t="n">
        <v>2298904.150000002</v>
      </c>
      <c r="I1097" t="b">
        <v>0</v>
      </c>
      <c r="J1097" t="b">
        <v>0</v>
      </c>
      <c r="K1097" t="n">
        <v>0.01871117513228043</v>
      </c>
      <c r="L1097" t="n">
        <v>0.5276615195623295</v>
      </c>
      <c r="M1097" t="n">
        <v>-0.0001693341842678442</v>
      </c>
      <c r="N1097" t="n">
        <v>0.9906009399060094</v>
      </c>
      <c r="O1097" t="n">
        <v>-43015.19816297636</v>
      </c>
      <c r="P1097" t="n">
        <v>389.2830589501536</v>
      </c>
      <c r="Q1097">
        <f>'_live'!$C$23</f>
        <v/>
      </c>
      <c r="R1097" t="inlineStr">
        <is>
          <t>shuffled: 1,724 of 10,000</t>
        </is>
      </c>
      <c r="S1097" t="inlineStr">
        <is>
          <t>shuffled: 9,906 of 10,000</t>
        </is>
      </c>
      <c r="T1097" t="n">
        <v>0.1278233682935513</v>
      </c>
      <c r="U1097" t="n">
        <v>0.1467038776100995</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0.1465345434258317</v>
      </c>
      <c r="AI1097">
        <f>IF($Y1097="worse","Yes",IF($Y1097="worse, not significant","Not sure",IF(OR($Y1097="too few losses to test",$Y1097="too few loans to test"),"Too few losses",IF($Y1097="","","No"))))</f>
        <v/>
      </c>
      <c r="AJ1097">
        <f>IF($AA1097="yes","Yes",IF($AA1097="","","No"))</f>
        <v/>
      </c>
      <c r="AK1097" t="n">
        <v>0.01108682850223557</v>
      </c>
      <c r="AL1097" t="n">
        <v>0.0009649206062334953</v>
      </c>
      <c r="AM1097">
        <f>IF(AND(ISNUMBER($AC1097),ISNUMBER(IF($V1097,IF($AL1097="","",$AL1097),IF($AK1097="","",$AK1097)))),IF(AND(ABS($AC1097-significance_bar)&lt;=2.0*IF($V1097,IF($AL1097="","",$AL1097),IF($AK1097="","",$AK1097)),OR($Y1097="worse",$Y1097="better",$Y1097="worse, not significant",$Y1097="better, not significant",AND(profit_kind="test",$Y1097="in line",ISNUMBER($AB1097),$AB1097&lt;&gt;0))),IF(ROUND($AC1097,3)=ROUND(significance_bar,3),TEXT($AC1097,"0.0000"),TEXT($AC1097,"0.000")),""),"")</f>
        <v/>
      </c>
      <c r="AN1097">
        <f>IF(AND(ISNUMBER($AC1097),ISNUMBER(IF($V1097,IF($AL1097="","",$AL1097),IF($AK1097="","",$AK1097)))),IF(AND(ABS($AC1097-significance_bar)&lt;=2.0*IF($V1097,IF($AL1097="","",$AL1097),IF($AK1097="","",$AK1097)),OR($Y1097="worse",$Y1097="worse, not significant",AND(profit_kind="test",$Y1097="in line",ISNUMBER($AB1097),$AB1097&lt;0))),IF(ROUND($AC1097,3)=ROUND(significance_bar,3),TEXT($AC1097,"0.0000"),TEXT($AC1097,"0.000")),""),"")</f>
        <v/>
      </c>
      <c r="AO1097">
        <f>IF(OR($AI1097="",$AN1097=""),$AI1097,$AI1097&amp;" · borderline (p "&amp;$AN1097&amp;")")</f>
        <v/>
      </c>
    </row>
    <row r="1098">
      <c r="A1098" t="inlineStr">
        <is>
          <t>three-way</t>
        </is>
      </c>
      <c r="B1098" t="inlineStr">
        <is>
          <t>ORIG_BAL x ASSET_CLASS / SYS_FLAG</t>
        </is>
      </c>
      <c r="C1098" t="inlineStr">
        <is>
          <t>5,005 - 15,448</t>
        </is>
      </c>
      <c r="D1098" t="inlineStr">
        <is>
          <t>4 / SYS_FLAG N</t>
        </is>
      </c>
      <c r="E1098" t="inlineStr">
        <is>
          <t>contribution_rate</t>
        </is>
      </c>
      <c r="F1098" t="inlineStr">
        <is>
          <t>Contribution before losses per booked dollar</t>
        </is>
      </c>
      <c r="G1098" t="n">
        <v>229</v>
      </c>
      <c r="H1098" t="n">
        <v>2298904.150000002</v>
      </c>
      <c r="I1098" t="b">
        <v>0</v>
      </c>
      <c r="J1098" t="b">
        <v>0</v>
      </c>
      <c r="K1098" t="n">
        <v>0.02480717243865457</v>
      </c>
      <c r="L1098" t="n">
        <v>0.121987801219878</v>
      </c>
      <c r="M1098" t="n">
        <v>0.007107865732837143</v>
      </c>
      <c r="N1098" t="n">
        <v>0.8694368658372257</v>
      </c>
      <c r="O1098" t="n">
        <v>-57029.31166898872</v>
      </c>
      <c r="P1098" t="n">
        <v>-16340.30203086213</v>
      </c>
      <c r="Q1098">
        <f>'_live'!$C$24</f>
        <v/>
      </c>
      <c r="R1098" t="inlineStr">
        <is>
          <t>shuffled: 60 of 10,000</t>
        </is>
      </c>
      <c r="S1098" t="inlineStr">
        <is>
          <t>shuffled: 4,308 of 10,000</t>
        </is>
      </c>
      <c r="T1098" t="n">
        <v>0.1693714365303186</v>
      </c>
      <c r="U1098" t="n">
        <v>0.187070743236136</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0.1941786089689732</v>
      </c>
      <c r="AI1098">
        <f>IF($Y1098="worse","Yes",IF($Y1098="worse, not significant","Not sure",IF(OR($Y1098="too few losses to test",$Y1098="too few loans to test"),"Too few losses",IF($Y1098="","","No"))))</f>
        <v/>
      </c>
      <c r="AJ1098">
        <f>IF($AA1098="yes","Yes",IF($AA1098="","","No"))</f>
        <v/>
      </c>
      <c r="AK1098" t="n">
        <v>0.01557201014882504</v>
      </c>
      <c r="AL1098" t="n">
        <v>0.009487622236184769</v>
      </c>
      <c r="AM1098">
        <f>IF(AND(ISNUMBER($AC1098),ISNUMBER(IF($V1098,IF($AL1098="","",$AL1098),IF($AK1098="","",$AK1098)))),IF(AND(ABS($AC1098-significance_bar)&lt;=2.0*IF($V1098,IF($AL1098="","",$AL1098),IF($AK1098="","",$AK1098)),OR($Y1098="worse",$Y1098="better",$Y1098="worse, not significant",$Y1098="better, not significant",AND(profit_kind="test",$Y1098="in line",ISNUMBER($AB1098),$AB1098&lt;&gt;0))),IF(ROUND($AC1098,3)=ROUND(significance_bar,3),TEXT($AC1098,"0.0000"),TEXT($AC1098,"0.000")),""),"")</f>
        <v/>
      </c>
      <c r="AN1098">
        <f>IF(AND(ISNUMBER($AC1098),ISNUMBER(IF($V1098,IF($AL1098="","",$AL1098),IF($AK1098="","",$AK1098)))),IF(AND(ABS($AC1098-significance_bar)&lt;=2.0*IF($V1098,IF($AL1098="","",$AL1098),IF($AK1098="","",$AK1098)),OR($Y1098="worse",$Y1098="worse, not significant",AND(profit_kind="test",$Y1098="in line",ISNUMBER($AB1098),$AB1098&lt;0))),IF(ROUND($AC1098,3)=ROUND(significance_bar,3),TEXT($AC1098,"0.0000"),TEXT($AC1098,"0.000")),""),"")</f>
        <v/>
      </c>
      <c r="AO1098">
        <f>IF(OR($AI1098="",$AN1098=""),$AI1098,$AI1098&amp;" · borderline (p "&amp;$AN1098&amp;")")</f>
        <v/>
      </c>
    </row>
    <row r="1099">
      <c r="A1099" t="inlineStr">
        <is>
          <t>three-way</t>
        </is>
      </c>
      <c r="B1099" t="inlineStr">
        <is>
          <t>ORIG_BAL x ASSET_CLASS / SYS_FLAG</t>
        </is>
      </c>
      <c r="C1099" t="inlineStr">
        <is>
          <t>49,152 - 59,984</t>
        </is>
      </c>
      <c r="D1099" t="inlineStr">
        <is>
          <t>2 / SYS_FLAG N</t>
        </is>
      </c>
      <c r="E1099" t="inlineStr">
        <is>
          <t>outcome_loans</t>
        </is>
      </c>
      <c r="F1099" t="inlineStr">
        <is>
          <t>Outcome, share of loans</t>
        </is>
      </c>
      <c r="G1099" t="n">
        <v>201</v>
      </c>
      <c r="H1099" t="n">
        <v>201</v>
      </c>
      <c r="I1099" t="b">
        <v>1</v>
      </c>
      <c r="J1099" t="b">
        <v>0</v>
      </c>
      <c r="K1099" t="n">
        <v>0.5079675273387563</v>
      </c>
      <c r="M1099" t="n">
        <v>0.5861220214715894</v>
      </c>
      <c r="O1099" t="n">
        <v>-7.749038214926905</v>
      </c>
      <c r="P1099" t="n">
        <v>-5.649035025017868</v>
      </c>
      <c r="Q1099">
        <f>'_live'!$C$20</f>
        <v/>
      </c>
      <c r="T1099" t="n">
        <v>0.07835342395486022</v>
      </c>
      <c r="U1099" t="n">
        <v>0.06790564689063616</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0.03980099502487562</v>
      </c>
      <c r="AI1099">
        <f>IF($Y1099="worse","Yes",IF($Y1099="worse, not significant","Not sure",IF(OR($Y1099="too few losses to test",$Y1099="too few loans to test"),"Too few losses",IF($Y1099="","","No"))))</f>
        <v/>
      </c>
      <c r="AJ1099">
        <f>IF($AA1099="yes","Yes",IF($AA1099="","","No"))</f>
        <v/>
      </c>
      <c r="AM1099">
        <f>IF(AND(ISNUMBER($AC1099),ISNUMBER(IF($V1099,IF($AL1099="","",$AL1099),IF($AK1099="","",$AK1099)))),IF(AND(ABS($AC1099-significance_bar)&lt;=2.0*IF($V1099,IF($AL1099="","",$AL1099),IF($AK1099="","",$AK1099)),OR($Y1099="worse",$Y1099="better",$Y1099="worse, not significant",$Y1099="better, not significant")),IF(ROUND($AC1099,3)=ROUND(significance_bar,3),TEXT($AC1099,"0.0000"),TEXT($AC1099,"0.000")),""),"")</f>
        <v/>
      </c>
      <c r="AN1099">
        <f>IF(AND(ISNUMBER($AC1099),ISNUMBER(IF($V1099,IF($AL1099="","",$AL1099),IF($AK1099="","",$AK1099)))),IF(AND(ABS($AC1099-significance_bar)&lt;=2.0*IF($V1099,IF($AL1099="","",$AL1099),IF($AK1099="","",$AK1099)),OR($Y1099="worse",$Y1099="worse, not significant")),IF(ROUND($AC1099,3)=ROUND(significance_bar,3),TEXT($AC1099,"0.0000"),TEXT($AC1099,"0.000")),""),"")</f>
        <v/>
      </c>
      <c r="AO1099">
        <f>IF(OR($AI1099="",$AN1099=""),$AI1099,$AI1099&amp;" · borderline (p "&amp;$AN1099&amp;")")</f>
        <v/>
      </c>
    </row>
    <row r="1100">
      <c r="A1100" t="inlineStr">
        <is>
          <t>three-way</t>
        </is>
      </c>
      <c r="B1100" t="inlineStr">
        <is>
          <t>ORIG_BAL x ASSET_CLASS / SYS_FLAG</t>
        </is>
      </c>
      <c r="C1100" t="inlineStr">
        <is>
          <t>49,152 - 59,984</t>
        </is>
      </c>
      <c r="D1100" t="inlineStr">
        <is>
          <t>2 / SYS_FLAG N</t>
        </is>
      </c>
      <c r="E1100" t="inlineStr">
        <is>
          <t>outcome_booked</t>
        </is>
      </c>
      <c r="F1100" t="inlineStr">
        <is>
          <t>Outcome, share of booked dollars</t>
        </is>
      </c>
      <c r="G1100" t="n">
        <v>201</v>
      </c>
      <c r="H1100" t="n">
        <v>10967696.94</v>
      </c>
      <c r="I1100" t="b">
        <v>1</v>
      </c>
      <c r="J1100" t="b">
        <v>0</v>
      </c>
      <c r="K1100" t="n">
        <v>0.5407916355796276</v>
      </c>
      <c r="M1100" t="n">
        <v>0.6060163572999278</v>
      </c>
      <c r="O1100" t="n">
        <v>-384374.9960879133</v>
      </c>
      <c r="P1100" t="n">
        <v>-294285.6930873962</v>
      </c>
      <c r="Q1100">
        <f>'_live'!$C$21</f>
        <v/>
      </c>
      <c r="T1100" t="n">
        <v>0.07631851250695786</v>
      </c>
      <c r="U1100" t="n">
        <v>0.06810445412320049</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0.04127241320364201</v>
      </c>
      <c r="AI1100">
        <f>IF($Y1100="worse","Yes",IF($Y1100="worse, not significant","Not sure",IF(OR($Y1100="too few losses to test",$Y1100="too few loans to test"),"Too few losses",IF($Y1100="","","No"))))</f>
        <v/>
      </c>
      <c r="AJ1100">
        <f>IF($AA1100="yes","Yes",IF($AA1100="","","No"))</f>
        <v/>
      </c>
      <c r="AM1100">
        <f>IF(AND(ISNUMBER($AC1100),ISNUMBER(IF($V1100,IF($AL1100="","",$AL1100),IF($AK1100="","",$AK1100)))),IF(AND(ABS($AC1100-significance_bar)&lt;=2.0*IF($V1100,IF($AL1100="","",$AL1100),IF($AK1100="","",$AK1100)),OR($Y1100="worse",$Y1100="better",$Y1100="worse, not significant",$Y1100="better, not significant")),IF(ROUND($AC1100,3)=ROUND(significance_bar,3),TEXT($AC1100,"0.0000"),TEXT($AC1100,"0.000")),""),"")</f>
        <v/>
      </c>
      <c r="AN1100">
        <f>IF(AND(ISNUMBER($AC1100),ISNUMBER(IF($V1100,IF($AL1100="","",$AL1100),IF($AK1100="","",$AK1100)))),IF(AND(ABS($AC1100-significance_bar)&lt;=2.0*IF($V1100,IF($AL1100="","",$AL1100),IF($AK1100="","",$AK1100)),OR($Y1100="worse",$Y1100="worse, not significant")),IF(ROUND($AC1100,3)=ROUND(significance_bar,3),TEXT($AC1100,"0.0000"),TEXT($AC1100,"0.000")),""),"")</f>
        <v/>
      </c>
      <c r="AO1100">
        <f>IF(OR($AI1100="",$AN1100=""),$AI1100,$AI1100&amp;" · borderline (p "&amp;$AN1100&amp;")")</f>
        <v/>
      </c>
    </row>
    <row r="1101">
      <c r="A1101" t="inlineStr">
        <is>
          <t>three-way</t>
        </is>
      </c>
      <c r="B1101" t="inlineStr">
        <is>
          <t>ORIG_BAL x ASSET_CLASS / SYS_FLAG</t>
        </is>
      </c>
      <c r="C1101" t="inlineStr">
        <is>
          <t>49,152 - 59,984</t>
        </is>
      </c>
      <c r="D1101" t="inlineStr">
        <is>
          <t>2 / SYS_FLAG N</t>
        </is>
      </c>
      <c r="E1101" t="inlineStr">
        <is>
          <t>gco_rate</t>
        </is>
      </c>
      <c r="F1101" t="inlineStr">
        <is>
          <t>GCO per booked dollar</t>
        </is>
      </c>
      <c r="G1101" t="n">
        <v>201</v>
      </c>
      <c r="H1101" t="n">
        <v>10967696.94</v>
      </c>
      <c r="I1101" t="b">
        <v>1</v>
      </c>
      <c r="J1101" t="b">
        <v>0</v>
      </c>
      <c r="K1101" t="n">
        <v>0.562276892019842</v>
      </c>
      <c r="M1101" t="n">
        <v>0.6401855806523018</v>
      </c>
      <c r="O1101" t="n">
        <v>-203525.9053636185</v>
      </c>
      <c r="P1101" t="n">
        <v>-146941.047742303</v>
      </c>
      <c r="Q1101">
        <f>'_live'!$C$22</f>
        <v/>
      </c>
      <c r="T1101" t="n">
        <v>0.04239403750005684</v>
      </c>
      <c r="U1101" t="n">
        <v>0.0372348087275197</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0.02383718764570459</v>
      </c>
      <c r="AI1101">
        <f>IF($Y1101="worse","Yes",IF($Y1101="worse, not significant","Not sure",IF(OR($Y1101="too few losses to test",$Y1101="too few loans to test"),"Too few losses",IF($Y1101="","","No"))))</f>
        <v/>
      </c>
      <c r="AJ1101">
        <f>IF($AA1101="yes","Yes",IF($AA1101="","","No"))</f>
        <v/>
      </c>
      <c r="AM1101">
        <f>IF(AND(ISNUMBER($AC1101),ISNUMBER(IF($V1101,IF($AL1101="","",$AL1101),IF($AK1101="","",$AK1101)))),IF(AND(ABS($AC1101-significance_bar)&lt;=2.0*IF($V1101,IF($AL1101="","",$AL1101),IF($AK1101="","",$AK1101)),OR($Y1101="worse",$Y1101="better",$Y1101="worse, not significant",$Y1101="better, not significant")),IF(ROUND($AC1101,3)=ROUND(significance_bar,3),TEXT($AC1101,"0.0000"),TEXT($AC1101,"0.000")),""),"")</f>
        <v/>
      </c>
      <c r="AN1101">
        <f>IF(AND(ISNUMBER($AC1101),ISNUMBER(IF($V1101,IF($AL1101="","",$AL1101),IF($AK1101="","",$AK1101)))),IF(AND(ABS($AC1101-significance_bar)&lt;=2.0*IF($V1101,IF($AL1101="","",$AL1101),IF($AK1101="","",$AK1101)),OR($Y1101="worse",$Y1101="worse, not significant")),IF(ROUND($AC1101,3)=ROUND(significance_bar,3),TEXT($AC1101,"0.0000"),TEXT($AC1101,"0.000")),""),"")</f>
        <v/>
      </c>
      <c r="AO1101">
        <f>IF(OR($AI1101="",$AN1101=""),$AI1101,$AI1101&amp;" · borderline (p "&amp;$AN1101&amp;")")</f>
        <v/>
      </c>
    </row>
    <row r="1102">
      <c r="A1102" t="inlineStr">
        <is>
          <t>three-way</t>
        </is>
      </c>
      <c r="B1102" t="inlineStr">
        <is>
          <t>ORIG_BAL x ASSET_CLASS / SYS_FLAG</t>
        </is>
      </c>
      <c r="C1102" t="inlineStr">
        <is>
          <t>49,152 - 59,984</t>
        </is>
      </c>
      <c r="D1102" t="inlineStr">
        <is>
          <t>2 / SYS_FLAG N</t>
        </is>
      </c>
      <c r="E1102" t="inlineStr">
        <is>
          <t>ranr_rate</t>
        </is>
      </c>
      <c r="F1102" t="inlineStr">
        <is>
          <t>Profit after losses: RANR per booked dollar</t>
        </is>
      </c>
      <c r="G1102" t="n">
        <v>201</v>
      </c>
      <c r="H1102" t="n">
        <v>10967696.94</v>
      </c>
      <c r="I1102" t="b">
        <v>0</v>
      </c>
      <c r="J1102" t="b">
        <v>0</v>
      </c>
      <c r="K1102" t="n">
        <v>0.01823912358454466</v>
      </c>
      <c r="L1102" t="n">
        <v>0.5412792054127921</v>
      </c>
      <c r="M1102" t="n">
        <v>0.01718805739174412</v>
      </c>
      <c r="N1102" t="n">
        <v>0.4690057310058468</v>
      </c>
      <c r="O1102" t="n">
        <v>-200041.179926492</v>
      </c>
      <c r="P1102" t="n">
        <v>-188513.4044599761</v>
      </c>
      <c r="Q1102">
        <f>'_live'!$C$23</f>
        <v/>
      </c>
      <c r="R1102" t="inlineStr">
        <is>
          <t>shuffled: 2,029 of 10,000</t>
        </is>
      </c>
      <c r="S1102" t="inlineStr">
        <is>
          <t>shuffled: 1,835 of 10,000</t>
        </is>
      </c>
      <c r="T1102" t="n">
        <v>0.127214901880167</v>
      </c>
      <c r="U1102" t="n">
        <v>0.1282659680729676</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0.1454540254647117</v>
      </c>
      <c r="AI1102">
        <f>IF($Y1102="worse","Yes",IF($Y1102="worse, not significant","Not sure",IF(OR($Y1102="too few losses to test",$Y1102="too few loans to test"),"Too few losses",IF($Y1102="","","No"))))</f>
        <v/>
      </c>
      <c r="AJ1102">
        <f>IF($AA1102="yes","Yes",IF($AA1102="","","No"))</f>
        <v/>
      </c>
      <c r="AK1102" t="n">
        <v>0.01072580083826755</v>
      </c>
      <c r="AL1102" t="n">
        <v>0.008760217523622172</v>
      </c>
      <c r="AM1102">
        <f>IF(AND(ISNUMBER($AC1102),ISNUMBER(IF($V1102,IF($AL1102="","",$AL1102),IF($AK1102="","",$AK1102)))),IF(AND(ABS($AC1102-significance_bar)&lt;=2.0*IF($V1102,IF($AL1102="","",$AL1102),IF($AK1102="","",$AK1102)),OR($Y1102="worse",$Y1102="better",$Y1102="worse, not significant",$Y1102="better, not significant",AND(profit_kind="test",$Y1102="in line",ISNUMBER($AB1102),$AB1102&lt;&gt;0))),IF(ROUND($AC1102,3)=ROUND(significance_bar,3),TEXT($AC1102,"0.0000"),TEXT($AC1102,"0.000")),""),"")</f>
        <v/>
      </c>
      <c r="AN1102">
        <f>IF(AND(ISNUMBER($AC1102),ISNUMBER(IF($V1102,IF($AL1102="","",$AL1102),IF($AK1102="","",$AK1102)))),IF(AND(ABS($AC1102-significance_bar)&lt;=2.0*IF($V1102,IF($AL1102="","",$AL1102),IF($AK1102="","",$AK1102)),OR($Y1102="worse",$Y1102="worse, not significant",AND(profit_kind="test",$Y1102="in line",ISNUMBER($AB1102),$AB1102&lt;0))),IF(ROUND($AC1102,3)=ROUND(significance_bar,3),TEXT($AC1102,"0.0000"),TEXT($AC1102,"0.000")),""),"")</f>
        <v/>
      </c>
      <c r="AO1102">
        <f>IF(OR($AI1102="",$AN1102=""),$AI1102,$AI1102&amp;" · borderline (p "&amp;$AN1102&amp;")")</f>
        <v/>
      </c>
    </row>
    <row r="1103">
      <c r="A1103" t="inlineStr">
        <is>
          <t>three-way</t>
        </is>
      </c>
      <c r="B1103" t="inlineStr">
        <is>
          <t>ORIG_BAL x ASSET_CLASS / SYS_FLAG</t>
        </is>
      </c>
      <c r="C1103" t="inlineStr">
        <is>
          <t>49,152 - 59,984</t>
        </is>
      </c>
      <c r="D1103" t="inlineStr">
        <is>
          <t>2 / SYS_FLAG N</t>
        </is>
      </c>
      <c r="E1103" t="inlineStr">
        <is>
          <t>contribution_rate</t>
        </is>
      </c>
      <c r="F1103" t="inlineStr">
        <is>
          <t>Contribution before losses per booked dollar</t>
        </is>
      </c>
      <c r="G1103" t="n">
        <v>201</v>
      </c>
      <c r="H1103" t="n">
        <v>10967696.94</v>
      </c>
      <c r="I1103" t="b">
        <v>0</v>
      </c>
      <c r="J1103" t="b">
        <v>0</v>
      </c>
      <c r="K1103" t="n">
        <v>-0.000314615584874417</v>
      </c>
      <c r="L1103" t="n">
        <v>0.9955004499550044</v>
      </c>
      <c r="M1103" t="n">
        <v>0.00379043630992898</v>
      </c>
      <c r="N1103" t="n">
        <v>0.892759208927592</v>
      </c>
      <c r="O1103" t="n">
        <v>3450.60838750354</v>
      </c>
      <c r="P1103" t="n">
        <v>-41572.3567176729</v>
      </c>
      <c r="Q1103">
        <f>'_live'!$C$24</f>
        <v/>
      </c>
      <c r="R1103" t="inlineStr">
        <is>
          <t>shuffled: 9,760 of 10,000</t>
        </is>
      </c>
      <c r="S1103" t="inlineStr">
        <is>
          <t>shuffled: 6,649 of 10,000</t>
        </is>
      </c>
      <c r="T1103" t="n">
        <v>0.1696058286952907</v>
      </c>
      <c r="U1103" t="n">
        <v>0.1655007768004873</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0.1692912131104163</v>
      </c>
      <c r="AI1103">
        <f>IF($Y1103="worse","Yes",IF($Y1103="worse, not significant","Not sure",IF(OR($Y1103="too few losses to test",$Y1103="too few loans to test"),"Too few losses",IF($Y1103="","","No"))))</f>
        <v/>
      </c>
      <c r="AJ1103">
        <f>IF($AA1103="yes","Yes",IF($AA1103="","","No"))</f>
        <v/>
      </c>
      <c r="AK1103" t="n">
        <v>0.0006692760338147521</v>
      </c>
      <c r="AL1103" t="n">
        <v>0.005339600821528397</v>
      </c>
      <c r="AM1103">
        <f>IF(AND(ISNUMBER($AC1103),ISNUMBER(IF($V1103,IF($AL1103="","",$AL1103),IF($AK1103="","",$AK1103)))),IF(AND(ABS($AC1103-significance_bar)&lt;=2.0*IF($V1103,IF($AL1103="","",$AL1103),IF($AK1103="","",$AK1103)),OR($Y1103="worse",$Y1103="better",$Y1103="worse, not significant",$Y1103="better, not significant",AND(profit_kind="test",$Y1103="in line",ISNUMBER($AB1103),$AB1103&lt;&gt;0))),IF(ROUND($AC1103,3)=ROUND(significance_bar,3),TEXT($AC1103,"0.0000"),TEXT($AC1103,"0.000")),""),"")</f>
        <v/>
      </c>
      <c r="AN1103">
        <f>IF(AND(ISNUMBER($AC1103),ISNUMBER(IF($V1103,IF($AL1103="","",$AL1103),IF($AK1103="","",$AK1103)))),IF(AND(ABS($AC1103-significance_bar)&lt;=2.0*IF($V1103,IF($AL1103="","",$AL1103),IF($AK1103="","",$AK1103)),OR($Y1103="worse",$Y1103="worse, not significant",AND(profit_kind="test",$Y1103="in line",ISNUMBER($AB1103),$AB1103&lt;0))),IF(ROUND($AC1103,3)=ROUND(significance_bar,3),TEXT($AC1103,"0.0000"),TEXT($AC1103,"0.000")),""),"")</f>
        <v/>
      </c>
      <c r="AO1103">
        <f>IF(OR($AI1103="",$AN1103=""),$AI1103,$AI1103&amp;" · borderline (p "&amp;$AN1103&amp;")")</f>
        <v/>
      </c>
    </row>
    <row r="1104">
      <c r="A1104" t="inlineStr">
        <is>
          <t>three-way</t>
        </is>
      </c>
      <c r="B1104" t="inlineStr">
        <is>
          <t>ORIG_BAL x ASSET_CLASS / SYS_FLAG</t>
        </is>
      </c>
      <c r="C1104" t="inlineStr">
        <is>
          <t>15,449 - 26,323</t>
        </is>
      </c>
      <c r="D1104" t="inlineStr">
        <is>
          <t>2 / SYS_FLAG N</t>
        </is>
      </c>
      <c r="E1104" t="inlineStr">
        <is>
          <t>outcome_loans</t>
        </is>
      </c>
      <c r="F1104" t="inlineStr">
        <is>
          <t>Outcome, share of loans</t>
        </is>
      </c>
      <c r="G1104" t="n">
        <v>186</v>
      </c>
      <c r="H1104" t="n">
        <v>186</v>
      </c>
      <c r="I1104" t="b">
        <v>0</v>
      </c>
      <c r="J1104" t="b">
        <v>0</v>
      </c>
      <c r="K1104" t="n">
        <v>0.8304193016952756</v>
      </c>
      <c r="L1104" t="n">
        <v>0.7933268312298792</v>
      </c>
      <c r="M1104" t="n">
        <v>0.6658817989168825</v>
      </c>
      <c r="N1104" t="n">
        <v>0.5448445381015781</v>
      </c>
      <c r="O1104" t="n">
        <v>-2.450531166005375</v>
      </c>
      <c r="P1104" t="n">
        <v>-6.02121640735502</v>
      </c>
      <c r="Q1104">
        <f>'_live'!$C$20</f>
        <v/>
      </c>
      <c r="R1104" t="inlineStr">
        <is>
          <t>z test</t>
        </is>
      </c>
      <c r="S1104" t="inlineStr">
        <is>
          <t>z test</t>
        </is>
      </c>
      <c r="T1104" t="n">
        <v>0.07769102777422245</v>
      </c>
      <c r="U1104" t="n">
        <v>0.09688826025459689</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0.06451612903225806</v>
      </c>
      <c r="AI1104">
        <f>IF($Y1104="worse","Yes",IF($Y1104="worse, not significant","Not sure",IF(OR($Y1104="too few losses to test",$Y1104="too few loans to test"),"Too few losses",IF($Y1104="","","No"))))</f>
        <v/>
      </c>
      <c r="AJ1104">
        <f>IF($AA1104="yes","Yes",IF($AA1104="","","No"))</f>
        <v/>
      </c>
      <c r="AM1104">
        <f>IF(AND(ISNUMBER($AC1104),ISNUMBER(IF($V1104,IF($AL1104="","",$AL1104),IF($AK1104="","",$AK1104)))),IF(AND(ABS($AC1104-significance_bar)&lt;=2.0*IF($V1104,IF($AL1104="","",$AL1104),IF($AK1104="","",$AK1104)),OR($Y1104="worse",$Y1104="better",$Y1104="worse, not significant",$Y1104="better, not significant")),IF(ROUND($AC1104,3)=ROUND(significance_bar,3),TEXT($AC1104,"0.0000"),TEXT($AC1104,"0.000")),""),"")</f>
        <v/>
      </c>
      <c r="AN1104">
        <f>IF(AND(ISNUMBER($AC1104),ISNUMBER(IF($V1104,IF($AL1104="","",$AL1104),IF($AK1104="","",$AK1104)))),IF(AND(ABS($AC1104-significance_bar)&lt;=2.0*IF($V1104,IF($AL1104="","",$AL1104),IF($AK1104="","",$AK1104)),OR($Y1104="worse",$Y1104="worse, not significant")),IF(ROUND($AC1104,3)=ROUND(significance_bar,3),TEXT($AC1104,"0.0000"),TEXT($AC1104,"0.000")),""),"")</f>
        <v/>
      </c>
      <c r="AO1104">
        <f>IF(OR($AI1104="",$AN1104=""),$AI1104,$AI1104&amp;" · borderline (p "&amp;$AN1104&amp;")")</f>
        <v/>
      </c>
    </row>
    <row r="1105">
      <c r="A1105" t="inlineStr">
        <is>
          <t>three-way</t>
        </is>
      </c>
      <c r="B1105" t="inlineStr">
        <is>
          <t>ORIG_BAL x ASSET_CLASS / SYS_FLAG</t>
        </is>
      </c>
      <c r="C1105" t="inlineStr">
        <is>
          <t>15,449 - 26,323</t>
        </is>
      </c>
      <c r="D1105" t="inlineStr">
        <is>
          <t>2 / SYS_FLAG N</t>
        </is>
      </c>
      <c r="E1105" t="inlineStr">
        <is>
          <t>outcome_booked</t>
        </is>
      </c>
      <c r="F1105" t="inlineStr">
        <is>
          <t>Outcome, share of booked dollars</t>
        </is>
      </c>
      <c r="G1105" t="n">
        <v>186</v>
      </c>
      <c r="H1105" t="n">
        <v>3895849.5</v>
      </c>
      <c r="I1105" t="b">
        <v>0</v>
      </c>
      <c r="J1105" t="b">
        <v>0</v>
      </c>
      <c r="K1105" t="n">
        <v>0.8619179697949653</v>
      </c>
      <c r="L1105" t="n">
        <v>0.8613995743282814</v>
      </c>
      <c r="M1105" t="n">
        <v>0.6620248829748224</v>
      </c>
      <c r="N1105" t="n">
        <v>0.5450121654501217</v>
      </c>
      <c r="O1105" t="n">
        <v>-40338.04822480612</v>
      </c>
      <c r="P1105" t="n">
        <v>-128544.6677755117</v>
      </c>
      <c r="Q1105">
        <f>'_live'!$C$21</f>
        <v/>
      </c>
      <c r="R1105" t="inlineStr">
        <is>
          <t>shuffled: 6,331 of 10,000</t>
        </is>
      </c>
      <c r="S1105" t="inlineStr">
        <is>
          <t>shuffled: 1,532 of 10,000</t>
        </is>
      </c>
      <c r="T1105" t="n">
        <v>0.07498519853623867</v>
      </c>
      <c r="U1105" t="n">
        <v>0.0976263759099297</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0.06463109008702723</v>
      </c>
      <c r="AI1105">
        <f>IF($Y1105="worse","Yes",IF($Y1105="worse, not significant","Not sure",IF(OR($Y1105="too few losses to test",$Y1105="too few loans to test"),"Too few losses",IF($Y1105="","","No"))))</f>
        <v/>
      </c>
      <c r="AJ1105">
        <f>IF($AA1105="yes","Yes",IF($AA1105="","","No"))</f>
        <v/>
      </c>
      <c r="AK1105" t="n">
        <v>0.004923895101667321</v>
      </c>
      <c r="AL1105" t="n">
        <v>0.01280930432233895</v>
      </c>
      <c r="AM1105">
        <f>IF(AND(ISNUMBER($AC1105),ISNUMBER(IF($V1105,IF($AL1105="","",$AL1105),IF($AK1105="","",$AK1105)))),IF(AND(ABS($AC1105-significance_bar)&lt;=2.0*IF($V1105,IF($AL1105="","",$AL1105),IF($AK1105="","",$AK1105)),OR($Y1105="worse",$Y1105="better",$Y1105="worse, not significant",$Y1105="better, not significant")),IF(ROUND($AC1105,3)=ROUND(significance_bar,3),TEXT($AC1105,"0.0000"),TEXT($AC1105,"0.000")),""),"")</f>
        <v/>
      </c>
      <c r="AN1105">
        <f>IF(AND(ISNUMBER($AC1105),ISNUMBER(IF($V1105,IF($AL1105="","",$AL1105),IF($AK1105="","",$AK1105)))),IF(AND(ABS($AC1105-significance_bar)&lt;=2.0*IF($V1105,IF($AL1105="","",$AL1105),IF($AK1105="","",$AK1105)),OR($Y1105="worse",$Y1105="worse, not significant")),IF(ROUND($AC1105,3)=ROUND(significance_bar,3),TEXT($AC1105,"0.0000"),TEXT($AC1105,"0.000")),""),"")</f>
        <v/>
      </c>
      <c r="AO1105">
        <f>IF(OR($AI1105="",$AN1105=""),$AI1105,$AI1105&amp;" · borderline (p "&amp;$AN1105&amp;")")</f>
        <v/>
      </c>
    </row>
    <row r="1106">
      <c r="A1106" t="inlineStr">
        <is>
          <t>three-way</t>
        </is>
      </c>
      <c r="B1106" t="inlineStr">
        <is>
          <t>ORIG_BAL x ASSET_CLASS / SYS_FLAG</t>
        </is>
      </c>
      <c r="C1106" t="inlineStr">
        <is>
          <t>15,449 - 26,323</t>
        </is>
      </c>
      <c r="D1106" t="inlineStr">
        <is>
          <t>2 / SYS_FLAG N</t>
        </is>
      </c>
      <c r="E1106" t="inlineStr">
        <is>
          <t>gco_rate</t>
        </is>
      </c>
      <c r="F1106" t="inlineStr">
        <is>
          <t>GCO per booked dollar</t>
        </is>
      </c>
      <c r="G1106" t="n">
        <v>186</v>
      </c>
      <c r="H1106" t="n">
        <v>3895849.5</v>
      </c>
      <c r="I1106" t="b">
        <v>0</v>
      </c>
      <c r="J1106" t="b">
        <v>0</v>
      </c>
      <c r="K1106" t="n">
        <v>0.9213649112275079</v>
      </c>
      <c r="L1106" t="n">
        <v>0.9412575983780932</v>
      </c>
      <c r="M1106" t="n">
        <v>0.6963947579584326</v>
      </c>
      <c r="N1106" t="n">
        <v>0.6181200061812001</v>
      </c>
      <c r="O1106" t="n">
        <v>-12760.94336049934</v>
      </c>
      <c r="P1106" t="n">
        <v>-65185.62605056696</v>
      </c>
      <c r="Q1106">
        <f>'_live'!$C$22</f>
        <v/>
      </c>
      <c r="R1106" t="inlineStr">
        <is>
          <t>shuffled: 7,924 of 10,000</t>
        </is>
      </c>
      <c r="S1106" t="inlineStr">
        <is>
          <t>shuffled: 2,124 of 10,000</t>
        </is>
      </c>
      <c r="T1106" t="n">
        <v>0.04165472084085881</v>
      </c>
      <c r="U1106" t="n">
        <v>0.05511126804322574</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0.03837919816974449</v>
      </c>
      <c r="AI1106">
        <f>IF($Y1106="worse","Yes",IF($Y1106="worse, not significant","Not sure",IF(OR($Y1106="too few losses to test",$Y1106="too few loans to test"),"Too few losses",IF($Y1106="","","No"))))</f>
        <v/>
      </c>
      <c r="AJ1106">
        <f>IF($AA1106="yes","Yes",IF($AA1106="","","No"))</f>
        <v/>
      </c>
      <c r="AK1106" t="n">
        <v>0.003907213937934329</v>
      </c>
      <c r="AL1106" t="n">
        <v>0.01189997877589494</v>
      </c>
      <c r="AM1106">
        <f>IF(AND(ISNUMBER($AC1106),ISNUMBER(IF($V1106,IF($AL1106="","",$AL1106),IF($AK1106="","",$AK1106)))),IF(AND(ABS($AC1106-significance_bar)&lt;=2.0*IF($V1106,IF($AL1106="","",$AL1106),IF($AK1106="","",$AK1106)),OR($Y1106="worse",$Y1106="better",$Y1106="worse, not significant",$Y1106="better, not significant")),IF(ROUND($AC1106,3)=ROUND(significance_bar,3),TEXT($AC1106,"0.0000"),TEXT($AC1106,"0.000")),""),"")</f>
        <v/>
      </c>
      <c r="AN1106">
        <f>IF(AND(ISNUMBER($AC1106),ISNUMBER(IF($V1106,IF($AL1106="","",$AL1106),IF($AK1106="","",$AK1106)))),IF(AND(ABS($AC1106-significance_bar)&lt;=2.0*IF($V1106,IF($AL1106="","",$AL1106),IF($AK1106="","",$AK1106)),OR($Y1106="worse",$Y1106="worse, not significant")),IF(ROUND($AC1106,3)=ROUND(significance_bar,3),TEXT($AC1106,"0.0000"),TEXT($AC1106,"0.000")),""),"")</f>
        <v/>
      </c>
      <c r="AO1106">
        <f>IF(OR($AI1106="",$AN1106=""),$AI1106,$AI1106&amp;" · borderline (p "&amp;$AN1106&amp;")")</f>
        <v/>
      </c>
    </row>
    <row r="1107">
      <c r="A1107" t="inlineStr">
        <is>
          <t>three-way</t>
        </is>
      </c>
      <c r="B1107" t="inlineStr">
        <is>
          <t>ORIG_BAL x ASSET_CLASS / SYS_FLAG</t>
        </is>
      </c>
      <c r="C1107" t="inlineStr">
        <is>
          <t>15,449 - 26,323</t>
        </is>
      </c>
      <c r="D1107" t="inlineStr">
        <is>
          <t>2 / SYS_FLAG N</t>
        </is>
      </c>
      <c r="E1107" t="inlineStr">
        <is>
          <t>ranr_rate</t>
        </is>
      </c>
      <c r="F1107" t="inlineStr">
        <is>
          <t>Profit after losses: RANR per booked dollar</t>
        </is>
      </c>
      <c r="G1107" t="n">
        <v>186</v>
      </c>
      <c r="H1107" t="n">
        <v>3895849.5</v>
      </c>
      <c r="I1107" t="b">
        <v>0</v>
      </c>
      <c r="J1107" t="b">
        <v>0</v>
      </c>
      <c r="K1107" t="n">
        <v>-0.00252340565304579</v>
      </c>
      <c r="L1107" t="n">
        <v>0.9053453628996073</v>
      </c>
      <c r="M1107" t="n">
        <v>0.007295751900831399</v>
      </c>
      <c r="N1107" t="n">
        <v>0.8101689831016898</v>
      </c>
      <c r="O1107" t="n">
        <v>9830.808651715633</v>
      </c>
      <c r="P1107" t="n">
        <v>-28423.15139497799</v>
      </c>
      <c r="Q1107">
        <f>'_live'!$C$23</f>
        <v/>
      </c>
      <c r="R1107" t="inlineStr">
        <is>
          <t>shuffled: 8,670 of 10,000</t>
        </is>
      </c>
      <c r="S1107" t="inlineStr">
        <is>
          <t>shuffled: 6,394 of 10,000</t>
        </is>
      </c>
      <c r="T1107" t="n">
        <v>0.1280281434515671</v>
      </c>
      <c r="U1107" t="n">
        <v>0.1182089858976899</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0.1255047377985213</v>
      </c>
      <c r="AI1107">
        <f>IF($Y1107="worse","Yes",IF($Y1107="worse, not significant","Not sure",IF(OR($Y1107="too few losses to test",$Y1107="too few loans to test"),"Too few losses",IF($Y1107="","","No"))))</f>
        <v/>
      </c>
      <c r="AJ1107">
        <f>IF($AA1107="yes","Yes",IF($AA1107="","","No"))</f>
        <v/>
      </c>
      <c r="AK1107" t="n">
        <v>0.003300138185589779</v>
      </c>
      <c r="AL1107" t="n">
        <v>0.005969400704401457</v>
      </c>
      <c r="AM1107">
        <f>IF(AND(ISNUMBER($AC1107),ISNUMBER(IF($V1107,IF($AL1107="","",$AL1107),IF($AK1107="","",$AK1107)))),IF(AND(ABS($AC1107-significance_bar)&lt;=2.0*IF($V1107,IF($AL1107="","",$AL1107),IF($AK1107="","",$AK1107)),OR($Y1107="worse",$Y1107="better",$Y1107="worse, not significant",$Y1107="better, not significant",AND(profit_kind="test",$Y1107="in line",ISNUMBER($AB1107),$AB1107&lt;&gt;0))),IF(ROUND($AC1107,3)=ROUND(significance_bar,3),TEXT($AC1107,"0.0000"),TEXT($AC1107,"0.000")),""),"")</f>
        <v/>
      </c>
      <c r="AN1107">
        <f>IF(AND(ISNUMBER($AC1107),ISNUMBER(IF($V1107,IF($AL1107="","",$AL1107),IF($AK1107="","",$AK1107)))),IF(AND(ABS($AC1107-significance_bar)&lt;=2.0*IF($V1107,IF($AL1107="","",$AL1107),IF($AK1107="","",$AK1107)),OR($Y1107="worse",$Y1107="worse, not significant",AND(profit_kind="test",$Y1107="in line",ISNUMBER($AB1107),$AB1107&lt;0))),IF(ROUND($AC1107,3)=ROUND(significance_bar,3),TEXT($AC1107,"0.0000"),TEXT($AC1107,"0.000")),""),"")</f>
        <v/>
      </c>
      <c r="AO1107">
        <f>IF(OR($AI1107="",$AN1107=""),$AI1107,$AI1107&amp;" · borderline (p "&amp;$AN1107&amp;")")</f>
        <v/>
      </c>
    </row>
    <row r="1108">
      <c r="A1108" t="inlineStr">
        <is>
          <t>three-way</t>
        </is>
      </c>
      <c r="B1108" t="inlineStr">
        <is>
          <t>ORIG_BAL x ASSET_CLASS / SYS_FLAG</t>
        </is>
      </c>
      <c r="C1108" t="inlineStr">
        <is>
          <t>15,449 - 26,323</t>
        </is>
      </c>
      <c r="D1108" t="inlineStr">
        <is>
          <t>2 / SYS_FLAG N</t>
        </is>
      </c>
      <c r="E1108" t="inlineStr">
        <is>
          <t>contribution_rate</t>
        </is>
      </c>
      <c r="F1108" t="inlineStr">
        <is>
          <t>Contribution before losses per booked dollar</t>
        </is>
      </c>
      <c r="G1108" t="n">
        <v>186</v>
      </c>
      <c r="H1108" t="n">
        <v>3895849.5</v>
      </c>
      <c r="I1108" t="b">
        <v>0</v>
      </c>
      <c r="J1108" t="b">
        <v>0</v>
      </c>
      <c r="K1108" t="n">
        <v>-0.005796031194083062</v>
      </c>
      <c r="L1108" t="n">
        <v>0.9427390594273906</v>
      </c>
      <c r="M1108" t="n">
        <v>-0.009436317972649849</v>
      </c>
      <c r="N1108" t="n">
        <v>0.798978925636848</v>
      </c>
      <c r="O1108" t="n">
        <v>22580.46522945294</v>
      </c>
      <c r="P1108" t="n">
        <v>36762.47465558897</v>
      </c>
      <c r="Q1108">
        <f>'_live'!$C$24</f>
        <v/>
      </c>
      <c r="R1108" t="inlineStr">
        <is>
          <t>shuffled: 5,656 of 10,000</t>
        </is>
      </c>
      <c r="S1108" t="inlineStr">
        <is>
          <t>shuffled: 3,309 of 10,000</t>
        </is>
      </c>
      <c r="T1108" t="n">
        <v>0.1696799671623489</v>
      </c>
      <c r="U1108" t="n">
        <v>0.1733202539409157</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0.1638839359682658</v>
      </c>
      <c r="AI1108">
        <f>IF($Y1108="worse","Yes",IF($Y1108="worse, not significant","Not sure",IF(OR($Y1108="too few losses to test",$Y1108="too few loans to test"),"Too few losses",IF($Y1108="","","No"))))</f>
        <v/>
      </c>
      <c r="AJ1108">
        <f>IF($AA1108="yes","Yes",IF($AA1108="","","No"))</f>
        <v/>
      </c>
      <c r="AK1108" t="n">
        <v>0.008261203493089108</v>
      </c>
      <c r="AL1108" t="n">
        <v>0.0111426347407216</v>
      </c>
      <c r="AM1108">
        <f>IF(AND(ISNUMBER($AC1108),ISNUMBER(IF($V1108,IF($AL1108="","",$AL1108),IF($AK1108="","",$AK1108)))),IF(AND(ABS($AC1108-significance_bar)&lt;=2.0*IF($V1108,IF($AL1108="","",$AL1108),IF($AK1108="","",$AK1108)),OR($Y1108="worse",$Y1108="better",$Y1108="worse, not significant",$Y1108="better, not significant",AND(profit_kind="test",$Y1108="in line",ISNUMBER($AB1108),$AB1108&lt;&gt;0))),IF(ROUND($AC1108,3)=ROUND(significance_bar,3),TEXT($AC1108,"0.0000"),TEXT($AC1108,"0.000")),""),"")</f>
        <v/>
      </c>
      <c r="AN1108">
        <f>IF(AND(ISNUMBER($AC1108),ISNUMBER(IF($V1108,IF($AL1108="","",$AL1108),IF($AK1108="","",$AK1108)))),IF(AND(ABS($AC1108-significance_bar)&lt;=2.0*IF($V1108,IF($AL1108="","",$AL1108),IF($AK1108="","",$AK1108)),OR($Y1108="worse",$Y1108="worse, not significant",AND(profit_kind="test",$Y1108="in line",ISNUMBER($AB1108),$AB1108&lt;0))),IF(ROUND($AC1108,3)=ROUND(significance_bar,3),TEXT($AC1108,"0.0000"),TEXT($AC1108,"0.000")),""),"")</f>
        <v/>
      </c>
      <c r="AO1108">
        <f>IF(OR($AI1108="",$AN1108=""),$AI1108,$AI1108&amp;" · borderline (p "&amp;$AN1108&amp;")")</f>
        <v/>
      </c>
    </row>
    <row r="1109">
      <c r="A1109" t="inlineStr">
        <is>
          <t>three-way</t>
        </is>
      </c>
      <c r="B1109" t="inlineStr">
        <is>
          <t>ORIG_BAL x ASSET_CLASS / SYS_FLAG</t>
        </is>
      </c>
      <c r="C1109" t="inlineStr">
        <is>
          <t>5,005 - 15,448</t>
        </is>
      </c>
      <c r="D1109" t="inlineStr">
        <is>
          <t>2 / SYS_FLAG Y</t>
        </is>
      </c>
      <c r="E1109" t="inlineStr">
        <is>
          <t>outcome_loans</t>
        </is>
      </c>
      <c r="F1109" t="inlineStr">
        <is>
          <t>Outcome, share of loans</t>
        </is>
      </c>
      <c r="G1109" t="n">
        <v>160</v>
      </c>
      <c r="H1109" t="n">
        <v>160</v>
      </c>
      <c r="I1109" t="b">
        <v>0</v>
      </c>
      <c r="J1109" t="b">
        <v>0</v>
      </c>
      <c r="K1109" t="n">
        <v>1.383544435215947</v>
      </c>
      <c r="L1109" t="n">
        <v>0.4872200169526663</v>
      </c>
      <c r="M1109" t="n">
        <v>1.443396226415094</v>
      </c>
      <c r="N1109" t="n">
        <v>0.5448445381015781</v>
      </c>
      <c r="O1109" t="n">
        <v>4.712718458987116</v>
      </c>
      <c r="P1109" t="n">
        <v>5.222222222222221</v>
      </c>
      <c r="Q1109">
        <f>'_live'!$C$20</f>
        <v/>
      </c>
      <c r="R1109" t="inlineStr">
        <is>
          <t>z test</t>
        </is>
      </c>
      <c r="S1109" t="inlineStr">
        <is>
          <t>z test</t>
        </is>
      </c>
      <c r="T1109" t="n">
        <v>0.07679550963133053</v>
      </c>
      <c r="U1109" t="n">
        <v>0.07361111111111111</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0.10625</v>
      </c>
      <c r="AI1109">
        <f>IF($Y1109="worse","Yes",IF($Y1109="worse, not significant","Not sure",IF(OR($Y1109="too few losses to test",$Y1109="too few loans to test"),"Too few losses",IF($Y1109="","","No"))))</f>
        <v/>
      </c>
      <c r="AJ1109">
        <f>IF($AA1109="yes","Yes",IF($AA1109="","","No"))</f>
        <v/>
      </c>
      <c r="AM1109">
        <f>IF(AND(ISNUMBER($AC1109),ISNUMBER(IF($V1109,IF($AL1109="","",$AL1109),IF($AK1109="","",$AK1109)))),IF(AND(ABS($AC1109-significance_bar)&lt;=2.0*IF($V1109,IF($AL1109="","",$AL1109),IF($AK1109="","",$AK1109)),OR($Y1109="worse",$Y1109="better",$Y1109="worse, not significant",$Y1109="better, not significant")),IF(ROUND($AC1109,3)=ROUND(significance_bar,3),TEXT($AC1109,"0.0000"),TEXT($AC1109,"0.000")),""),"")</f>
        <v/>
      </c>
      <c r="AN1109">
        <f>IF(AND(ISNUMBER($AC1109),ISNUMBER(IF($V1109,IF($AL1109="","",$AL1109),IF($AK1109="","",$AK1109)))),IF(AND(ABS($AC1109-significance_bar)&lt;=2.0*IF($V1109,IF($AL1109="","",$AL1109),IF($AK1109="","",$AK1109)),OR($Y1109="worse",$Y1109="worse, not significant")),IF(ROUND($AC1109,3)=ROUND(significance_bar,3),TEXT($AC1109,"0.0000"),TEXT($AC1109,"0.000")),""),"")</f>
        <v/>
      </c>
      <c r="AO1109">
        <f>IF(OR($AI1109="",$AN1109=""),$AI1109,$AI1109&amp;" · borderline (p "&amp;$AN1109&amp;")")</f>
        <v/>
      </c>
    </row>
    <row r="1110">
      <c r="A1110" t="inlineStr">
        <is>
          <t>three-way</t>
        </is>
      </c>
      <c r="B1110" t="inlineStr">
        <is>
          <t>ORIG_BAL x ASSET_CLASS / SYS_FLAG</t>
        </is>
      </c>
      <c r="C1110" t="inlineStr">
        <is>
          <t>5,005 - 15,448</t>
        </is>
      </c>
      <c r="D1110" t="inlineStr">
        <is>
          <t>2 / SYS_FLAG Y</t>
        </is>
      </c>
      <c r="E1110" t="inlineStr">
        <is>
          <t>outcome_booked</t>
        </is>
      </c>
      <c r="F1110" t="inlineStr">
        <is>
          <t>Outcome, share of booked dollars</t>
        </is>
      </c>
      <c r="G1110" t="n">
        <v>160</v>
      </c>
      <c r="H1110" t="n">
        <v>1673345.840000001</v>
      </c>
      <c r="I1110" t="b">
        <v>0</v>
      </c>
      <c r="J1110" t="b">
        <v>0</v>
      </c>
      <c r="K1110" t="n">
        <v>1.35007884476812</v>
      </c>
      <c r="L1110" t="n">
        <v>0.6458431079968926</v>
      </c>
      <c r="M1110" t="n">
        <v>1.386926471188738</v>
      </c>
      <c r="N1110" t="n">
        <v>0.6170582941705829</v>
      </c>
      <c r="O1110" t="n">
        <v>43735.68196416959</v>
      </c>
      <c r="P1110" t="n">
        <v>47054.82612734377</v>
      </c>
      <c r="Q1110">
        <f>'_live'!$C$21</f>
        <v/>
      </c>
      <c r="R1110" t="inlineStr">
        <is>
          <t>shuffled: 2,623 of 10,000</t>
        </is>
      </c>
      <c r="S1110" t="inlineStr">
        <is>
          <t>shuffled: 2,194 of 10,000</t>
        </is>
      </c>
      <c r="T1110" t="n">
        <v>0.07465937109320472</v>
      </c>
      <c r="U1110" t="n">
        <v>0.07267583362961968</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0.1007960374766282</v>
      </c>
      <c r="AI1110">
        <f>IF($Y1110="worse","Yes",IF($Y1110="worse, not significant","Not sure",IF(OR($Y1110="too few losses to test",$Y1110="too few loans to test"),"Too few losses",IF($Y1110="","","No"))))</f>
        <v/>
      </c>
      <c r="AJ1110">
        <f>IF($AA1110="yes","Yes",IF($AA1110="","","No"))</f>
        <v/>
      </c>
      <c r="AK1110" t="n">
        <v>0.01082891652154916</v>
      </c>
      <c r="AL1110" t="n">
        <v>0.007788018568726085</v>
      </c>
      <c r="AM1110">
        <f>IF(AND(ISNUMBER($AC1110),ISNUMBER(IF($V1110,IF($AL1110="","",$AL1110),IF($AK1110="","",$AK1110)))),IF(AND(ABS($AC1110-significance_bar)&lt;=2.0*IF($V1110,IF($AL1110="","",$AL1110),IF($AK1110="","",$AK1110)),OR($Y1110="worse",$Y1110="better",$Y1110="worse, not significant",$Y1110="better, not significant")),IF(ROUND($AC1110,3)=ROUND(significance_bar,3),TEXT($AC1110,"0.0000"),TEXT($AC1110,"0.000")),""),"")</f>
        <v/>
      </c>
      <c r="AN1110">
        <f>IF(AND(ISNUMBER($AC1110),ISNUMBER(IF($V1110,IF($AL1110="","",$AL1110),IF($AK1110="","",$AK1110)))),IF(AND(ABS($AC1110-significance_bar)&lt;=2.0*IF($V1110,IF($AL1110="","",$AL1110),IF($AK1110="","",$AK1110)),OR($Y1110="worse",$Y1110="worse, not significant")),IF(ROUND($AC1110,3)=ROUND(significance_bar,3),TEXT($AC1110,"0.0000"),TEXT($AC1110,"0.000")),""),"")</f>
        <v/>
      </c>
      <c r="AO1110">
        <f>IF(OR($AI1110="",$AN1110=""),$AI1110,$AI1110&amp;" · borderline (p "&amp;$AN1110&amp;")")</f>
        <v/>
      </c>
    </row>
    <row r="1111">
      <c r="A1111" t="inlineStr">
        <is>
          <t>three-way</t>
        </is>
      </c>
      <c r="B1111" t="inlineStr">
        <is>
          <t>ORIG_BAL x ASSET_CLASS / SYS_FLAG</t>
        </is>
      </c>
      <c r="C1111" t="inlineStr">
        <is>
          <t>5,005 - 15,448</t>
        </is>
      </c>
      <c r="D1111" t="inlineStr">
        <is>
          <t>2 / SYS_FLAG Y</t>
        </is>
      </c>
      <c r="E1111" t="inlineStr">
        <is>
          <t>gco_rate</t>
        </is>
      </c>
      <c r="F1111" t="inlineStr">
        <is>
          <t>GCO per booked dollar</t>
        </is>
      </c>
      <c r="G1111" t="n">
        <v>160</v>
      </c>
      <c r="H1111" t="n">
        <v>1673345.840000001</v>
      </c>
      <c r="I1111" t="b">
        <v>0</v>
      </c>
      <c r="J1111" t="b">
        <v>0</v>
      </c>
      <c r="K1111" t="n">
        <v>1.380722729804561</v>
      </c>
      <c r="L1111" t="n">
        <v>0.5781575688584988</v>
      </c>
      <c r="M1111" t="n">
        <v>1.448188407025003</v>
      </c>
      <c r="N1111" t="n">
        <v>0.5641035896410359</v>
      </c>
      <c r="O1111" t="n">
        <v>26440.63284091359</v>
      </c>
      <c r="P1111" t="n">
        <v>29675.97977092744</v>
      </c>
      <c r="Q1111">
        <f>'_live'!$C$22</f>
        <v/>
      </c>
      <c r="R1111" t="inlineStr">
        <is>
          <t>shuffled: 2,348 of 10,000</t>
        </is>
      </c>
      <c r="S1111" t="inlineStr">
        <is>
          <t>shuffled: 1,762 of 10,000</t>
        </is>
      </c>
      <c r="T1111" t="n">
        <v>0.04150279368375302</v>
      </c>
      <c r="U1111" t="n">
        <v>0.03956933387366746</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0.05730385058954697</v>
      </c>
      <c r="AI1111">
        <f>IF($Y1111="worse","Yes",IF($Y1111="worse, not significant","Not sure",IF(OR($Y1111="too few losses to test",$Y1111="too few loans to test"),"Too few losses",IF($Y1111="","","No"))))</f>
        <v/>
      </c>
      <c r="AJ1111">
        <f>IF($AA1111="yes","Yes",IF($AA1111="","","No"))</f>
        <v/>
      </c>
      <c r="AK1111" t="n">
        <v>0.01043499361833248</v>
      </c>
      <c r="AL1111" t="n">
        <v>0.0121939272878159</v>
      </c>
      <c r="AM1111">
        <f>IF(AND(ISNUMBER($AC1111),ISNUMBER(IF($V1111,IF($AL1111="","",$AL1111),IF($AK1111="","",$AK1111)))),IF(AND(ABS($AC1111-significance_bar)&lt;=2.0*IF($V1111,IF($AL1111="","",$AL1111),IF($AK1111="","",$AK1111)),OR($Y1111="worse",$Y1111="better",$Y1111="worse, not significant",$Y1111="better, not significant")),IF(ROUND($AC1111,3)=ROUND(significance_bar,3),TEXT($AC1111,"0.0000"),TEXT($AC1111,"0.000")),""),"")</f>
        <v/>
      </c>
      <c r="AN1111">
        <f>IF(AND(ISNUMBER($AC1111),ISNUMBER(IF($V1111,IF($AL1111="","",$AL1111),IF($AK1111="","",$AK1111)))),IF(AND(ABS($AC1111-significance_bar)&lt;=2.0*IF($V1111,IF($AL1111="","",$AL1111),IF($AK1111="","",$AK1111)),OR($Y1111="worse",$Y1111="worse, not significant")),IF(ROUND($AC1111,3)=ROUND(significance_bar,3),TEXT($AC1111,"0.0000"),TEXT($AC1111,"0.000")),""),"")</f>
        <v/>
      </c>
      <c r="AO1111">
        <f>IF(OR($AI1111="",$AN1111=""),$AI1111,$AI1111&amp;" · borderline (p "&amp;$AN1111&amp;")")</f>
        <v/>
      </c>
    </row>
    <row r="1112">
      <c r="A1112" t="inlineStr">
        <is>
          <t>three-way</t>
        </is>
      </c>
      <c r="B1112" t="inlineStr">
        <is>
          <t>ORIG_BAL x ASSET_CLASS / SYS_FLAG</t>
        </is>
      </c>
      <c r="C1112" t="inlineStr">
        <is>
          <t>5,005 - 15,448</t>
        </is>
      </c>
      <c r="D1112" t="inlineStr">
        <is>
          <t>2 / SYS_FLAG Y</t>
        </is>
      </c>
      <c r="E1112" t="inlineStr">
        <is>
          <t>ranr_rate</t>
        </is>
      </c>
      <c r="F1112" t="inlineStr">
        <is>
          <t>Profit after losses: RANR per booked dollar</t>
        </is>
      </c>
      <c r="G1112" t="n">
        <v>160</v>
      </c>
      <c r="H1112" t="n">
        <v>1673345.840000001</v>
      </c>
      <c r="I1112" t="b">
        <v>0</v>
      </c>
      <c r="J1112" t="b">
        <v>0</v>
      </c>
      <c r="K1112" t="n">
        <v>-0.01683455038795376</v>
      </c>
      <c r="L1112" t="n">
        <v>0.6369889326856789</v>
      </c>
      <c r="M1112" t="n">
        <v>-0.03948550388254704</v>
      </c>
      <c r="N1112" t="n">
        <v>0.169316401693164</v>
      </c>
      <c r="O1112" t="n">
        <v>28170.02485995283</v>
      </c>
      <c r="P1112" t="n">
        <v>66072.90366216397</v>
      </c>
      <c r="Q1112">
        <f>'_live'!$C$23</f>
        <v/>
      </c>
      <c r="R1112" t="inlineStr">
        <is>
          <t>shuffled: 3,025 of 10,000</t>
        </is>
      </c>
      <c r="S1112" t="inlineStr">
        <is>
          <t>shuffled: 126 of 10,000</t>
        </is>
      </c>
      <c r="T1112" t="n">
        <v>0.1280992068321948</v>
      </c>
      <c r="U1112" t="n">
        <v>0.1507501603267881</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0.1112646564442411</v>
      </c>
      <c r="AI1112">
        <f>IF($Y1112="worse","Yes",IF($Y1112="worse, not significant","Not sure",IF(OR($Y1112="too few losses to test",$Y1112="too few loans to test"),"Too few losses",IF($Y1112="","","No"))))</f>
        <v/>
      </c>
      <c r="AJ1112">
        <f>IF($AA1112="yes","Yes",IF($AA1112="","","No"))</f>
        <v/>
      </c>
      <c r="AK1112" t="n">
        <v>0.009670958750846835</v>
      </c>
      <c r="AL1112" t="n">
        <v>0.01492944733971489</v>
      </c>
      <c r="AM1112">
        <f>IF(AND(ISNUMBER($AC1112),ISNUMBER(IF($V1112,IF($AL1112="","",$AL1112),IF($AK1112="","",$AK1112)))),IF(AND(ABS($AC1112-significance_bar)&lt;=2.0*IF($V1112,IF($AL1112="","",$AL1112),IF($AK1112="","",$AK1112)),OR($Y1112="worse",$Y1112="better",$Y1112="worse, not significant",$Y1112="better, not significant",AND(profit_kind="test",$Y1112="in line",ISNUMBER($AB1112),$AB1112&lt;&gt;0))),IF(ROUND($AC1112,3)=ROUND(significance_bar,3),TEXT($AC1112,"0.0000"),TEXT($AC1112,"0.000")),""),"")</f>
        <v/>
      </c>
      <c r="AN1112">
        <f>IF(AND(ISNUMBER($AC1112),ISNUMBER(IF($V1112,IF($AL1112="","",$AL1112),IF($AK1112="","",$AK1112)))),IF(AND(ABS($AC1112-significance_bar)&lt;=2.0*IF($V1112,IF($AL1112="","",$AL1112),IF($AK1112="","",$AK1112)),OR($Y1112="worse",$Y1112="worse, not significant",AND(profit_kind="test",$Y1112="in line",ISNUMBER($AB1112),$AB1112&lt;0))),IF(ROUND($AC1112,3)=ROUND(significance_bar,3),TEXT($AC1112,"0.0000"),TEXT($AC1112,"0.000")),""),"")</f>
        <v/>
      </c>
      <c r="AO1112">
        <f>IF(OR($AI1112="",$AN1112=""),$AI1112,$AI1112&amp;" · borderline (p "&amp;$AN1112&amp;")")</f>
        <v/>
      </c>
    </row>
    <row r="1113">
      <c r="A1113" t="inlineStr">
        <is>
          <t>three-way</t>
        </is>
      </c>
      <c r="B1113" t="inlineStr">
        <is>
          <t>ORIG_BAL x ASSET_CLASS / SYS_FLAG</t>
        </is>
      </c>
      <c r="C1113" t="inlineStr">
        <is>
          <t>5,005 - 15,448</t>
        </is>
      </c>
      <c r="D1113" t="inlineStr">
        <is>
          <t>2 / SYS_FLAG Y</t>
        </is>
      </c>
      <c r="E1113" t="inlineStr">
        <is>
          <t>contribution_rate</t>
        </is>
      </c>
      <c r="F1113" t="inlineStr">
        <is>
          <t>Contribution before losses per booked dollar</t>
        </is>
      </c>
      <c r="G1113" t="n">
        <v>160</v>
      </c>
      <c r="H1113" t="n">
        <v>1673345.840000001</v>
      </c>
      <c r="I1113" t="b">
        <v>0</v>
      </c>
      <c r="J1113" t="b">
        <v>0</v>
      </c>
      <c r="K1113" t="n">
        <v>-0.001030632469876364</v>
      </c>
      <c r="L1113" t="n">
        <v>0.9955004499550044</v>
      </c>
      <c r="M1113" t="n">
        <v>-0.02175098716666762</v>
      </c>
      <c r="N1113" t="n">
        <v>0.511948805119488</v>
      </c>
      <c r="O1113" t="n">
        <v>1724.604556036531</v>
      </c>
      <c r="P1113" t="n">
        <v>36396.92389123666</v>
      </c>
      <c r="Q1113">
        <f>'_live'!$C$24</f>
        <v/>
      </c>
      <c r="R1113" t="inlineStr">
        <is>
          <t>shuffled: 9,218 of 10,000</t>
        </is>
      </c>
      <c r="S1113" t="inlineStr">
        <is>
          <t>shuffled: 383 of 10,000</t>
        </is>
      </c>
      <c r="T1113" t="n">
        <v>0.1695991395036643</v>
      </c>
      <c r="U1113" t="n">
        <v>0.1903194942004555</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0.1685685070337879</v>
      </c>
      <c r="AI1113">
        <f>IF($Y1113="worse","Yes",IF($Y1113="worse, not significant","Not sure",IF(OR($Y1113="too few losses to test",$Y1113="too few loans to test"),"Too few losses",IF($Y1113="","","No"))))</f>
        <v/>
      </c>
      <c r="AJ1113">
        <f>IF($AA1113="yes","Yes",IF($AA1113="","","No"))</f>
        <v/>
      </c>
      <c r="AK1113" t="n">
        <v>0.0006692760338147521</v>
      </c>
      <c r="AL1113" t="n">
        <v>0.0256200946313564</v>
      </c>
      <c r="AM1113">
        <f>IF(AND(ISNUMBER($AC1113),ISNUMBER(IF($V1113,IF($AL1113="","",$AL1113),IF($AK1113="","",$AK1113)))),IF(AND(ABS($AC1113-significance_bar)&lt;=2.0*IF($V1113,IF($AL1113="","",$AL1113),IF($AK1113="","",$AK1113)),OR($Y1113="worse",$Y1113="better",$Y1113="worse, not significant",$Y1113="better, not significant",AND(profit_kind="test",$Y1113="in line",ISNUMBER($AB1113),$AB1113&lt;&gt;0))),IF(ROUND($AC1113,3)=ROUND(significance_bar,3),TEXT($AC1113,"0.0000"),TEXT($AC1113,"0.000")),""),"")</f>
        <v/>
      </c>
      <c r="AN1113">
        <f>IF(AND(ISNUMBER($AC1113),ISNUMBER(IF($V1113,IF($AL1113="","",$AL1113),IF($AK1113="","",$AK1113)))),IF(AND(ABS($AC1113-significance_bar)&lt;=2.0*IF($V1113,IF($AL1113="","",$AL1113),IF($AK1113="","",$AK1113)),OR($Y1113="worse",$Y1113="worse, not significant",AND(profit_kind="test",$Y1113="in line",ISNUMBER($AB1113),$AB1113&lt;0))),IF(ROUND($AC1113,3)=ROUND(significance_bar,3),TEXT($AC1113,"0.0000"),TEXT($AC1113,"0.000")),""),"")</f>
        <v/>
      </c>
      <c r="AO1113">
        <f>IF(OR($AI1113="",$AN1113=""),$AI1113,$AI1113&amp;" · borderline (p "&amp;$AN1113&amp;")")</f>
        <v/>
      </c>
    </row>
    <row r="1114">
      <c r="A1114" t="inlineStr">
        <is>
          <t>three-way</t>
        </is>
      </c>
      <c r="B1114" t="inlineStr">
        <is>
          <t>ORIG_BAL x ASSET_CLASS / SYS_FLAG</t>
        </is>
      </c>
      <c r="C1114" t="inlineStr">
        <is>
          <t>5,005 - 15,448</t>
        </is>
      </c>
      <c r="D1114" t="inlineStr">
        <is>
          <t>1 / SYS_FLAG Y</t>
        </is>
      </c>
      <c r="E1114" t="inlineStr">
        <is>
          <t>outcome_loans</t>
        </is>
      </c>
      <c r="F1114" t="inlineStr">
        <is>
          <t>Outcome, share of loans</t>
        </is>
      </c>
      <c r="G1114" t="n">
        <v>180</v>
      </c>
      <c r="H1114" t="n">
        <v>180</v>
      </c>
      <c r="I1114" t="b">
        <v>0</v>
      </c>
      <c r="J1114" t="b">
        <v>0</v>
      </c>
      <c r="K1114" t="n">
        <v>1.300998336106489</v>
      </c>
      <c r="L1114" t="n">
        <v>0.5639229556355464</v>
      </c>
      <c r="M1114" t="n">
        <v>1.352380952380952</v>
      </c>
      <c r="N1114" t="n">
        <v>0.57171124817441</v>
      </c>
      <c r="O1114" t="n">
        <v>4.164471159994884</v>
      </c>
      <c r="P1114" t="n">
        <v>4.690140845070422</v>
      </c>
      <c r="Q1114">
        <f>'_live'!$C$20</f>
        <v/>
      </c>
      <c r="R1114" t="inlineStr">
        <is>
          <t>z test</t>
        </is>
      </c>
      <c r="S1114" t="inlineStr">
        <is>
          <t>z test</t>
        </is>
      </c>
      <c r="T1114" t="n">
        <v>0.07686404911113953</v>
      </c>
      <c r="U1114" t="n">
        <v>0.07394366197183098</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0.1</v>
      </c>
      <c r="AI1114">
        <f>IF($Y1114="worse","Yes",IF($Y1114="worse, not significant","Not sure",IF(OR($Y1114="too few losses to test",$Y1114="too few loans to test"),"Too few losses",IF($Y1114="","","No"))))</f>
        <v/>
      </c>
      <c r="AJ1114">
        <f>IF($AA1114="yes","Yes",IF($AA1114="","","No"))</f>
        <v/>
      </c>
      <c r="AM1114">
        <f>IF(AND(ISNUMBER($AC1114),ISNUMBER(IF($V1114,IF($AL1114="","",$AL1114),IF($AK1114="","",$AK1114)))),IF(AND(ABS($AC1114-significance_bar)&lt;=2.0*IF($V1114,IF($AL1114="","",$AL1114),IF($AK1114="","",$AK1114)),OR($Y1114="worse",$Y1114="better",$Y1114="worse, not significant",$Y1114="better, not significant")),IF(ROUND($AC1114,3)=ROUND(significance_bar,3),TEXT($AC1114,"0.0000"),TEXT($AC1114,"0.000")),""),"")</f>
        <v/>
      </c>
      <c r="AN1114">
        <f>IF(AND(ISNUMBER($AC1114),ISNUMBER(IF($V1114,IF($AL1114="","",$AL1114),IF($AK1114="","",$AK1114)))),IF(AND(ABS($AC1114-significance_bar)&lt;=2.0*IF($V1114,IF($AL1114="","",$AL1114),IF($AK1114="","",$AK1114)),OR($Y1114="worse",$Y1114="worse, not significant")),IF(ROUND($AC1114,3)=ROUND(significance_bar,3),TEXT($AC1114,"0.0000"),TEXT($AC1114,"0.000")),""),"")</f>
        <v/>
      </c>
      <c r="AO1114">
        <f>IF(OR($AI1114="",$AN1114=""),$AI1114,$AI1114&amp;" · borderline (p "&amp;$AN1114&amp;")")</f>
        <v/>
      </c>
    </row>
    <row r="1115">
      <c r="A1115" t="inlineStr">
        <is>
          <t>three-way</t>
        </is>
      </c>
      <c r="B1115" t="inlineStr">
        <is>
          <t>ORIG_BAL x ASSET_CLASS / SYS_FLAG</t>
        </is>
      </c>
      <c r="C1115" t="inlineStr">
        <is>
          <t>5,005 - 15,448</t>
        </is>
      </c>
      <c r="D1115" t="inlineStr">
        <is>
          <t>1 / SYS_FLAG Y</t>
        </is>
      </c>
      <c r="E1115" t="inlineStr">
        <is>
          <t>outcome_booked</t>
        </is>
      </c>
      <c r="F1115" t="inlineStr">
        <is>
          <t>Outcome, share of booked dollars</t>
        </is>
      </c>
      <c r="G1115" t="n">
        <v>180</v>
      </c>
      <c r="H1115" t="n">
        <v>1829411.92</v>
      </c>
      <c r="I1115" t="b">
        <v>0</v>
      </c>
      <c r="J1115" t="b">
        <v>0</v>
      </c>
      <c r="K1115" t="n">
        <v>1.263986302073374</v>
      </c>
      <c r="L1115" t="n">
        <v>0.7069410705988224</v>
      </c>
      <c r="M1115" t="n">
        <v>1.290003065634888</v>
      </c>
      <c r="N1115" t="n">
        <v>0.6170582941705829</v>
      </c>
      <c r="O1115" t="n">
        <v>36070.32009111394</v>
      </c>
      <c r="P1115" t="n">
        <v>38826.01498563983</v>
      </c>
      <c r="Q1115">
        <f>'_live'!$C$21</f>
        <v/>
      </c>
      <c r="R1115" t="inlineStr">
        <is>
          <t>shuffled: 3,755 of 10,000</t>
        </is>
      </c>
      <c r="S1115" t="inlineStr">
        <is>
          <t>shuffled: 3,300 of 10,000</t>
        </is>
      </c>
      <c r="T1115" t="n">
        <v>0.07468907817594524</v>
      </c>
      <c r="U1115" t="n">
        <v>0.07318274990487664</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0.09440597172888215</v>
      </c>
      <c r="AI1115">
        <f>IF($Y1115="worse","Yes",IF($Y1115="worse, not significant","Not sure",IF(OR($Y1115="too few losses to test",$Y1115="too few loans to test"),"Too few losses",IF($Y1115="","","No"))))</f>
        <v/>
      </c>
      <c r="AJ1115">
        <f>IF($AA1115="yes","Yes",IF($AA1115="","","No"))</f>
        <v/>
      </c>
      <c r="AK1115" t="n">
        <v>0.009115629030301348</v>
      </c>
      <c r="AL1115" t="n">
        <v>0.007788018568726085</v>
      </c>
      <c r="AM1115">
        <f>IF(AND(ISNUMBER($AC1115),ISNUMBER(IF($V1115,IF($AL1115="","",$AL1115),IF($AK1115="","",$AK1115)))),IF(AND(ABS($AC1115-significance_bar)&lt;=2.0*IF($V1115,IF($AL1115="","",$AL1115),IF($AK1115="","",$AK1115)),OR($Y1115="worse",$Y1115="better",$Y1115="worse, not significant",$Y1115="better, not significant")),IF(ROUND($AC1115,3)=ROUND(significance_bar,3),TEXT($AC1115,"0.0000"),TEXT($AC1115,"0.000")),""),"")</f>
        <v/>
      </c>
      <c r="AN1115">
        <f>IF(AND(ISNUMBER($AC1115),ISNUMBER(IF($V1115,IF($AL1115="","",$AL1115),IF($AK1115="","",$AK1115)))),IF(AND(ABS($AC1115-significance_bar)&lt;=2.0*IF($V1115,IF($AL1115="","",$AL1115),IF($AK1115="","",$AK1115)),OR($Y1115="worse",$Y1115="worse, not significant")),IF(ROUND($AC1115,3)=ROUND(significance_bar,3),TEXT($AC1115,"0.0000"),TEXT($AC1115,"0.000")),""),"")</f>
        <v/>
      </c>
      <c r="AO1115">
        <f>IF(OR($AI1115="",$AN1115=""),$AI1115,$AI1115&amp;" · borderline (p "&amp;$AN1115&amp;")")</f>
        <v/>
      </c>
    </row>
    <row r="1116">
      <c r="A1116" t="inlineStr">
        <is>
          <t>three-way</t>
        </is>
      </c>
      <c r="B1116" t="inlineStr">
        <is>
          <t>ORIG_BAL x ASSET_CLASS / SYS_FLAG</t>
        </is>
      </c>
      <c r="C1116" t="inlineStr">
        <is>
          <t>5,005 - 15,448</t>
        </is>
      </c>
      <c r="D1116" t="inlineStr">
        <is>
          <t>1 / SYS_FLAG Y</t>
        </is>
      </c>
      <c r="E1116" t="inlineStr">
        <is>
          <t>gco_rate</t>
        </is>
      </c>
      <c r="F1116" t="inlineStr">
        <is>
          <t>GCO per booked dollar</t>
        </is>
      </c>
      <c r="G1116" t="n">
        <v>180</v>
      </c>
      <c r="H1116" t="n">
        <v>1829411.92</v>
      </c>
      <c r="I1116" t="b">
        <v>0</v>
      </c>
      <c r="J1116" t="b">
        <v>0</v>
      </c>
      <c r="K1116" t="n">
        <v>1.148161021326477</v>
      </c>
      <c r="L1116" t="n">
        <v>0.9412575983780932</v>
      </c>
      <c r="M1116" t="n">
        <v>1.175514397952917</v>
      </c>
      <c r="N1116" t="n">
        <v>0.7896543678965436</v>
      </c>
      <c r="O1116" t="n">
        <v>11265.1712043802</v>
      </c>
      <c r="P1116" t="n">
        <v>13034.41151460445</v>
      </c>
      <c r="Q1116">
        <f>'_live'!$C$22</f>
        <v/>
      </c>
      <c r="R1116" t="inlineStr">
        <is>
          <t>shuffled: 6,310 of 10,000</t>
        </is>
      </c>
      <c r="S1116" t="inlineStr">
        <is>
          <t>shuffled: 5,708 of 10,000</t>
        </is>
      </c>
      <c r="T1116" t="n">
        <v>0.04156160674607379</v>
      </c>
      <c r="U1116" t="n">
        <v>0.04059449797692122</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0.04771941684954147</v>
      </c>
      <c r="AI1116">
        <f>IF($Y1116="worse","Yes",IF($Y1116="worse, not significant","Not sure",IF(OR($Y1116="too few losses to test",$Y1116="too few loans to test"),"Too few losses",IF($Y1116="","","No"))))</f>
        <v/>
      </c>
      <c r="AJ1116">
        <f>IF($AA1116="yes","Yes",IF($AA1116="","","No"))</f>
        <v/>
      </c>
      <c r="AK1116" t="n">
        <v>0.003907213937934329</v>
      </c>
      <c r="AL1116" t="n">
        <v>0.006552239844439724</v>
      </c>
      <c r="AM1116">
        <f>IF(AND(ISNUMBER($AC1116),ISNUMBER(IF($V1116,IF($AL1116="","",$AL1116),IF($AK1116="","",$AK1116)))),IF(AND(ABS($AC1116-significance_bar)&lt;=2.0*IF($V1116,IF($AL1116="","",$AL1116),IF($AK1116="","",$AK1116)),OR($Y1116="worse",$Y1116="better",$Y1116="worse, not significant",$Y1116="better, not significant")),IF(ROUND($AC1116,3)=ROUND(significance_bar,3),TEXT($AC1116,"0.0000"),TEXT($AC1116,"0.000")),""),"")</f>
        <v/>
      </c>
      <c r="AN1116">
        <f>IF(AND(ISNUMBER($AC1116),ISNUMBER(IF($V1116,IF($AL1116="","",$AL1116),IF($AK1116="","",$AK1116)))),IF(AND(ABS($AC1116-significance_bar)&lt;=2.0*IF($V1116,IF($AL1116="","",$AL1116),IF($AK1116="","",$AK1116)),OR($Y1116="worse",$Y1116="worse, not significant")),IF(ROUND($AC1116,3)=ROUND(significance_bar,3),TEXT($AC1116,"0.0000"),TEXT($AC1116,"0.000")),""),"")</f>
        <v/>
      </c>
      <c r="AO1116">
        <f>IF(OR($AI1116="",$AN1116=""),$AI1116,$AI1116&amp;" · borderline (p "&amp;$AN1116&amp;")")</f>
        <v/>
      </c>
    </row>
    <row r="1117">
      <c r="A1117" t="inlineStr">
        <is>
          <t>three-way</t>
        </is>
      </c>
      <c r="B1117" t="inlineStr">
        <is>
          <t>ORIG_BAL x ASSET_CLASS / SYS_FLAG</t>
        </is>
      </c>
      <c r="C1117" t="inlineStr">
        <is>
          <t>5,005 - 15,448</t>
        </is>
      </c>
      <c r="D1117" t="inlineStr">
        <is>
          <t>1 / SYS_FLAG Y</t>
        </is>
      </c>
      <c r="E1117" t="inlineStr">
        <is>
          <t>ranr_rate</t>
        </is>
      </c>
      <c r="F1117" t="inlineStr">
        <is>
          <t>Profit after losses: RANR per booked dollar</t>
        </is>
      </c>
      <c r="G1117" t="n">
        <v>180</v>
      </c>
      <c r="H1117" t="n">
        <v>1829411.92</v>
      </c>
      <c r="I1117" t="b">
        <v>0</v>
      </c>
      <c r="J1117" t="b">
        <v>0</v>
      </c>
      <c r="K1117" t="n">
        <v>0.01726018897133344</v>
      </c>
      <c r="L1117" t="n">
        <v>0.5817196058171961</v>
      </c>
      <c r="M1117" t="n">
        <v>-0.001749134714166573</v>
      </c>
      <c r="N1117" t="n">
        <v>0.9519048095190481</v>
      </c>
      <c r="O1117" t="n">
        <v>-31575.99544560994</v>
      </c>
      <c r="P1117" t="n">
        <v>3199.887895782129</v>
      </c>
      <c r="Q1117">
        <f>'_live'!$C$23</f>
        <v/>
      </c>
      <c r="R1117" t="inlineStr">
        <is>
          <t>shuffled: 2,617 of 10,000</t>
        </is>
      </c>
      <c r="S1117" t="inlineStr">
        <is>
          <t>shuffled: 9,033 of 10,000</t>
        </is>
      </c>
      <c r="T1117" t="n">
        <v>0.1278676945290649</v>
      </c>
      <c r="U1117" t="n">
        <v>0.1468770182145649</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0.1451278835003983</v>
      </c>
      <c r="AI1117">
        <f>IF($Y1117="worse","Yes",IF($Y1117="worse, not significant","Not sure",IF(OR($Y1117="too few losses to test",$Y1117="too few loans to test"),"Too few losses",IF($Y1117="","","No"))))</f>
        <v/>
      </c>
      <c r="AJ1117">
        <f>IF($AA1117="yes","Yes",IF($AA1117="","","No"))</f>
        <v/>
      </c>
      <c r="AK1117" t="n">
        <v>0.009768892134511521</v>
      </c>
      <c r="AL1117" t="n">
        <v>0.002649336874809362</v>
      </c>
      <c r="AM1117">
        <f>IF(AND(ISNUMBER($AC1117),ISNUMBER(IF($V1117,IF($AL1117="","",$AL1117),IF($AK1117="","",$AK1117)))),IF(AND(ABS($AC1117-significance_bar)&lt;=2.0*IF($V1117,IF($AL1117="","",$AL1117),IF($AK1117="","",$AK1117)),OR($Y1117="worse",$Y1117="better",$Y1117="worse, not significant",$Y1117="better, not significant",AND(profit_kind="test",$Y1117="in line",ISNUMBER($AB1117),$AB1117&lt;&gt;0))),IF(ROUND($AC1117,3)=ROUND(significance_bar,3),TEXT($AC1117,"0.0000"),TEXT($AC1117,"0.000")),""),"")</f>
        <v/>
      </c>
      <c r="AN1117">
        <f>IF(AND(ISNUMBER($AC1117),ISNUMBER(IF($V1117,IF($AL1117="","",$AL1117),IF($AK1117="","",$AK1117)))),IF(AND(ABS($AC1117-significance_bar)&lt;=2.0*IF($V1117,IF($AL1117="","",$AL1117),IF($AK1117="","",$AK1117)),OR($Y1117="worse",$Y1117="worse, not significant",AND(profit_kind="test",$Y1117="in line",ISNUMBER($AB1117),$AB1117&lt;0))),IF(ROUND($AC1117,3)=ROUND(significance_bar,3),TEXT($AC1117,"0.0000"),TEXT($AC1117,"0.000")),""),"")</f>
        <v/>
      </c>
      <c r="AO1117">
        <f>IF(OR($AI1117="",$AN1117=""),$AI1117,$AI1117&amp;" · borderline (p "&amp;$AN1117&amp;")")</f>
        <v/>
      </c>
    </row>
    <row r="1118">
      <c r="A1118" t="inlineStr">
        <is>
          <t>three-way</t>
        </is>
      </c>
      <c r="B1118" t="inlineStr">
        <is>
          <t>ORIG_BAL x ASSET_CLASS / SYS_FLAG</t>
        </is>
      </c>
      <c r="C1118" t="inlineStr">
        <is>
          <t>5,005 - 15,448</t>
        </is>
      </c>
      <c r="D1118" t="inlineStr">
        <is>
          <t>1 / SYS_FLAG Y</t>
        </is>
      </c>
      <c r="E1118" t="inlineStr">
        <is>
          <t>contribution_rate</t>
        </is>
      </c>
      <c r="F1118" t="inlineStr">
        <is>
          <t>Contribution before losses per booked dollar</t>
        </is>
      </c>
      <c r="G1118" t="n">
        <v>180</v>
      </c>
      <c r="H1118" t="n">
        <v>1829411.92</v>
      </c>
      <c r="I1118" t="b">
        <v>0</v>
      </c>
      <c r="J1118" t="b">
        <v>0</v>
      </c>
      <c r="K1118" t="n">
        <v>0.02342089769038372</v>
      </c>
      <c r="L1118" t="n">
        <v>0.168649801686498</v>
      </c>
      <c r="M1118" t="n">
        <v>0.005375784158453717</v>
      </c>
      <c r="N1118" t="n">
        <v>0.892759208927592</v>
      </c>
      <c r="O1118" t="n">
        <v>-42846.46941188845</v>
      </c>
      <c r="P1118" t="n">
        <v>-9834.523618822393</v>
      </c>
      <c r="Q1118">
        <f>'_live'!$C$24</f>
        <v/>
      </c>
      <c r="R1118" t="inlineStr">
        <is>
          <t>shuffled: 196 of 10,000</t>
        </is>
      </c>
      <c r="S1118" t="inlineStr">
        <is>
          <t>shuffled: 5,831 of 10,000</t>
        </is>
      </c>
      <c r="T1118" t="n">
        <v>0.1694264026595561</v>
      </c>
      <c r="U1118" t="n">
        <v>0.1874715161914861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0.1928473003499398</v>
      </c>
      <c r="AI1118">
        <f>IF($Y1118="worse","Yes",IF($Y1118="worse, not significant","Not sure",IF(OR($Y1118="too few losses to test",$Y1118="too few loans to test"),"Too few losses",IF($Y1118="","","No"))))</f>
        <v/>
      </c>
      <c r="AJ1118">
        <f>IF($AA1118="yes","Yes",IF($AA1118="","","No"))</f>
        <v/>
      </c>
      <c r="AK1118" t="n">
        <v>0.01046847293369202</v>
      </c>
      <c r="AL1118" t="n">
        <v>0.005339600821528397</v>
      </c>
      <c r="AM1118">
        <f>IF(AND(ISNUMBER($AC1118),ISNUMBER(IF($V1118,IF($AL1118="","",$AL1118),IF($AK1118="","",$AK1118)))),IF(AND(ABS($AC1118-significance_bar)&lt;=2.0*IF($V1118,IF($AL1118="","",$AL1118),IF($AK1118="","",$AK1118)),OR($Y1118="worse",$Y1118="better",$Y1118="worse, not significant",$Y1118="better, not significant",AND(profit_kind="test",$Y1118="in line",ISNUMBER($AB1118),$AB1118&lt;&gt;0))),IF(ROUND($AC1118,3)=ROUND(significance_bar,3),TEXT($AC1118,"0.0000"),TEXT($AC1118,"0.000")),""),"")</f>
        <v/>
      </c>
      <c r="AN1118">
        <f>IF(AND(ISNUMBER($AC1118),ISNUMBER(IF($V1118,IF($AL1118="","",$AL1118),IF($AK1118="","",$AK1118)))),IF(AND(ABS($AC1118-significance_bar)&lt;=2.0*IF($V1118,IF($AL1118="","",$AL1118),IF($AK1118="","",$AK1118)),OR($Y1118="worse",$Y1118="worse, not significant",AND(profit_kind="test",$Y1118="in line",ISNUMBER($AB1118),$AB1118&lt;0))),IF(ROUND($AC1118,3)=ROUND(significance_bar,3),TEXT($AC1118,"0.0000"),TEXT($AC1118,"0.000")),""),"")</f>
        <v/>
      </c>
      <c r="AO1118">
        <f>IF(OR($AI1118="",$AN1118=""),$AI1118,$AI1118&amp;" · borderline (p "&amp;$AN1118&amp;")")</f>
        <v/>
      </c>
    </row>
    <row r="1119">
      <c r="A1119" t="inlineStr">
        <is>
          <t>three-way</t>
        </is>
      </c>
      <c r="B1119" t="inlineStr">
        <is>
          <t>ORIG_BAL x ASSET_CLASS / SYS_FLAG</t>
        </is>
      </c>
      <c r="C1119" t="inlineStr">
        <is>
          <t>37,951 - 49,151</t>
        </is>
      </c>
      <c r="D1119" t="inlineStr">
        <is>
          <t>2 / SYS_FLAG N</t>
        </is>
      </c>
      <c r="E1119" t="inlineStr">
        <is>
          <t>outcome_loans</t>
        </is>
      </c>
      <c r="F1119" t="inlineStr">
        <is>
          <t>Outcome, share of loans</t>
        </is>
      </c>
      <c r="G1119" t="n">
        <v>221</v>
      </c>
      <c r="H1119" t="n">
        <v>221</v>
      </c>
      <c r="I1119" t="b">
        <v>1</v>
      </c>
      <c r="J1119" t="b">
        <v>0</v>
      </c>
      <c r="K1119" t="n">
        <v>0.5192641495438024</v>
      </c>
      <c r="M1119" t="n">
        <v>0.4492669683257919</v>
      </c>
      <c r="O1119" t="n">
        <v>-8.332219079454873</v>
      </c>
      <c r="P1119" t="n">
        <v>-11.03263234227701</v>
      </c>
      <c r="Q1119">
        <f>'_live'!$C$20</f>
        <v/>
      </c>
      <c r="T1119" t="n">
        <v>0.07842633067626639</v>
      </c>
      <c r="U1119" t="n">
        <v>0.09064539521392313</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0.04072398190045249</v>
      </c>
      <c r="AI1119">
        <f>IF($Y1119="worse","Yes",IF($Y1119="worse, not significant","Not sure",IF(OR($Y1119="too few losses to test",$Y1119="too few loans to test"),"Too few losses",IF($Y1119="","","No"))))</f>
        <v/>
      </c>
      <c r="AJ1119">
        <f>IF($AA1119="yes","Yes",IF($AA1119="","","No"))</f>
        <v/>
      </c>
      <c r="AM1119">
        <f>IF(AND(ISNUMBER($AC1119),ISNUMBER(IF($V1119,IF($AL1119="","",$AL1119),IF($AK1119="","",$AK1119)))),IF(AND(ABS($AC1119-significance_bar)&lt;=2.0*IF($V1119,IF($AL1119="","",$AL1119),IF($AK1119="","",$AK1119)),OR($Y1119="worse",$Y1119="better",$Y1119="worse, not significant",$Y1119="better, not significant")),IF(ROUND($AC1119,3)=ROUND(significance_bar,3),TEXT($AC1119,"0.0000"),TEXT($AC1119,"0.000")),""),"")</f>
        <v/>
      </c>
      <c r="AN1119">
        <f>IF(AND(ISNUMBER($AC1119),ISNUMBER(IF($V1119,IF($AL1119="","",$AL1119),IF($AK1119="","",$AK1119)))),IF(AND(ABS($AC1119-significance_bar)&lt;=2.0*IF($V1119,IF($AL1119="","",$AL1119),IF($AK1119="","",$AK1119)),OR($Y1119="worse",$Y1119="worse, not significant")),IF(ROUND($AC1119,3)=ROUND(significance_bar,3),TEXT($AC1119,"0.0000"),TEXT($AC1119,"0.000")),""),"")</f>
        <v/>
      </c>
      <c r="AO1119">
        <f>IF(OR($AI1119="",$AN1119=""),$AI1119,$AI1119&amp;" · borderline (p "&amp;$AN1119&amp;")")</f>
        <v/>
      </c>
    </row>
    <row r="1120">
      <c r="A1120" t="inlineStr">
        <is>
          <t>three-way</t>
        </is>
      </c>
      <c r="B1120" t="inlineStr">
        <is>
          <t>ORIG_BAL x ASSET_CLASS / SYS_FLAG</t>
        </is>
      </c>
      <c r="C1120" t="inlineStr">
        <is>
          <t>37,951 - 49,151</t>
        </is>
      </c>
      <c r="D1120" t="inlineStr">
        <is>
          <t>2 / SYS_FLAG N</t>
        </is>
      </c>
      <c r="E1120" t="inlineStr">
        <is>
          <t>outcome_booked</t>
        </is>
      </c>
      <c r="F1120" t="inlineStr">
        <is>
          <t>Outcome, share of booked dollars</t>
        </is>
      </c>
      <c r="G1120" t="n">
        <v>221</v>
      </c>
      <c r="H1120" t="n">
        <v>9642059</v>
      </c>
      <c r="I1120" t="b">
        <v>1</v>
      </c>
      <c r="J1120" t="b">
        <v>0</v>
      </c>
      <c r="K1120" t="n">
        <v>0.5380684941753404</v>
      </c>
      <c r="M1120" t="n">
        <v>0.4559771209143372</v>
      </c>
      <c r="O1120" t="n">
        <v>-339139.6048966026</v>
      </c>
      <c r="P1120" t="n">
        <v>-471316.453924908</v>
      </c>
      <c r="Q1120">
        <f>'_live'!$C$21</f>
        <v/>
      </c>
      <c r="T1120" t="n">
        <v>0.07614320290890178</v>
      </c>
      <c r="U1120" t="n">
        <v>0.08985156634334097</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0.04097025853088018</v>
      </c>
      <c r="AI1120">
        <f>IF($Y1120="worse","Yes",IF($Y1120="worse, not significant","Not sure",IF(OR($Y1120="too few losses to test",$Y1120="too few loans to test"),"Too few losses",IF($Y1120="","","No"))))</f>
        <v/>
      </c>
      <c r="AJ1120">
        <f>IF($AA1120="yes","Yes",IF($AA1120="","","No"))</f>
        <v/>
      </c>
      <c r="AM1120">
        <f>IF(AND(ISNUMBER($AC1120),ISNUMBER(IF($V1120,IF($AL1120="","",$AL1120),IF($AK1120="","",$AK1120)))),IF(AND(ABS($AC1120-significance_bar)&lt;=2.0*IF($V1120,IF($AL1120="","",$AL1120),IF($AK1120="","",$AK1120)),OR($Y1120="worse",$Y1120="better",$Y1120="worse, not significant",$Y1120="better, not significant")),IF(ROUND($AC1120,3)=ROUND(significance_bar,3),TEXT($AC1120,"0.0000"),TEXT($AC1120,"0.000")),""),"")</f>
        <v/>
      </c>
      <c r="AN1120">
        <f>IF(AND(ISNUMBER($AC1120),ISNUMBER(IF($V1120,IF($AL1120="","",$AL1120),IF($AK1120="","",$AK1120)))),IF(AND(ABS($AC1120-significance_bar)&lt;=2.0*IF($V1120,IF($AL1120="","",$AL1120),IF($AK1120="","",$AK1120)),OR($Y1120="worse",$Y1120="worse, not significant")),IF(ROUND($AC1120,3)=ROUND(significance_bar,3),TEXT($AC1120,"0.0000"),TEXT($AC1120,"0.000")),""),"")</f>
        <v/>
      </c>
      <c r="AO1120">
        <f>IF(OR($AI1120="",$AN1120=""),$AI1120,$AI1120&amp;" · borderline (p "&amp;$AN1120&amp;")")</f>
        <v/>
      </c>
    </row>
    <row r="1121">
      <c r="A1121" t="inlineStr">
        <is>
          <t>three-way</t>
        </is>
      </c>
      <c r="B1121" t="inlineStr">
        <is>
          <t>ORIG_BAL x ASSET_CLASS / SYS_FLAG</t>
        </is>
      </c>
      <c r="C1121" t="inlineStr">
        <is>
          <t>37,951 - 49,151</t>
        </is>
      </c>
      <c r="D1121" t="inlineStr">
        <is>
          <t>2 / SYS_FLAG N</t>
        </is>
      </c>
      <c r="E1121" t="inlineStr">
        <is>
          <t>gco_rate</t>
        </is>
      </c>
      <c r="F1121" t="inlineStr">
        <is>
          <t>GCO per booked dollar</t>
        </is>
      </c>
      <c r="G1121" t="n">
        <v>221</v>
      </c>
      <c r="H1121" t="n">
        <v>9642059</v>
      </c>
      <c r="I1121" t="b">
        <v>1</v>
      </c>
      <c r="J1121" t="b">
        <v>0</v>
      </c>
      <c r="K1121" t="n">
        <v>0.6306855531319827</v>
      </c>
      <c r="M1121" t="n">
        <v>0.5320921213330675</v>
      </c>
      <c r="O1121" t="n">
        <v>-150227.5703289403</v>
      </c>
      <c r="P1121" t="n">
        <v>-225600.3447792386</v>
      </c>
      <c r="Q1121">
        <f>'_live'!$C$22</f>
        <v/>
      </c>
      <c r="T1121" t="n">
        <v>0.04218747783320349</v>
      </c>
      <c r="U1121" t="n">
        <v>0.05000456072496948</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0.0266070327924772</v>
      </c>
      <c r="AI1121">
        <f>IF($Y1121="worse","Yes",IF($Y1121="worse, not significant","Not sure",IF(OR($Y1121="too few losses to test",$Y1121="too few loans to test"),"Too few losses",IF($Y1121="","","No"))))</f>
        <v/>
      </c>
      <c r="AJ1121">
        <f>IF($AA1121="yes","Yes",IF($AA1121="","","No"))</f>
        <v/>
      </c>
      <c r="AM1121">
        <f>IF(AND(ISNUMBER($AC1121),ISNUMBER(IF($V1121,IF($AL1121="","",$AL1121),IF($AK1121="","",$AK1121)))),IF(AND(ABS($AC1121-significance_bar)&lt;=2.0*IF($V1121,IF($AL1121="","",$AL1121),IF($AK1121="","",$AK1121)),OR($Y1121="worse",$Y1121="better",$Y1121="worse, not significant",$Y1121="better, not significant")),IF(ROUND($AC1121,3)=ROUND(significance_bar,3),TEXT($AC1121,"0.0000"),TEXT($AC1121,"0.000")),""),"")</f>
        <v/>
      </c>
      <c r="AN1121">
        <f>IF(AND(ISNUMBER($AC1121),ISNUMBER(IF($V1121,IF($AL1121="","",$AL1121),IF($AK1121="","",$AK1121)))),IF(AND(ABS($AC1121-significance_bar)&lt;=2.0*IF($V1121,IF($AL1121="","",$AL1121),IF($AK1121="","",$AK1121)),OR($Y1121="worse",$Y1121="worse, not significant")),IF(ROUND($AC1121,3)=ROUND(significance_bar,3),TEXT($AC1121,"0.0000"),TEXT($AC1121,"0.000")),""),"")</f>
        <v/>
      </c>
      <c r="AO1121">
        <f>IF(OR($AI1121="",$AN1121=""),$AI1121,$AI1121&amp;" · borderline (p "&amp;$AN1121&amp;")")</f>
        <v/>
      </c>
    </row>
    <row r="1122">
      <c r="A1122" t="inlineStr">
        <is>
          <t>three-way</t>
        </is>
      </c>
      <c r="B1122" t="inlineStr">
        <is>
          <t>ORIG_BAL x ASSET_CLASS / SYS_FLAG</t>
        </is>
      </c>
      <c r="C1122" t="inlineStr">
        <is>
          <t>37,951 - 49,151</t>
        </is>
      </c>
      <c r="D1122" t="inlineStr">
        <is>
          <t>2 / SYS_FLAG N</t>
        </is>
      </c>
      <c r="E1122" t="inlineStr">
        <is>
          <t>ranr_rate</t>
        </is>
      </c>
      <c r="F1122" t="inlineStr">
        <is>
          <t>Profit after losses: RANR per booked dollar</t>
        </is>
      </c>
      <c r="G1122" t="n">
        <v>221</v>
      </c>
      <c r="H1122" t="n">
        <v>9642059</v>
      </c>
      <c r="I1122" t="b">
        <v>0</v>
      </c>
      <c r="J1122" t="b">
        <v>0</v>
      </c>
      <c r="K1122" t="n">
        <v>0.02038143871075038</v>
      </c>
      <c r="L1122" t="n">
        <v>0.493768804937688</v>
      </c>
      <c r="M1122" t="n">
        <v>0.02922444910964712</v>
      </c>
      <c r="N1122" t="n">
        <v>0.19553600195536</v>
      </c>
      <c r="O1122" t="n">
        <v>-196519.034553939</v>
      </c>
      <c r="P1122" t="n">
        <v>-281783.862557715</v>
      </c>
      <c r="Q1122">
        <f>'_live'!$C$23</f>
        <v/>
      </c>
      <c r="R1122" t="inlineStr">
        <is>
          <t>shuffled: 1,357 of 10,000</t>
        </is>
      </c>
      <c r="S1122" t="inlineStr">
        <is>
          <t>shuffled: 359 of 10,000</t>
        </is>
      </c>
      <c r="T1122" t="n">
        <v>0.1272285499856473</v>
      </c>
      <c r="U1122" t="n">
        <v>0.1183855395867506</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0.1476099886963977</v>
      </c>
      <c r="AI1122">
        <f>IF($Y1122="worse","Yes",IF($Y1122="worse, not significant","Not sure",IF(OR($Y1122="too few losses to test",$Y1122="too few loans to test"),"Too few losses",IF($Y1122="","","No"))))</f>
        <v/>
      </c>
      <c r="AJ1122">
        <f>IF($AA1122="yes","Yes",IF($AA1122="","","No"))</f>
        <v/>
      </c>
      <c r="AK1122" t="n">
        <v>0.01245678648093699</v>
      </c>
      <c r="AL1122" t="n">
        <v>0.009114903013848756</v>
      </c>
      <c r="AM1122">
        <f>IF(AND(ISNUMBER($AC1122),ISNUMBER(IF($V1122,IF($AL1122="","",$AL1122),IF($AK1122="","",$AK1122)))),IF(AND(ABS($AC1122-significance_bar)&lt;=2.0*IF($V1122,IF($AL1122="","",$AL1122),IF($AK1122="","",$AK1122)),OR($Y1122="worse",$Y1122="better",$Y1122="worse, not significant",$Y1122="better, not significant",AND(profit_kind="test",$Y1122="in line",ISNUMBER($AB1122),$AB1122&lt;&gt;0))),IF(ROUND($AC1122,3)=ROUND(significance_bar,3),TEXT($AC1122,"0.0000"),TEXT($AC1122,"0.000")),""),"")</f>
        <v/>
      </c>
      <c r="AN1122">
        <f>IF(AND(ISNUMBER($AC1122),ISNUMBER(IF($V1122,IF($AL1122="","",$AL1122),IF($AK1122="","",$AK1122)))),IF(AND(ABS($AC1122-significance_bar)&lt;=2.0*IF($V1122,IF($AL1122="","",$AL1122),IF($AK1122="","",$AK1122)),OR($Y1122="worse",$Y1122="worse, not significant",AND(profit_kind="test",$Y1122="in line",ISNUMBER($AB1122),$AB1122&lt;0))),IF(ROUND($AC1122,3)=ROUND(significance_bar,3),TEXT($AC1122,"0.0000"),TEXT($AC1122,"0.000")),""),"")</f>
        <v/>
      </c>
      <c r="AO1122">
        <f>IF(OR($AI1122="",$AN1122=""),$AI1122,$AI1122&amp;" · borderline (p "&amp;$AN1122&amp;")")</f>
        <v/>
      </c>
    </row>
    <row r="1123">
      <c r="A1123" t="inlineStr">
        <is>
          <t>three-way</t>
        </is>
      </c>
      <c r="B1123" t="inlineStr">
        <is>
          <t>ORIG_BAL x ASSET_CLASS / SYS_FLAG</t>
        </is>
      </c>
      <c r="C1123" t="inlineStr">
        <is>
          <t>37,951 - 49,151</t>
        </is>
      </c>
      <c r="D1123" t="inlineStr">
        <is>
          <t>2 / SYS_FLAG N</t>
        </is>
      </c>
      <c r="E1123" t="inlineStr">
        <is>
          <t>contribution_rate</t>
        </is>
      </c>
      <c r="F1123" t="inlineStr">
        <is>
          <t>Contribution before losses per booked dollar</t>
        </is>
      </c>
      <c r="G1123" t="n">
        <v>221</v>
      </c>
      <c r="H1123" t="n">
        <v>9642059</v>
      </c>
      <c r="I1123" t="b">
        <v>0</v>
      </c>
      <c r="J1123" t="b">
        <v>0</v>
      </c>
      <c r="K1123" t="n">
        <v>0.004804085572714917</v>
      </c>
      <c r="L1123" t="n">
        <v>0.9639036096390362</v>
      </c>
      <c r="M1123" t="n">
        <v>0.005845564791753494</v>
      </c>
      <c r="N1123" t="n">
        <v>0.892759208927592</v>
      </c>
      <c r="O1123" t="n">
        <v>-46321.27653316618</v>
      </c>
      <c r="P1123" t="n">
        <v>-56363.28061041003</v>
      </c>
      <c r="Q1123">
        <f>'_live'!$C$24</f>
        <v/>
      </c>
      <c r="R1123" t="inlineStr">
        <is>
          <t>shuffled: 6,024 of 10,000</t>
        </is>
      </c>
      <c r="S1123" t="inlineStr">
        <is>
          <t>shuffled: 5,028 of 10,000</t>
        </is>
      </c>
      <c r="T1123" t="n">
        <v>0.16941293591616</v>
      </c>
      <c r="U1123" t="n">
        <v>0.1683714566971214</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0.1742170214888749</v>
      </c>
      <c r="AI1123">
        <f>IF($Y1123="worse","Yes",IF($Y1123="worse, not significant","Not sure",IF(OR($Y1123="too few losses to test",$Y1123="too few loans to test"),"Too few losses",IF($Y1123="","","No"))))</f>
        <v/>
      </c>
      <c r="AJ1123">
        <f>IF($AA1123="yes","Yes",IF($AA1123="","","No"))</f>
        <v/>
      </c>
      <c r="AK1123" t="n">
        <v>0.007830297610865723</v>
      </c>
      <c r="AL1123" t="n">
        <v>0.005339600821528397</v>
      </c>
      <c r="AM1123">
        <f>IF(AND(ISNUMBER($AC1123),ISNUMBER(IF($V1123,IF($AL1123="","",$AL1123),IF($AK1123="","",$AK1123)))),IF(AND(ABS($AC1123-significance_bar)&lt;=2.0*IF($V1123,IF($AL1123="","",$AL1123),IF($AK1123="","",$AK1123)),OR($Y1123="worse",$Y1123="better",$Y1123="worse, not significant",$Y1123="better, not significant",AND(profit_kind="test",$Y1123="in line",ISNUMBER($AB1123),$AB1123&lt;&gt;0))),IF(ROUND($AC1123,3)=ROUND(significance_bar,3),TEXT($AC1123,"0.0000"),TEXT($AC1123,"0.000")),""),"")</f>
        <v/>
      </c>
      <c r="AN1123">
        <f>IF(AND(ISNUMBER($AC1123),ISNUMBER(IF($V1123,IF($AL1123="","",$AL1123),IF($AK1123="","",$AK1123)))),IF(AND(ABS($AC1123-significance_bar)&lt;=2.0*IF($V1123,IF($AL1123="","",$AL1123),IF($AK1123="","",$AK1123)),OR($Y1123="worse",$Y1123="worse, not significant",AND(profit_kind="test",$Y1123="in line",ISNUMBER($AB1123),$AB1123&lt;0))),IF(ROUND($AC1123,3)=ROUND(significance_bar,3),TEXT($AC1123,"0.0000"),TEXT($AC1123,"0.000")),""),"")</f>
        <v/>
      </c>
      <c r="AO1123">
        <f>IF(OR($AI1123="",$AN1123=""),$AI1123,$AI1123&amp;" · borderline (p "&amp;$AN1123&amp;")")</f>
        <v/>
      </c>
    </row>
    <row r="1124">
      <c r="A1124" t="inlineStr">
        <is>
          <t>three-way</t>
        </is>
      </c>
      <c r="B1124" t="inlineStr">
        <is>
          <t>ORIG_BAL x ASSET_CLASS / SYS_FLAG</t>
        </is>
      </c>
      <c r="C1124" t="inlineStr">
        <is>
          <t>49,152 - 59,984</t>
        </is>
      </c>
      <c r="D1124" t="inlineStr">
        <is>
          <t>2 / SYS_FLAG Y</t>
        </is>
      </c>
      <c r="E1124" t="inlineStr">
        <is>
          <t>outcome_loans</t>
        </is>
      </c>
      <c r="F1124" t="inlineStr">
        <is>
          <t>Outcome, share of loans</t>
        </is>
      </c>
      <c r="G1124" t="n">
        <v>197</v>
      </c>
      <c r="H1124" t="n">
        <v>197</v>
      </c>
      <c r="I1124" t="b">
        <v>0</v>
      </c>
      <c r="J1124" t="b">
        <v>0</v>
      </c>
      <c r="K1124" t="n">
        <v>1.050854020927511</v>
      </c>
      <c r="L1124" t="n">
        <v>0.9236193584335483</v>
      </c>
      <c r="M1124" t="n">
        <v>1.309761362973336</v>
      </c>
      <c r="N1124" t="n">
        <v>0.57171124817441</v>
      </c>
      <c r="O1124" t="n">
        <v>0.7742886439374512</v>
      </c>
      <c r="P1124" t="n">
        <v>3.784034212401997</v>
      </c>
      <c r="Q1124">
        <f>'_live'!$C$20</f>
        <v/>
      </c>
      <c r="R1124" t="inlineStr">
        <is>
          <t>z test</t>
        </is>
      </c>
      <c r="S1124" t="inlineStr">
        <is>
          <t>z test</t>
        </is>
      </c>
      <c r="T1124" t="n">
        <v>0.0772878749038708</v>
      </c>
      <c r="U1124" t="n">
        <v>0.06200997861724875</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0.08121827411167512</v>
      </c>
      <c r="AI1124">
        <f>IF($Y1124="worse","Yes",IF($Y1124="worse, not significant","Not sure",IF(OR($Y1124="too few losses to test",$Y1124="too few loans to test"),"Too few losses",IF($Y1124="","","No"))))</f>
        <v/>
      </c>
      <c r="AJ1124">
        <f>IF($AA1124="yes","Yes",IF($AA1124="","","No"))</f>
        <v/>
      </c>
      <c r="AM1124">
        <f>IF(AND(ISNUMBER($AC1124),ISNUMBER(IF($V1124,IF($AL1124="","",$AL1124),IF($AK1124="","",$AK1124)))),IF(AND(ABS($AC1124-significance_bar)&lt;=2.0*IF($V1124,IF($AL1124="","",$AL1124),IF($AK1124="","",$AK1124)),OR($Y1124="worse",$Y1124="better",$Y1124="worse, not significant",$Y1124="better, not significant")),IF(ROUND($AC1124,3)=ROUND(significance_bar,3),TEXT($AC1124,"0.0000"),TEXT($AC1124,"0.000")),""),"")</f>
        <v/>
      </c>
      <c r="AN1124">
        <f>IF(AND(ISNUMBER($AC1124),ISNUMBER(IF($V1124,IF($AL1124="","",$AL1124),IF($AK1124="","",$AK1124)))),IF(AND(ABS($AC1124-significance_bar)&lt;=2.0*IF($V1124,IF($AL1124="","",$AL1124),IF($AK1124="","",$AK1124)),OR($Y1124="worse",$Y1124="worse, not significant")),IF(ROUND($AC1124,3)=ROUND(significance_bar,3),TEXT($AC1124,"0.0000"),TEXT($AC1124,"0.000")),""),"")</f>
        <v/>
      </c>
      <c r="AO1124">
        <f>IF(OR($AI1124="",$AN1124=""),$AI1124,$AI1124&amp;" · borderline (p "&amp;$AN1124&amp;")")</f>
        <v/>
      </c>
    </row>
    <row r="1125">
      <c r="A1125" t="inlineStr">
        <is>
          <t>three-way</t>
        </is>
      </c>
      <c r="B1125" t="inlineStr">
        <is>
          <t>ORIG_BAL x ASSET_CLASS / SYS_FLAG</t>
        </is>
      </c>
      <c r="C1125" t="inlineStr">
        <is>
          <t>49,152 - 59,984</t>
        </is>
      </c>
      <c r="D1125" t="inlineStr">
        <is>
          <t>2 / SYS_FLAG Y</t>
        </is>
      </c>
      <c r="E1125" t="inlineStr">
        <is>
          <t>outcome_booked</t>
        </is>
      </c>
      <c r="F1125" t="inlineStr">
        <is>
          <t>Outcome, share of booked dollars</t>
        </is>
      </c>
      <c r="G1125" t="n">
        <v>197</v>
      </c>
      <c r="H1125" t="n">
        <v>10743055.08000001</v>
      </c>
      <c r="I1125" t="b">
        <v>0</v>
      </c>
      <c r="J1125" t="b">
        <v>0</v>
      </c>
      <c r="K1125" t="n">
        <v>1.086774657698849</v>
      </c>
      <c r="L1125" t="n">
        <v>0.8613995743282814</v>
      </c>
      <c r="M1125" t="n">
        <v>1.29747581434054</v>
      </c>
      <c r="N1125" t="n">
        <v>0.6170582941705829</v>
      </c>
      <c r="O1125" t="n">
        <v>69506.22208886652</v>
      </c>
      <c r="P1125" t="n">
        <v>199582.5963948761</v>
      </c>
      <c r="Q1125">
        <f>'_live'!$C$21</f>
        <v/>
      </c>
      <c r="R1125" t="inlineStr">
        <is>
          <t>shuffled: 7,537 of 10,000</t>
        </is>
      </c>
      <c r="S1125" t="inlineStr">
        <is>
          <t>shuffled: 3,329 of 10,000</t>
        </is>
      </c>
      <c r="T1125" t="n">
        <v>0.07455949745639141</v>
      </c>
      <c r="U1125" t="n">
        <v>0.06245154740518404</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0.081029372326368</v>
      </c>
      <c r="AI1125">
        <f>IF($Y1125="worse","Yes",IF($Y1125="worse, not significant","Not sure",IF(OR($Y1125="too few losses to test",$Y1125="too few loans to test"),"Too few losses",IF($Y1125="","","No"))))</f>
        <v/>
      </c>
      <c r="AJ1125">
        <f>IF($AA1125="yes","Yes",IF($AA1125="","","No"))</f>
        <v/>
      </c>
      <c r="AK1125" t="n">
        <v>0.004923895101667321</v>
      </c>
      <c r="AL1125" t="n">
        <v>0.007788018568726085</v>
      </c>
      <c r="AM1125">
        <f>IF(AND(ISNUMBER($AC1125),ISNUMBER(IF($V1125,IF($AL1125="","",$AL1125),IF($AK1125="","",$AK1125)))),IF(AND(ABS($AC1125-significance_bar)&lt;=2.0*IF($V1125,IF($AL1125="","",$AL1125),IF($AK1125="","",$AK1125)),OR($Y1125="worse",$Y1125="better",$Y1125="worse, not significant",$Y1125="better, not significant")),IF(ROUND($AC1125,3)=ROUND(significance_bar,3),TEXT($AC1125,"0.0000"),TEXT($AC1125,"0.000")),""),"")</f>
        <v/>
      </c>
      <c r="AN1125">
        <f>IF(AND(ISNUMBER($AC1125),ISNUMBER(IF($V1125,IF($AL1125="","",$AL1125),IF($AK1125="","",$AK1125)))),IF(AND(ABS($AC1125-significance_bar)&lt;=2.0*IF($V1125,IF($AL1125="","",$AL1125),IF($AK1125="","",$AK1125)),OR($Y1125="worse",$Y1125="worse, not significant")),IF(ROUND($AC1125,3)=ROUND(significance_bar,3),TEXT($AC1125,"0.0000"),TEXT($AC1125,"0.000")),""),"")</f>
        <v/>
      </c>
      <c r="AO1125">
        <f>IF(OR($AI1125="",$AN1125=""),$AI1125,$AI1125&amp;" · borderline (p "&amp;$AN1125&amp;")")</f>
        <v/>
      </c>
    </row>
    <row r="1126">
      <c r="A1126" t="inlineStr">
        <is>
          <t>three-way</t>
        </is>
      </c>
      <c r="B1126" t="inlineStr">
        <is>
          <t>ORIG_BAL x ASSET_CLASS / SYS_FLAG</t>
        </is>
      </c>
      <c r="C1126" t="inlineStr">
        <is>
          <t>49,152 - 59,984</t>
        </is>
      </c>
      <c r="D1126" t="inlineStr">
        <is>
          <t>2 / SYS_FLAG Y</t>
        </is>
      </c>
      <c r="E1126" t="inlineStr">
        <is>
          <t>gco_rate</t>
        </is>
      </c>
      <c r="F1126" t="inlineStr">
        <is>
          <t>GCO per booked dollar</t>
        </is>
      </c>
      <c r="G1126" t="n">
        <v>197</v>
      </c>
      <c r="H1126" t="n">
        <v>10743055.08000001</v>
      </c>
      <c r="I1126" t="b">
        <v>0</v>
      </c>
      <c r="J1126" t="b">
        <v>0</v>
      </c>
      <c r="K1126" t="n">
        <v>1.005903668655584</v>
      </c>
      <c r="L1126" t="n">
        <v>0.9969003099690031</v>
      </c>
      <c r="M1126" t="n">
        <v>1.206778951221231</v>
      </c>
      <c r="N1126" t="n">
        <v>0.7733044877330449</v>
      </c>
      <c r="O1126" t="n">
        <v>2638.100502470334</v>
      </c>
      <c r="P1126" t="n">
        <v>77020.14923425938</v>
      </c>
      <c r="Q1126">
        <f>'_live'!$C$22</f>
        <v/>
      </c>
      <c r="R1126" t="inlineStr">
        <is>
          <t>shuffled: 9,841 of 10,000</t>
        </is>
      </c>
      <c r="S1126" t="inlineStr">
        <is>
          <t>shuffled: 5,037 of 10,000</t>
        </is>
      </c>
      <c r="T1126" t="n">
        <v>0.04159504127735789</v>
      </c>
      <c r="U1126" t="n">
        <v>0.03467130792796237</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0.04184060461877476</v>
      </c>
      <c r="AI1126">
        <f>IF($Y1126="worse","Yes",IF($Y1126="worse, not significant","Not sure",IF(OR($Y1126="too few losses to test",$Y1126="too few loans to test"),"Too few losses",IF($Y1126="","","No"))))</f>
        <v/>
      </c>
      <c r="AJ1126">
        <f>IF($AA1126="yes","Yes",IF($AA1126="","","No"))</f>
        <v/>
      </c>
      <c r="AK1126" t="n">
        <v>0.0005558850558081769</v>
      </c>
      <c r="AL1126" t="n">
        <v>0.007258145058233783</v>
      </c>
      <c r="AM1126">
        <f>IF(AND(ISNUMBER($AC1126),ISNUMBER(IF($V1126,IF($AL1126="","",$AL1126),IF($AK1126="","",$AK1126)))),IF(AND(ABS($AC1126-significance_bar)&lt;=2.0*IF($V1126,IF($AL1126="","",$AL1126),IF($AK1126="","",$AK1126)),OR($Y1126="worse",$Y1126="better",$Y1126="worse, not significant",$Y1126="better, not significant")),IF(ROUND($AC1126,3)=ROUND(significance_bar,3),TEXT($AC1126,"0.0000"),TEXT($AC1126,"0.000")),""),"")</f>
        <v/>
      </c>
      <c r="AN1126">
        <f>IF(AND(ISNUMBER($AC1126),ISNUMBER(IF($V1126,IF($AL1126="","",$AL1126),IF($AK1126="","",$AK1126)))),IF(AND(ABS($AC1126-significance_bar)&lt;=2.0*IF($V1126,IF($AL1126="","",$AL1126),IF($AK1126="","",$AK1126)),OR($Y1126="worse",$Y1126="worse, not significant")),IF(ROUND($AC1126,3)=ROUND(significance_bar,3),TEXT($AC1126,"0.0000"),TEXT($AC1126,"0.000")),""),"")</f>
        <v/>
      </c>
      <c r="AO1126">
        <f>IF(OR($AI1126="",$AN1126=""),$AI1126,$AI1126&amp;" · borderline (p "&amp;$AN1126&amp;")")</f>
        <v/>
      </c>
    </row>
    <row r="1127">
      <c r="A1127" t="inlineStr">
        <is>
          <t>three-way</t>
        </is>
      </c>
      <c r="B1127" t="inlineStr">
        <is>
          <t>ORIG_BAL x ASSET_CLASS / SYS_FLAG</t>
        </is>
      </c>
      <c r="C1127" t="inlineStr">
        <is>
          <t>49,152 - 59,984</t>
        </is>
      </c>
      <c r="D1127" t="inlineStr">
        <is>
          <t>2 / SYS_FLAG Y</t>
        </is>
      </c>
      <c r="E1127" t="inlineStr">
        <is>
          <t>ranr_rate</t>
        </is>
      </c>
      <c r="F1127" t="inlineStr">
        <is>
          <t>Profit after losses: RANR per booked dollar</t>
        </is>
      </c>
      <c r="G1127" t="n">
        <v>197</v>
      </c>
      <c r="H1127" t="n">
        <v>10743055.08000001</v>
      </c>
      <c r="I1127" t="b">
        <v>0</v>
      </c>
      <c r="J1127" t="b">
        <v>0</v>
      </c>
      <c r="K1127" t="n">
        <v>-0.01925159651729061</v>
      </c>
      <c r="L1127" t="n">
        <v>0.5276615195623295</v>
      </c>
      <c r="M1127" t="n">
        <v>-0.02381193654611938</v>
      </c>
      <c r="N1127" t="n">
        <v>0.2387761223877612</v>
      </c>
      <c r="O1127" t="n">
        <v>206820.9617631894</v>
      </c>
      <c r="P1127" t="n">
        <v>255812.9458764256</v>
      </c>
      <c r="Q1127">
        <f>'_live'!$C$23</f>
        <v/>
      </c>
      <c r="R1127" t="inlineStr">
        <is>
          <t>shuffled: 1,846 of 10,000</t>
        </is>
      </c>
      <c r="S1127" t="inlineStr">
        <is>
          <t>shuffled: 596 of 10,000</t>
        </is>
      </c>
      <c r="T1127" t="n">
        <v>0.1287914686706781</v>
      </c>
      <c r="U1127" t="n">
        <v>0.1333518086995068</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0.1095398721533875</v>
      </c>
      <c r="AI1127">
        <f>IF($Y1127="worse","Yes",IF($Y1127="worse, not significant","Not sure",IF(OR($Y1127="too few losses to test",$Y1127="too few loans to test"),"Too few losses",IF($Y1127="","","No"))))</f>
        <v/>
      </c>
      <c r="AJ1127">
        <f>IF($AA1127="yes","Yes",IF($AA1127="","","No"))</f>
        <v/>
      </c>
      <c r="AK1127" t="n">
        <v>0.01108682850223557</v>
      </c>
      <c r="AL1127" t="n">
        <v>0.009476763439743074</v>
      </c>
      <c r="AM1127">
        <f>IF(AND(ISNUMBER($AC1127),ISNUMBER(IF($V1127,IF($AL1127="","",$AL1127),IF($AK1127="","",$AK1127)))),IF(AND(ABS($AC1127-significance_bar)&lt;=2.0*IF($V1127,IF($AL1127="","",$AL1127),IF($AK1127="","",$AK1127)),OR($Y1127="worse",$Y1127="better",$Y1127="worse, not significant",$Y1127="better, not significant",AND(profit_kind="test",$Y1127="in line",ISNUMBER($AB1127),$AB1127&lt;&gt;0))),IF(ROUND($AC1127,3)=ROUND(significance_bar,3),TEXT($AC1127,"0.0000"),TEXT($AC1127,"0.000")),""),"")</f>
        <v/>
      </c>
      <c r="AN1127">
        <f>IF(AND(ISNUMBER($AC1127),ISNUMBER(IF($V1127,IF($AL1127="","",$AL1127),IF($AK1127="","",$AK1127)))),IF(AND(ABS($AC1127-significance_bar)&lt;=2.0*IF($V1127,IF($AL1127="","",$AL1127),IF($AK1127="","",$AK1127)),OR($Y1127="worse",$Y1127="worse, not significant",AND(profit_kind="test",$Y1127="in line",ISNUMBER($AB1127),$AB1127&lt;0))),IF(ROUND($AC1127,3)=ROUND(significance_bar,3),TEXT($AC1127,"0.0000"),TEXT($AC1127,"0.000")),""),"")</f>
        <v/>
      </c>
      <c r="AO1127">
        <f>IF(OR($AI1127="",$AN1127=""),$AI1127,$AI1127&amp;" · borderline (p "&amp;$AN1127&amp;")")</f>
        <v/>
      </c>
    </row>
    <row r="1128">
      <c r="A1128" t="inlineStr">
        <is>
          <t>three-way</t>
        </is>
      </c>
      <c r="B1128" t="inlineStr">
        <is>
          <t>ORIG_BAL x ASSET_CLASS / SYS_FLAG</t>
        </is>
      </c>
      <c r="C1128" t="inlineStr">
        <is>
          <t>49,152 - 59,984</t>
        </is>
      </c>
      <c r="D1128" t="inlineStr">
        <is>
          <t>2 / SYS_FLAG Y</t>
        </is>
      </c>
      <c r="E1128" t="inlineStr">
        <is>
          <t>contribution_rate</t>
        </is>
      </c>
      <c r="F1128" t="inlineStr">
        <is>
          <t>Contribution before losses per booked dollar</t>
        </is>
      </c>
      <c r="G1128" t="n">
        <v>197</v>
      </c>
      <c r="H1128" t="n">
        <v>10743055.08000001</v>
      </c>
      <c r="I1128" t="b">
        <v>0</v>
      </c>
      <c r="J1128" t="b">
        <v>0</v>
      </c>
      <c r="K1128" t="n">
        <v>-0.01900317832434623</v>
      </c>
      <c r="L1128" t="n">
        <v>0.2624737526247375</v>
      </c>
      <c r="M1128" t="n">
        <v>-0.01664263985530698</v>
      </c>
      <c r="N1128" t="n">
        <v>0.51994800519948</v>
      </c>
      <c r="O1128" t="n">
        <v>204152.1914335138</v>
      </c>
      <c r="P1128" t="n">
        <v>178792.7966421661</v>
      </c>
      <c r="Q1128">
        <f>'_live'!$C$24</f>
        <v/>
      </c>
      <c r="R1128" t="inlineStr">
        <is>
          <t>shuffled: 472 of 10,000</t>
        </is>
      </c>
      <c r="S1128" t="inlineStr">
        <is>
          <t>shuffled: 617 of 10,000</t>
        </is>
      </c>
      <c r="T1128" t="n">
        <v>0.1703836550965084</v>
      </c>
      <c r="U1128" t="n">
        <v>0.1680231166274692</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0.1513804767721622</v>
      </c>
      <c r="AI1128">
        <f>IF($Y1128="worse","Yes",IF($Y1128="worse, not significant","Not sure",IF(OR($Y1128="too few losses to test",$Y1128="too few loans to test"),"Too few losses",IF($Y1128="","","No"))))</f>
        <v/>
      </c>
      <c r="AJ1128">
        <f>IF($AA1128="yes","Yes",IF($AA1128="","","No"))</f>
        <v/>
      </c>
      <c r="AK1128" t="n">
        <v>0.01115112681439314</v>
      </c>
      <c r="AL1128" t="n">
        <v>0.01972115136974746</v>
      </c>
      <c r="AM1128">
        <f>IF(AND(ISNUMBER($AC1128),ISNUMBER(IF($V1128,IF($AL1128="","",$AL1128),IF($AK1128="","",$AK1128)))),IF(AND(ABS($AC1128-significance_bar)&lt;=2.0*IF($V1128,IF($AL1128="","",$AL1128),IF($AK1128="","",$AK1128)),OR($Y1128="worse",$Y1128="better",$Y1128="worse, not significant",$Y1128="better, not significant",AND(profit_kind="test",$Y1128="in line",ISNUMBER($AB1128),$AB1128&lt;&gt;0))),IF(ROUND($AC1128,3)=ROUND(significance_bar,3),TEXT($AC1128,"0.0000"),TEXT($AC1128,"0.000")),""),"")</f>
        <v/>
      </c>
      <c r="AN1128">
        <f>IF(AND(ISNUMBER($AC1128),ISNUMBER(IF($V1128,IF($AL1128="","",$AL1128),IF($AK1128="","",$AK1128)))),IF(AND(ABS($AC1128-significance_bar)&lt;=2.0*IF($V1128,IF($AL1128="","",$AL1128),IF($AK1128="","",$AK1128)),OR($Y1128="worse",$Y1128="worse, not significant",AND(profit_kind="test",$Y1128="in line",ISNUMBER($AB1128),$AB1128&lt;0))),IF(ROUND($AC1128,3)=ROUND(significance_bar,3),TEXT($AC1128,"0.0000"),TEXT($AC1128,"0.000")),""),"")</f>
        <v/>
      </c>
      <c r="AO1128">
        <f>IF(OR($AI1128="",$AN1128=""),$AI1128,$AI1128&amp;" · borderline (p "&amp;$AN1128&amp;")")</f>
        <v/>
      </c>
    </row>
    <row r="1129">
      <c r="A1129" t="inlineStr">
        <is>
          <t>three-way</t>
        </is>
      </c>
      <c r="B1129" t="inlineStr">
        <is>
          <t>ORIG_BAL x ASSET_CLASS / SYS_FLAG</t>
        </is>
      </c>
      <c r="C1129" t="inlineStr">
        <is>
          <t>15,449 - 26,323</t>
        </is>
      </c>
      <c r="D1129" t="inlineStr">
        <is>
          <t>3 / SYS_FLAG N</t>
        </is>
      </c>
      <c r="E1129" t="inlineStr">
        <is>
          <t>outcome_loans</t>
        </is>
      </c>
      <c r="F1129" t="inlineStr">
        <is>
          <t>Outcome, share of loans</t>
        </is>
      </c>
      <c r="G1129" t="n">
        <v>234</v>
      </c>
      <c r="H1129" t="n">
        <v>234</v>
      </c>
      <c r="I1129" t="b">
        <v>0</v>
      </c>
      <c r="J1129" t="b">
        <v>0</v>
      </c>
      <c r="K1129" t="n">
        <v>1.107971976085499</v>
      </c>
      <c r="L1129" t="n">
        <v>0.8513239553468696</v>
      </c>
      <c r="M1129" t="n">
        <v>0.9050553236599748</v>
      </c>
      <c r="N1129" t="n">
        <v>0.7574531232114214</v>
      </c>
      <c r="O1129" t="n">
        <v>1.949001931745009</v>
      </c>
      <c r="P1129" t="n">
        <v>-2.098096632503662</v>
      </c>
      <c r="Q1129">
        <f>'_live'!$C$20</f>
        <v/>
      </c>
      <c r="R1129" t="inlineStr">
        <is>
          <t>z test</t>
        </is>
      </c>
      <c r="S1129" t="inlineStr">
        <is>
          <t>z test</t>
        </is>
      </c>
      <c r="T1129" t="n">
        <v>0.07714101738570509</v>
      </c>
      <c r="U1129" t="n">
        <v>0.09443631039531479</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0.08547008547008547</v>
      </c>
      <c r="AI1129">
        <f>IF($Y1129="worse","Yes",IF($Y1129="worse, not significant","Not sure",IF(OR($Y1129="too few losses to test",$Y1129="too few loans to test"),"Too few losses",IF($Y1129="","","No"))))</f>
        <v/>
      </c>
      <c r="AJ1129">
        <f>IF($AA1129="yes","Yes",IF($AA1129="","","No"))</f>
        <v/>
      </c>
      <c r="AM1129">
        <f>IF(AND(ISNUMBER($AC1129),ISNUMBER(IF($V1129,IF($AL1129="","",$AL1129),IF($AK1129="","",$AK1129)))),IF(AND(ABS($AC1129-significance_bar)&lt;=2.0*IF($V1129,IF($AL1129="","",$AL1129),IF($AK1129="","",$AK1129)),OR($Y1129="worse",$Y1129="better",$Y1129="worse, not significant",$Y1129="better, not significant")),IF(ROUND($AC1129,3)=ROUND(significance_bar,3),TEXT($AC1129,"0.0000"),TEXT($AC1129,"0.000")),""),"")</f>
        <v/>
      </c>
      <c r="AN1129">
        <f>IF(AND(ISNUMBER($AC1129),ISNUMBER(IF($V1129,IF($AL1129="","",$AL1129),IF($AK1129="","",$AK1129)))),IF(AND(ABS($AC1129-significance_bar)&lt;=2.0*IF($V1129,IF($AL1129="","",$AL1129),IF($AK1129="","",$AK1129)),OR($Y1129="worse",$Y1129="worse, not significant")),IF(ROUND($AC1129,3)=ROUND(significance_bar,3),TEXT($AC1129,"0.0000"),TEXT($AC1129,"0.000")),""),"")</f>
        <v/>
      </c>
      <c r="AO1129">
        <f>IF(OR($AI1129="",$AN1129=""),$AI1129,$AI1129&amp;" · borderline (p "&amp;$AN1129&amp;")")</f>
        <v/>
      </c>
    </row>
    <row r="1130">
      <c r="A1130" t="inlineStr">
        <is>
          <t>three-way</t>
        </is>
      </c>
      <c r="B1130" t="inlineStr">
        <is>
          <t>ORIG_BAL x ASSET_CLASS / SYS_FLAG</t>
        </is>
      </c>
      <c r="C1130" t="inlineStr">
        <is>
          <t>15,449 - 26,323</t>
        </is>
      </c>
      <c r="D1130" t="inlineStr">
        <is>
          <t>3 / SYS_FLAG N</t>
        </is>
      </c>
      <c r="E1130" t="inlineStr">
        <is>
          <t>outcome_booked</t>
        </is>
      </c>
      <c r="F1130" t="inlineStr">
        <is>
          <t>Outcome, share of booked dollars</t>
        </is>
      </c>
      <c r="G1130" t="n">
        <v>234</v>
      </c>
      <c r="H1130" t="n">
        <v>4827819.080000002</v>
      </c>
      <c r="I1130" t="b">
        <v>0</v>
      </c>
      <c r="J1130" t="b">
        <v>0</v>
      </c>
      <c r="K1130" t="n">
        <v>1.189806411564733</v>
      </c>
      <c r="L1130" t="n">
        <v>0.7851004373246886</v>
      </c>
      <c r="M1130" t="n">
        <v>0.9374737691517826</v>
      </c>
      <c r="N1130" t="n">
        <v>0.86137593137238</v>
      </c>
      <c r="O1130" t="n">
        <v>68326.85947958415</v>
      </c>
      <c r="P1130" t="n">
        <v>-28566.69584416039</v>
      </c>
      <c r="Q1130">
        <f>'_live'!$C$21</f>
        <v/>
      </c>
      <c r="R1130" t="inlineStr">
        <is>
          <t>shuffled: 4,642 of 10,000</t>
        </is>
      </c>
      <c r="S1130" t="inlineStr">
        <is>
          <t>shuffled: 7,806 of 10,000</t>
        </is>
      </c>
      <c r="T1130" t="n">
        <v>0.07456406807199903</v>
      </c>
      <c r="U1130" t="n">
        <v>0.09463390783155863</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0.08871680626441367</v>
      </c>
      <c r="AI1130">
        <f>IF($Y1130="worse","Yes",IF($Y1130="worse, not significant","Not sure",IF(OR($Y1130="too few losses to test",$Y1130="too few loans to test"),"Too few losses",IF($Y1130="","","No"))))</f>
        <v/>
      </c>
      <c r="AJ1130">
        <f>IF($AA1130="yes","Yes",IF($AA1130="","","No"))</f>
        <v/>
      </c>
      <c r="AK1130" t="n">
        <v>0.008401736273354176</v>
      </c>
      <c r="AL1130" t="n">
        <v>0.004566347459341016</v>
      </c>
      <c r="AM1130">
        <f>IF(AND(ISNUMBER($AC1130),ISNUMBER(IF($V1130,IF($AL1130="","",$AL1130),IF($AK1130="","",$AK1130)))),IF(AND(ABS($AC1130-significance_bar)&lt;=2.0*IF($V1130,IF($AL1130="","",$AL1130),IF($AK1130="","",$AK1130)),OR($Y1130="worse",$Y1130="better",$Y1130="worse, not significant",$Y1130="better, not significant")),IF(ROUND($AC1130,3)=ROUND(significance_bar,3),TEXT($AC1130,"0.0000"),TEXT($AC1130,"0.000")),""),"")</f>
        <v/>
      </c>
      <c r="AN1130">
        <f>IF(AND(ISNUMBER($AC1130),ISNUMBER(IF($V1130,IF($AL1130="","",$AL1130),IF($AK1130="","",$AK1130)))),IF(AND(ABS($AC1130-significance_bar)&lt;=2.0*IF($V1130,IF($AL1130="","",$AL1130),IF($AK1130="","",$AK1130)),OR($Y1130="worse",$Y1130="worse, not significant")),IF(ROUND($AC1130,3)=ROUND(significance_bar,3),TEXT($AC1130,"0.0000"),TEXT($AC1130,"0.000")),""),"")</f>
        <v/>
      </c>
      <c r="AO1130">
        <f>IF(OR($AI1130="",$AN1130=""),$AI1130,$AI1130&amp;" · borderline (p "&amp;$AN1130&amp;")")</f>
        <v/>
      </c>
    </row>
    <row r="1131">
      <c r="A1131" t="inlineStr">
        <is>
          <t>three-way</t>
        </is>
      </c>
      <c r="B1131" t="inlineStr">
        <is>
          <t>ORIG_BAL x ASSET_CLASS / SYS_FLAG</t>
        </is>
      </c>
      <c r="C1131" t="inlineStr">
        <is>
          <t>15,449 - 26,323</t>
        </is>
      </c>
      <c r="D1131" t="inlineStr">
        <is>
          <t>3 / SYS_FLAG N</t>
        </is>
      </c>
      <c r="E1131" t="inlineStr">
        <is>
          <t>gco_rate</t>
        </is>
      </c>
      <c r="F1131" t="inlineStr">
        <is>
          <t>GCO per booked dollar</t>
        </is>
      </c>
      <c r="G1131" t="n">
        <v>234</v>
      </c>
      <c r="H1131" t="n">
        <v>4827819.080000002</v>
      </c>
      <c r="I1131" t="b">
        <v>0</v>
      </c>
      <c r="J1131" t="b">
        <v>0</v>
      </c>
      <c r="K1131" t="n">
        <v>1.238107098169418</v>
      </c>
      <c r="L1131" t="n">
        <v>0.7890410958904109</v>
      </c>
      <c r="M1131" t="n">
        <v>0.9589750302282279</v>
      </c>
      <c r="N1131" t="n">
        <v>0.8843115688431157</v>
      </c>
      <c r="O1131" t="n">
        <v>47614.70597265469</v>
      </c>
      <c r="P1131" t="n">
        <v>-10591.75553948598</v>
      </c>
      <c r="Q1131">
        <f>'_live'!$C$22</f>
        <v/>
      </c>
      <c r="R1131" t="inlineStr">
        <is>
          <t>shuffled: 3,698 of 10,000</t>
        </is>
      </c>
      <c r="S1131" t="inlineStr">
        <is>
          <t>shuffled: 8,604 of 10,000</t>
        </is>
      </c>
      <c r="T1131" t="n">
        <v>0.04142073278092791</v>
      </c>
      <c r="U1131" t="n">
        <v>0.05347720394267257</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0.05128330326744554</v>
      </c>
      <c r="AI1131">
        <f>IF($Y1131="worse","Yes",IF($Y1131="worse, not significant","Not sure",IF(OR($Y1131="too few losses to test",$Y1131="too few loans to test"),"Too few losses",IF($Y1131="","","No"))))</f>
        <v/>
      </c>
      <c r="AJ1131">
        <f>IF($AA1131="yes","Yes",IF($AA1131="","","No"))</f>
        <v/>
      </c>
      <c r="AK1131" t="n">
        <v>0.0102990379173442</v>
      </c>
      <c r="AL1131" t="n">
        <v>0.003198509309871446</v>
      </c>
      <c r="AM1131">
        <f>IF(AND(ISNUMBER($AC1131),ISNUMBER(IF($V1131,IF($AL1131="","",$AL1131),IF($AK1131="","",$AK1131)))),IF(AND(ABS($AC1131-significance_bar)&lt;=2.0*IF($V1131,IF($AL1131="","",$AL1131),IF($AK1131="","",$AK1131)),OR($Y1131="worse",$Y1131="better",$Y1131="worse, not significant",$Y1131="better, not significant")),IF(ROUND($AC1131,3)=ROUND(significance_bar,3),TEXT($AC1131,"0.0000"),TEXT($AC1131,"0.000")),""),"")</f>
        <v/>
      </c>
      <c r="AN1131">
        <f>IF(AND(ISNUMBER($AC1131),ISNUMBER(IF($V1131,IF($AL1131="","",$AL1131),IF($AK1131="","",$AK1131)))),IF(AND(ABS($AC1131-significance_bar)&lt;=2.0*IF($V1131,IF($AL1131="","",$AL1131),IF($AK1131="","",$AK1131)),OR($Y1131="worse",$Y1131="worse, not significant")),IF(ROUND($AC1131,3)=ROUND(significance_bar,3),TEXT($AC1131,"0.0000"),TEXT($AC1131,"0.000")),""),"")</f>
        <v/>
      </c>
      <c r="AO1131">
        <f>IF(OR($AI1131="",$AN1131=""),$AI1131,$AI1131&amp;" · borderline (p "&amp;$AN1131&amp;")")</f>
        <v/>
      </c>
    </row>
    <row r="1132">
      <c r="A1132" t="inlineStr">
        <is>
          <t>three-way</t>
        </is>
      </c>
      <c r="B1132" t="inlineStr">
        <is>
          <t>ORIG_BAL x ASSET_CLASS / SYS_FLAG</t>
        </is>
      </c>
      <c r="C1132" t="inlineStr">
        <is>
          <t>15,449 - 26,323</t>
        </is>
      </c>
      <c r="D1132" t="inlineStr">
        <is>
          <t>3 / SYS_FLAG N</t>
        </is>
      </c>
      <c r="E1132" t="inlineStr">
        <is>
          <t>ranr_rate</t>
        </is>
      </c>
      <c r="F1132" t="inlineStr">
        <is>
          <t>Profit after losses: RANR per booked dollar</t>
        </is>
      </c>
      <c r="G1132" t="n">
        <v>234</v>
      </c>
      <c r="H1132" t="n">
        <v>4827819.080000002</v>
      </c>
      <c r="I1132" t="b">
        <v>0</v>
      </c>
      <c r="J1132" t="b">
        <v>0</v>
      </c>
      <c r="K1132" t="n">
        <v>-0.007773235595613576</v>
      </c>
      <c r="L1132" t="n">
        <v>0.8120616509777595</v>
      </c>
      <c r="M1132" t="n">
        <v>0.001522512169827794</v>
      </c>
      <c r="N1132" t="n">
        <v>0.9519048095190481</v>
      </c>
      <c r="O1132" t="n">
        <v>37527.77512183844</v>
      </c>
      <c r="P1132" t="n">
        <v>-7350.413303026813</v>
      </c>
      <c r="Q1132">
        <f>'_live'!$C$23</f>
        <v/>
      </c>
      <c r="R1132" t="inlineStr">
        <is>
          <t>shuffled: 5,637 of 10,000</t>
        </is>
      </c>
      <c r="S1132" t="inlineStr">
        <is>
          <t>shuffled: 9,216 of 10,000</t>
        </is>
      </c>
      <c r="T1132" t="n">
        <v>0.128135467562268</v>
      </c>
      <c r="U1132" t="n">
        <v>0.1188397197968266</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0.1203622319666544</v>
      </c>
      <c r="AI1132">
        <f>IF($Y1132="worse","Yes",IF($Y1132="worse, not significant","Not sure",IF(OR($Y1132="too few losses to test",$Y1132="too few loans to test"),"Too few losses",IF($Y1132="","","No"))))</f>
        <v/>
      </c>
      <c r="AJ1132">
        <f>IF($AA1132="yes","Yes",IF($AA1132="","","No"))</f>
        <v/>
      </c>
      <c r="AK1132" t="n">
        <v>0.007075619745553362</v>
      </c>
      <c r="AL1132" t="n">
        <v>0.002649336874809362</v>
      </c>
      <c r="AM1132">
        <f>IF(AND(ISNUMBER($AC1132),ISNUMBER(IF($V1132,IF($AL1132="","",$AL1132),IF($AK1132="","",$AK1132)))),IF(AND(ABS($AC1132-significance_bar)&lt;=2.0*IF($V1132,IF($AL1132="","",$AL1132),IF($AK1132="","",$AK1132)),OR($Y1132="worse",$Y1132="better",$Y1132="worse, not significant",$Y1132="better, not significant",AND(profit_kind="test",$Y1132="in line",ISNUMBER($AB1132),$AB1132&lt;&gt;0))),IF(ROUND($AC1132,3)=ROUND(significance_bar,3),TEXT($AC1132,"0.0000"),TEXT($AC1132,"0.000")),""),"")</f>
        <v/>
      </c>
      <c r="AN1132">
        <f>IF(AND(ISNUMBER($AC1132),ISNUMBER(IF($V1132,IF($AL1132="","",$AL1132),IF($AK1132="","",$AK1132)))),IF(AND(ABS($AC1132-significance_bar)&lt;=2.0*IF($V1132,IF($AL1132="","",$AL1132),IF($AK1132="","",$AK1132)),OR($Y1132="worse",$Y1132="worse, not significant",AND(profit_kind="test",$Y1132="in line",ISNUMBER($AB1132),$AB1132&lt;0))),IF(ROUND($AC1132,3)=ROUND(significance_bar,3),TEXT($AC1132,"0.0000"),TEXT($AC1132,"0.000")),""),"")</f>
        <v/>
      </c>
      <c r="AO1132">
        <f>IF(OR($AI1132="",$AN1132=""),$AI1132,$AI1132&amp;" · borderline (p "&amp;$AN1132&amp;")")</f>
        <v/>
      </c>
    </row>
    <row r="1133">
      <c r="A1133" t="inlineStr">
        <is>
          <t>three-way</t>
        </is>
      </c>
      <c r="B1133" t="inlineStr">
        <is>
          <t>ORIG_BAL x ASSET_CLASS / SYS_FLAG</t>
        </is>
      </c>
      <c r="C1133" t="inlineStr">
        <is>
          <t>15,449 - 26,323</t>
        </is>
      </c>
      <c r="D1133" t="inlineStr">
        <is>
          <t>3 / SYS_FLAG N</t>
        </is>
      </c>
      <c r="E1133" t="inlineStr">
        <is>
          <t>contribution_rate</t>
        </is>
      </c>
      <c r="F1133" t="inlineStr">
        <is>
          <t>Contribution before losses per booked dollar</t>
        </is>
      </c>
      <c r="G1133" t="n">
        <v>234</v>
      </c>
      <c r="H1133" t="n">
        <v>4827819.080000002</v>
      </c>
      <c r="I1133" t="b">
        <v>0</v>
      </c>
      <c r="J1133" t="b">
        <v>0</v>
      </c>
      <c r="K1133" t="n">
        <v>0.002092225863582708</v>
      </c>
      <c r="L1133" t="n">
        <v>0.9955004499550044</v>
      </c>
      <c r="M1133" t="n">
        <v>-0.0006713885053993007</v>
      </c>
      <c r="N1133" t="n">
        <v>0.9613397634595515</v>
      </c>
      <c r="O1133" t="n">
        <v>-10100.88794387411</v>
      </c>
      <c r="P1133" t="n">
        <v>3241.342236459372</v>
      </c>
      <c r="Q1133">
        <f>'_live'!$C$24</f>
        <v/>
      </c>
      <c r="R1133" t="inlineStr">
        <is>
          <t>shuffled: 8,160 of 10,000</t>
        </is>
      </c>
      <c r="S1133" t="inlineStr">
        <is>
          <t>shuffled: 9,373 of 10,000</t>
        </is>
      </c>
      <c r="T1133" t="n">
        <v>0.1695533093705172</v>
      </c>
      <c r="U1133" t="n">
        <v>0.1723169237394992</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0.1716455352340999</v>
      </c>
      <c r="AI1133">
        <f>IF($Y1133="worse","Yes",IF($Y1133="worse, not significant","Not sure",IF(OR($Y1133="too few losses to test",$Y1133="too few loans to test"),"Too few losses",IF($Y1133="","","No"))))</f>
        <v/>
      </c>
      <c r="AJ1133">
        <f>IF($AA1133="yes","Yes",IF($AA1133="","","No"))</f>
        <v/>
      </c>
      <c r="AK1133" t="n">
        <v>0.0006692760338147521</v>
      </c>
      <c r="AL1133" t="n">
        <v>0.002486269498177721</v>
      </c>
      <c r="AM1133">
        <f>IF(AND(ISNUMBER($AC1133),ISNUMBER(IF($V1133,IF($AL1133="","",$AL1133),IF($AK1133="","",$AK1133)))),IF(AND(ABS($AC1133-significance_bar)&lt;=2.0*IF($V1133,IF($AL1133="","",$AL1133),IF($AK1133="","",$AK1133)),OR($Y1133="worse",$Y1133="better",$Y1133="worse, not significant",$Y1133="better, not significant",AND(profit_kind="test",$Y1133="in line",ISNUMBER($AB1133),$AB1133&lt;&gt;0))),IF(ROUND($AC1133,3)=ROUND(significance_bar,3),TEXT($AC1133,"0.0000"),TEXT($AC1133,"0.000")),""),"")</f>
        <v/>
      </c>
      <c r="AN1133">
        <f>IF(AND(ISNUMBER($AC1133),ISNUMBER(IF($V1133,IF($AL1133="","",$AL1133),IF($AK1133="","",$AK1133)))),IF(AND(ABS($AC1133-significance_bar)&lt;=2.0*IF($V1133,IF($AL1133="","",$AL1133),IF($AK1133="","",$AK1133)),OR($Y1133="worse",$Y1133="worse, not significant",AND(profit_kind="test",$Y1133="in line",ISNUMBER($AB1133),$AB1133&lt;0))),IF(ROUND($AC1133,3)=ROUND(significance_bar,3),TEXT($AC1133,"0.0000"),TEXT($AC1133,"0.000")),""),"")</f>
        <v/>
      </c>
      <c r="AO1133">
        <f>IF(OR($AI1133="",$AN1133=""),$AI1133,$AI1133&amp;" · borderline (p "&amp;$AN1133&amp;")")</f>
        <v/>
      </c>
    </row>
    <row r="1134">
      <c r="A1134" t="inlineStr">
        <is>
          <t>three-way</t>
        </is>
      </c>
      <c r="B1134" t="inlineStr">
        <is>
          <t>ORIG_BAL x ASSET_CLASS / SYS_FLAG</t>
        </is>
      </c>
      <c r="C1134" t="inlineStr">
        <is>
          <t>15,449 - 26,323</t>
        </is>
      </c>
      <c r="D1134" t="inlineStr">
        <is>
          <t>1 / SYS_FLAG Y</t>
        </is>
      </c>
      <c r="E1134" t="inlineStr">
        <is>
          <t>outcome_loans</t>
        </is>
      </c>
      <c r="F1134" t="inlineStr">
        <is>
          <t>Outcome, share of loans</t>
        </is>
      </c>
      <c r="G1134" t="n">
        <v>180</v>
      </c>
      <c r="H1134" t="n">
        <v>180</v>
      </c>
      <c r="I1134" t="b">
        <v>0</v>
      </c>
      <c r="J1134" t="b">
        <v>0</v>
      </c>
      <c r="K1134" t="n">
        <v>1.450380263401966</v>
      </c>
      <c r="L1134" t="n">
        <v>0.3084304657867236</v>
      </c>
      <c r="M1134" t="n">
        <v>1.223083548664944</v>
      </c>
      <c r="N1134" t="n">
        <v>0.6362547681114774</v>
      </c>
      <c r="O1134" t="n">
        <v>6.210512853306049</v>
      </c>
      <c r="P1134" t="n">
        <v>3.64788732394366</v>
      </c>
      <c r="Q1134">
        <f>'_live'!$C$20</f>
        <v/>
      </c>
      <c r="R1134" t="inlineStr">
        <is>
          <t>z test</t>
        </is>
      </c>
      <c r="S1134" t="inlineStr">
        <is>
          <t>z test</t>
        </is>
      </c>
      <c r="T1134" t="n">
        <v>0.0766082619260775</v>
      </c>
      <c r="U1134" t="n">
        <v>0.09084507042253522</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0.1111111111111111</v>
      </c>
      <c r="AI1134">
        <f>IF($Y1134="worse","Yes",IF($Y1134="worse, not significant","Not sure",IF(OR($Y1134="too few losses to test",$Y1134="too few loans to test"),"Too few losses",IF($Y1134="","","No"))))</f>
        <v/>
      </c>
      <c r="AJ1134">
        <f>IF($AA1134="yes","Yes",IF($AA1134="","","No"))</f>
        <v/>
      </c>
      <c r="AM1134">
        <f>IF(AND(ISNUMBER($AC1134),ISNUMBER(IF($V1134,IF($AL1134="","",$AL1134),IF($AK1134="","",$AK1134)))),IF(AND(ABS($AC1134-significance_bar)&lt;=2.0*IF($V1134,IF($AL1134="","",$AL1134),IF($AK1134="","",$AK1134)),OR($Y1134="worse",$Y1134="better",$Y1134="worse, not significant",$Y1134="better, not significant")),IF(ROUND($AC1134,3)=ROUND(significance_bar,3),TEXT($AC1134,"0.0000"),TEXT($AC1134,"0.000")),""),"")</f>
        <v/>
      </c>
      <c r="AN1134">
        <f>IF(AND(ISNUMBER($AC1134),ISNUMBER(IF($V1134,IF($AL1134="","",$AL1134),IF($AK1134="","",$AK1134)))),IF(AND(ABS($AC1134-significance_bar)&lt;=2.0*IF($V1134,IF($AL1134="","",$AL1134),IF($AK1134="","",$AK1134)),OR($Y1134="worse",$Y1134="worse, not significant")),IF(ROUND($AC1134,3)=ROUND(significance_bar,3),TEXT($AC1134,"0.0000"),TEXT($AC1134,"0.000")),""),"")</f>
        <v/>
      </c>
      <c r="AO1134">
        <f>IF(OR($AI1134="",$AN1134=""),$AI1134,$AI1134&amp;" · borderline (p "&amp;$AN1134&amp;")")</f>
        <v/>
      </c>
    </row>
    <row r="1135">
      <c r="A1135" t="inlineStr">
        <is>
          <t>three-way</t>
        </is>
      </c>
      <c r="B1135" t="inlineStr">
        <is>
          <t>ORIG_BAL x ASSET_CLASS / SYS_FLAG</t>
        </is>
      </c>
      <c r="C1135" t="inlineStr">
        <is>
          <t>15,449 - 26,323</t>
        </is>
      </c>
      <c r="D1135" t="inlineStr">
        <is>
          <t>1 / SYS_FLAG Y</t>
        </is>
      </c>
      <c r="E1135" t="inlineStr">
        <is>
          <t>outcome_booked</t>
        </is>
      </c>
      <c r="F1135" t="inlineStr">
        <is>
          <t>Outcome, share of booked dollars</t>
        </is>
      </c>
      <c r="G1135" t="n">
        <v>180</v>
      </c>
      <c r="H1135" t="n">
        <v>3769132.12</v>
      </c>
      <c r="I1135" t="b">
        <v>0</v>
      </c>
      <c r="J1135" t="b">
        <v>0</v>
      </c>
      <c r="K1135" t="n">
        <v>1.512451152152386</v>
      </c>
      <c r="L1135" t="n">
        <v>0.3065293470652935</v>
      </c>
      <c r="M1135" t="n">
        <v>1.228778172854441</v>
      </c>
      <c r="N1135" t="n">
        <v>0.6170582941705829</v>
      </c>
      <c r="O1135" t="n">
        <v>143457.8132695758</v>
      </c>
      <c r="P1135" t="n">
        <v>78830.48320916231</v>
      </c>
      <c r="Q1135">
        <f>'_live'!$C$21</f>
        <v/>
      </c>
      <c r="R1135" t="inlineStr">
        <is>
          <t>shuffled: 840 of 10,000</t>
        </is>
      </c>
      <c r="S1135" t="inlineStr">
        <is>
          <t>shuffled: 3,730 of 10,000</t>
        </is>
      </c>
      <c r="T1135" t="n">
        <v>0.07427289832716828</v>
      </c>
      <c r="U1135" t="n">
        <v>0.09141937343147254</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0.1123341306486227</v>
      </c>
      <c r="AI1135">
        <f>IF($Y1135="worse","Yes",IF($Y1135="worse, not significant","Not sure",IF(OR($Y1135="too few losses to test",$Y1135="too few loans to test"),"Too few losses",IF($Y1135="","","No"))))</f>
        <v/>
      </c>
      <c r="AJ1135">
        <f>IF($AA1135="yes","Yes",IF($AA1135="","","No"))</f>
        <v/>
      </c>
      <c r="AK1135" t="n">
        <v>0.009417715593479471</v>
      </c>
      <c r="AL1135" t="n">
        <v>0.007788018568726085</v>
      </c>
      <c r="AM1135">
        <f>IF(AND(ISNUMBER($AC1135),ISNUMBER(IF($V1135,IF($AL1135="","",$AL1135),IF($AK1135="","",$AK1135)))),IF(AND(ABS($AC1135-significance_bar)&lt;=2.0*IF($V1135,IF($AL1135="","",$AL1135),IF($AK1135="","",$AK1135)),OR($Y1135="worse",$Y1135="better",$Y1135="worse, not significant",$Y1135="better, not significant")),IF(ROUND($AC1135,3)=ROUND(significance_bar,3),TEXT($AC1135,"0.0000"),TEXT($AC1135,"0.000")),""),"")</f>
        <v/>
      </c>
      <c r="AN1135">
        <f>IF(AND(ISNUMBER($AC1135),ISNUMBER(IF($V1135,IF($AL1135="","",$AL1135),IF($AK1135="","",$AK1135)))),IF(AND(ABS($AC1135-significance_bar)&lt;=2.0*IF($V1135,IF($AL1135="","",$AL1135),IF($AK1135="","",$AK1135)),OR($Y1135="worse",$Y1135="worse, not significant")),IF(ROUND($AC1135,3)=ROUND(significance_bar,3),TEXT($AC1135,"0.0000"),TEXT($AC1135,"0.000")),""),"")</f>
        <v/>
      </c>
      <c r="AO1135">
        <f>IF(OR($AI1135="",$AN1135=""),$AI1135,$AI1135&amp;" · borderline (p "&amp;$AN1135&amp;")")</f>
        <v/>
      </c>
    </row>
    <row r="1136">
      <c r="A1136" t="inlineStr">
        <is>
          <t>three-way</t>
        </is>
      </c>
      <c r="B1136" t="inlineStr">
        <is>
          <t>ORIG_BAL x ASSET_CLASS / SYS_FLAG</t>
        </is>
      </c>
      <c r="C1136" t="inlineStr">
        <is>
          <t>15,449 - 26,323</t>
        </is>
      </c>
      <c r="D1136" t="inlineStr">
        <is>
          <t>1 / SYS_FLAG Y</t>
        </is>
      </c>
      <c r="E1136" t="inlineStr">
        <is>
          <t>gco_rate</t>
        </is>
      </c>
      <c r="F1136" t="inlineStr">
        <is>
          <t>GCO per booked dollar</t>
        </is>
      </c>
      <c r="G1136" t="n">
        <v>180</v>
      </c>
      <c r="H1136" t="n">
        <v>3769132.12</v>
      </c>
      <c r="I1136" t="b">
        <v>0</v>
      </c>
      <c r="J1136" t="b">
        <v>0</v>
      </c>
      <c r="K1136" t="n">
        <v>1.616569699397381</v>
      </c>
      <c r="L1136" t="n">
        <v>0.193980601939806</v>
      </c>
      <c r="M1136" t="n">
        <v>1.295732179988387</v>
      </c>
      <c r="N1136" t="n">
        <v>0.6561805357925745</v>
      </c>
      <c r="O1136" t="n">
        <v>95824.79014589312</v>
      </c>
      <c r="P1136" t="n">
        <v>57342.0840501535</v>
      </c>
      <c r="Q1136">
        <f>'_live'!$C$22</f>
        <v/>
      </c>
      <c r="R1136" t="inlineStr">
        <is>
          <t>shuffled: 435 of 10,000</t>
        </is>
      </c>
      <c r="S1136" t="inlineStr">
        <is>
          <t>shuffled: 2,665 of 10,000</t>
        </is>
      </c>
      <c r="T1136" t="n">
        <v>0.041233892818304</v>
      </c>
      <c r="U1136" t="n">
        <v>0.05144385757160631</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0.06665746171826953</v>
      </c>
      <c r="AI1136">
        <f>IF($Y1136="worse","Yes",IF($Y1136="worse, not significant","Not sure",IF(OR($Y1136="too few losses to test",$Y1136="too few loans to test"),"Too few losses",IF($Y1136="","","No"))))</f>
        <v/>
      </c>
      <c r="AJ1136">
        <f>IF($AA1136="yes","Yes",IF($AA1136="","","No"))</f>
        <v/>
      </c>
      <c r="AK1136" t="n">
        <v>0.008592403236756843</v>
      </c>
      <c r="AL1136" t="n">
        <v>0.01088412022633574</v>
      </c>
      <c r="AM1136">
        <f>IF(AND(ISNUMBER($AC1136),ISNUMBER(IF($V1136,IF($AL1136="","",$AL1136),IF($AK1136="","",$AK1136)))),IF(AND(ABS($AC1136-significance_bar)&lt;=2.0*IF($V1136,IF($AL1136="","",$AL1136),IF($AK1136="","",$AK1136)),OR($Y1136="worse",$Y1136="better",$Y1136="worse, not significant",$Y1136="better, not significant")),IF(ROUND($AC1136,3)=ROUND(significance_bar,3),TEXT($AC1136,"0.0000"),TEXT($AC1136,"0.000")),""),"")</f>
        <v/>
      </c>
      <c r="AN1136">
        <f>IF(AND(ISNUMBER($AC1136),ISNUMBER(IF($V1136,IF($AL1136="","",$AL1136),IF($AK1136="","",$AK1136)))),IF(AND(ABS($AC1136-significance_bar)&lt;=2.0*IF($V1136,IF($AL1136="","",$AL1136),IF($AK1136="","",$AK1136)),OR($Y1136="worse",$Y1136="worse, not significant")),IF(ROUND($AC1136,3)=ROUND(significance_bar,3),TEXT($AC1136,"0.0000"),TEXT($AC1136,"0.000")),""),"")</f>
        <v/>
      </c>
      <c r="AO1136">
        <f>IF(OR($AI1136="",$AN1136=""),$AI1136,$AI1136&amp;" · borderline (p "&amp;$AN1136&amp;")")</f>
        <v/>
      </c>
    </row>
    <row r="1137">
      <c r="A1137" t="inlineStr">
        <is>
          <t>three-way</t>
        </is>
      </c>
      <c r="B1137" t="inlineStr">
        <is>
          <t>ORIG_BAL x ASSET_CLASS / SYS_FLAG</t>
        </is>
      </c>
      <c r="C1137" t="inlineStr">
        <is>
          <t>15,449 - 26,323</t>
        </is>
      </c>
      <c r="D1137" t="inlineStr">
        <is>
          <t>1 / SYS_FLAG Y</t>
        </is>
      </c>
      <c r="E1137" t="inlineStr">
        <is>
          <t>ranr_rate</t>
        </is>
      </c>
      <c r="F1137" t="inlineStr">
        <is>
          <t>Profit after losses: RANR per booked dollar</t>
        </is>
      </c>
      <c r="G1137" t="n">
        <v>180</v>
      </c>
      <c r="H1137" t="n">
        <v>3769132.12</v>
      </c>
      <c r="I1137" t="b">
        <v>0</v>
      </c>
      <c r="J1137" t="b">
        <v>0</v>
      </c>
      <c r="K1137" t="n">
        <v>-0.0257632742164963</v>
      </c>
      <c r="L1137" t="n">
        <v>0.4431556844315568</v>
      </c>
      <c r="M1137" t="n">
        <v>-0.01854931426592311</v>
      </c>
      <c r="N1137" t="n">
        <v>0.492950704929507</v>
      </c>
      <c r="O1137" t="n">
        <v>97105.18436576403</v>
      </c>
      <c r="P1137" t="n">
        <v>69914.81620366505</v>
      </c>
      <c r="Q1137">
        <f>'_live'!$C$23</f>
        <v/>
      </c>
      <c r="R1137" t="inlineStr">
        <is>
          <t>shuffled: 973 of 10,000</t>
        </is>
      </c>
      <c r="S1137" t="inlineStr">
        <is>
          <t>shuffled: 2,464 of 10,000</t>
        </is>
      </c>
      <c r="T1137" t="n">
        <v>0.1283663265074836</v>
      </c>
      <c r="U1137" t="n">
        <v>0.1211523665569104</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0.1026030522909873</v>
      </c>
      <c r="AI1137">
        <f>IF($Y1137="worse","Yes",IF($Y1137="worse, not significant","Not sure",IF(OR($Y1137="too few losses to test",$Y1137="too few loans to test"),"Too few losses",IF($Y1137="","","No"))))</f>
        <v/>
      </c>
      <c r="AJ1137">
        <f>IF($AA1137="yes","Yes",IF($AA1137="","","No"))</f>
        <v/>
      </c>
      <c r="AK1137" t="n">
        <v>0.01255482288637409</v>
      </c>
      <c r="AL1137" t="n">
        <v>0.008619170565480859</v>
      </c>
      <c r="AM1137">
        <f>IF(AND(ISNUMBER($AC1137),ISNUMBER(IF($V1137,IF($AL1137="","",$AL1137),IF($AK1137="","",$AK1137)))),IF(AND(ABS($AC1137-significance_bar)&lt;=2.0*IF($V1137,IF($AL1137="","",$AL1137),IF($AK1137="","",$AK1137)),OR($Y1137="worse",$Y1137="better",$Y1137="worse, not significant",$Y1137="better, not significant",AND(profit_kind="test",$Y1137="in line",ISNUMBER($AB1137),$AB1137&lt;&gt;0))),IF(ROUND($AC1137,3)=ROUND(significance_bar,3),TEXT($AC1137,"0.0000"),TEXT($AC1137,"0.000")),""),"")</f>
        <v/>
      </c>
      <c r="AN1137">
        <f>IF(AND(ISNUMBER($AC1137),ISNUMBER(IF($V1137,IF($AL1137="","",$AL1137),IF($AK1137="","",$AK1137)))),IF(AND(ABS($AC1137-significance_bar)&lt;=2.0*IF($V1137,IF($AL1137="","",$AL1137),IF($AK1137="","",$AK1137)),OR($Y1137="worse",$Y1137="worse, not significant",AND(profit_kind="test",$Y1137="in line",ISNUMBER($AB1137),$AB1137&lt;0))),IF(ROUND($AC1137,3)=ROUND(significance_bar,3),TEXT($AC1137,"0.0000"),TEXT($AC1137,"0.000")),""),"")</f>
        <v/>
      </c>
      <c r="AO1137">
        <f>IF(OR($AI1137="",$AN1137=""),$AI1137,$AI1137&amp;" · borderline (p "&amp;$AN1137&amp;")")</f>
        <v/>
      </c>
    </row>
    <row r="1138">
      <c r="A1138" t="inlineStr">
        <is>
          <t>three-way</t>
        </is>
      </c>
      <c r="B1138" t="inlineStr">
        <is>
          <t>ORIG_BAL x ASSET_CLASS / SYS_FLAG</t>
        </is>
      </c>
      <c r="C1138" t="inlineStr">
        <is>
          <t>15,449 - 26,323</t>
        </is>
      </c>
      <c r="D1138" t="inlineStr">
        <is>
          <t>1 / SYS_FLAG Y</t>
        </is>
      </c>
      <c r="E1138" t="inlineStr">
        <is>
          <t>contribution_rate</t>
        </is>
      </c>
      <c r="F1138" t="inlineStr">
        <is>
          <t>Contribution before losses per booked dollar</t>
        </is>
      </c>
      <c r="G1138" t="n">
        <v>180</v>
      </c>
      <c r="H1138" t="n">
        <v>3769132.12</v>
      </c>
      <c r="I1138" t="b">
        <v>0</v>
      </c>
      <c r="J1138" t="b">
        <v>0</v>
      </c>
      <c r="K1138" t="n">
        <v>-0.0003368624133814058</v>
      </c>
      <c r="L1138" t="n">
        <v>0.9955004499550044</v>
      </c>
      <c r="M1138" t="n">
        <v>-0.003335710119259871</v>
      </c>
      <c r="N1138" t="n">
        <v>0.892759208927592</v>
      </c>
      <c r="O1138" t="n">
        <v>1269.678942296654</v>
      </c>
      <c r="P1138" t="n">
        <v>12572.73215351149</v>
      </c>
      <c r="Q1138">
        <f>'_live'!$C$24</f>
        <v/>
      </c>
      <c r="R1138" t="inlineStr">
        <is>
          <t>shuffled: 9,756 of 10,000</t>
        </is>
      </c>
      <c r="S1138" t="inlineStr">
        <is>
          <t>shuffled: 7,365 of 10,000</t>
        </is>
      </c>
      <c r="T1138" t="n">
        <v>0.1695973764226383</v>
      </c>
      <c r="U1138" t="n">
        <v>0.1725962241285167</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0.1692605140092568</v>
      </c>
      <c r="AI1138">
        <f>IF($Y1138="worse","Yes",IF($Y1138="worse, not significant","Not sure",IF(OR($Y1138="too few losses to test",$Y1138="too few loans to test"),"Too few losses",IF($Y1138="","","No"))))</f>
        <v/>
      </c>
      <c r="AJ1138">
        <f>IF($AA1138="yes","Yes",IF($AA1138="","","No"))</f>
        <v/>
      </c>
      <c r="AK1138" t="n">
        <v>0.0006692760338147521</v>
      </c>
      <c r="AL1138" t="n">
        <v>0.005339600821528397</v>
      </c>
      <c r="AM1138">
        <f>IF(AND(ISNUMBER($AC1138),ISNUMBER(IF($V1138,IF($AL1138="","",$AL1138),IF($AK1138="","",$AK1138)))),IF(AND(ABS($AC1138-significance_bar)&lt;=2.0*IF($V1138,IF($AL1138="","",$AL1138),IF($AK1138="","",$AK1138)),OR($Y1138="worse",$Y1138="better",$Y1138="worse, not significant",$Y1138="better, not significant",AND(profit_kind="test",$Y1138="in line",ISNUMBER($AB1138),$AB1138&lt;&gt;0))),IF(ROUND($AC1138,3)=ROUND(significance_bar,3),TEXT($AC1138,"0.0000"),TEXT($AC1138,"0.000")),""),"")</f>
        <v/>
      </c>
      <c r="AN1138">
        <f>IF(AND(ISNUMBER($AC1138),ISNUMBER(IF($V1138,IF($AL1138="","",$AL1138),IF($AK1138="","",$AK1138)))),IF(AND(ABS($AC1138-significance_bar)&lt;=2.0*IF($V1138,IF($AL1138="","",$AL1138),IF($AK1138="","",$AK1138)),OR($Y1138="worse",$Y1138="worse, not significant",AND(profit_kind="test",$Y1138="in line",ISNUMBER($AB1138),$AB1138&lt;0))),IF(ROUND($AC1138,3)=ROUND(significance_bar,3),TEXT($AC1138,"0.0000"),TEXT($AC1138,"0.000")),""),"")</f>
        <v/>
      </c>
      <c r="AO1138">
        <f>IF(OR($AI1138="",$AN1138=""),$AI1138,$AI1138&amp;" · borderline (p "&amp;$AN1138&amp;")")</f>
        <v/>
      </c>
    </row>
    <row r="1139">
      <c r="A1139" t="inlineStr">
        <is>
          <t>three-way</t>
        </is>
      </c>
      <c r="B1139" t="inlineStr">
        <is>
          <t>ORIG_BAL x ASSET_CLASS / SYS_FLAG</t>
        </is>
      </c>
      <c r="C1139" t="inlineStr">
        <is>
          <t>37,951 - 49,151</t>
        </is>
      </c>
      <c r="D1139" t="inlineStr">
        <is>
          <t>3 / SYS_FLAG Y</t>
        </is>
      </c>
      <c r="E1139" t="inlineStr">
        <is>
          <t>outcome_loans</t>
        </is>
      </c>
      <c r="F1139" t="inlineStr">
        <is>
          <t>Outcome, share of loans</t>
        </is>
      </c>
      <c r="G1139" t="n">
        <v>195</v>
      </c>
      <c r="H1139" t="n">
        <v>195</v>
      </c>
      <c r="I1139" t="b">
        <v>0</v>
      </c>
      <c r="J1139" t="b">
        <v>0</v>
      </c>
      <c r="K1139" t="n">
        <v>1.684365017698351</v>
      </c>
      <c r="L1139" t="n">
        <v>0.1146950648063775</v>
      </c>
      <c r="M1139" t="n">
        <v>1.652552340625735</v>
      </c>
      <c r="N1139" t="n">
        <v>0.1074041301311903</v>
      </c>
      <c r="O1139" t="n">
        <v>10.15761148129165</v>
      </c>
      <c r="P1139" t="n">
        <v>9.871886120996441</v>
      </c>
      <c r="Q1139">
        <f>'_live'!$C$20</f>
        <v/>
      </c>
      <c r="R1139" t="inlineStr">
        <is>
          <t>z test</t>
        </is>
      </c>
      <c r="S1139" t="inlineStr">
        <is>
          <t>z test</t>
        </is>
      </c>
      <c r="T1139" t="n">
        <v>0.0761148129164531</v>
      </c>
      <c r="U1139" t="n">
        <v>0.07758007117437722</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0.1282051282051282</v>
      </c>
      <c r="AI1139">
        <f>IF($Y1139="worse","Yes",IF($Y1139="worse, not significant","Not sure",IF(OR($Y1139="too few losses to test",$Y1139="too few loans to test"),"Too few losses",IF($Y1139="","","No"))))</f>
        <v/>
      </c>
      <c r="AJ1139">
        <f>IF($AA1139="yes","Yes",IF($AA1139="","","No"))</f>
        <v/>
      </c>
      <c r="AM1139">
        <f>IF(AND(ISNUMBER($AC1139),ISNUMBER(IF($V1139,IF($AL1139="","",$AL1139),IF($AK1139="","",$AK1139)))),IF(AND(ABS($AC1139-significance_bar)&lt;=2.0*IF($V1139,IF($AL1139="","",$AL1139),IF($AK1139="","",$AK1139)),OR($Y1139="worse",$Y1139="better",$Y1139="worse, not significant",$Y1139="better, not significant")),IF(ROUND($AC1139,3)=ROUND(significance_bar,3),TEXT($AC1139,"0.0000"),TEXT($AC1139,"0.000")),""),"")</f>
        <v/>
      </c>
      <c r="AN1139">
        <f>IF(AND(ISNUMBER($AC1139),ISNUMBER(IF($V1139,IF($AL1139="","",$AL1139),IF($AK1139="","",$AK1139)))),IF(AND(ABS($AC1139-significance_bar)&lt;=2.0*IF($V1139,IF($AL1139="","",$AL1139),IF($AK1139="","",$AK1139)),OR($Y1139="worse",$Y1139="worse, not significant")),IF(ROUND($AC1139,3)=ROUND(significance_bar,3),TEXT($AC1139,"0.0000"),TEXT($AC1139,"0.000")),""),"")</f>
        <v/>
      </c>
      <c r="AO1139">
        <f>IF(OR($AI1139="",$AN1139=""),$AI1139,$AI1139&amp;" · borderline (p "&amp;$AN1139&amp;")")</f>
        <v/>
      </c>
    </row>
    <row r="1140">
      <c r="A1140" t="inlineStr">
        <is>
          <t>three-way</t>
        </is>
      </c>
      <c r="B1140" t="inlineStr">
        <is>
          <t>ORIG_BAL x ASSET_CLASS / SYS_FLAG</t>
        </is>
      </c>
      <c r="C1140" t="inlineStr">
        <is>
          <t>37,951 - 49,151</t>
        </is>
      </c>
      <c r="D1140" t="inlineStr">
        <is>
          <t>3 / SYS_FLAG Y</t>
        </is>
      </c>
      <c r="E1140" t="inlineStr">
        <is>
          <t>outcome_booked</t>
        </is>
      </c>
      <c r="F1140" t="inlineStr">
        <is>
          <t>Outcome, share of booked dollars</t>
        </is>
      </c>
      <c r="G1140" t="n">
        <v>195</v>
      </c>
      <c r="H1140" t="n">
        <v>8446179.250000006</v>
      </c>
      <c r="I1140" t="b">
        <v>0</v>
      </c>
      <c r="J1140" t="b">
        <v>0</v>
      </c>
      <c r="K1140" t="n">
        <v>1.718097498744894</v>
      </c>
      <c r="L1140" t="n">
        <v>0.1983801619838016</v>
      </c>
      <c r="M1140" t="n">
        <v>1.626536942316129</v>
      </c>
      <c r="N1140" t="n">
        <v>0.1274539212745392</v>
      </c>
      <c r="O1140" t="n">
        <v>443427.5479470418</v>
      </c>
      <c r="P1140" t="n">
        <v>408667.2293835809</v>
      </c>
      <c r="Q1140">
        <f>'_live'!$C$21</f>
        <v/>
      </c>
      <c r="R1140" t="inlineStr">
        <is>
          <t>shuffled: 123 of 10,000</t>
        </is>
      </c>
      <c r="S1140" t="inlineStr">
        <is>
          <t>shuffled: 238 of 10,000</t>
        </is>
      </c>
      <c r="T1140" t="n">
        <v>0.07311036668478918</v>
      </c>
      <c r="U1140" t="n">
        <v>0.07722587471920141</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0.1256107381334583</v>
      </c>
      <c r="AI1140">
        <f>IF($Y1140="worse","Yes",IF($Y1140="worse, not significant","Not sure",IF(OR($Y1140="too few losses to test",$Y1140="too few loans to test"),"Too few losses",IF($Y1140="","","No"))))</f>
        <v/>
      </c>
      <c r="AJ1140">
        <f>IF($AA1140="yes","Yes",IF($AA1140="","","No"))</f>
        <v/>
      </c>
      <c r="AK1140" t="n">
        <v>0.01770516281504383</v>
      </c>
      <c r="AL1140" t="n">
        <v>0.00814561074904323</v>
      </c>
      <c r="AM1140">
        <f>IF(AND(ISNUMBER($AC1140),ISNUMBER(IF($V1140,IF($AL1140="","",$AL1140),IF($AK1140="","",$AK1140)))),IF(AND(ABS($AC1140-significance_bar)&lt;=2.0*IF($V1140,IF($AL1140="","",$AL1140),IF($AK1140="","",$AK1140)),OR($Y1140="worse",$Y1140="better",$Y1140="worse, not significant",$Y1140="better, not significant")),IF(ROUND($AC1140,3)=ROUND(significance_bar,3),TEXT($AC1140,"0.0000"),TEXT($AC1140,"0.000")),""),"")</f>
        <v/>
      </c>
      <c r="AN1140">
        <f>IF(AND(ISNUMBER($AC1140),ISNUMBER(IF($V1140,IF($AL1140="","",$AL1140),IF($AK1140="","",$AK1140)))),IF(AND(ABS($AC1140-significance_bar)&lt;=2.0*IF($V1140,IF($AL1140="","",$AL1140),IF($AK1140="","",$AK1140)),OR($Y1140="worse",$Y1140="worse, not significant")),IF(ROUND($AC1140,3)=ROUND(significance_bar,3),TEXT($AC1140,"0.0000"),TEXT($AC1140,"0.000")),""),"")</f>
        <v/>
      </c>
      <c r="AO1140">
        <f>IF(OR($AI1140="",$AN1140=""),$AI1140,$AI1140&amp;" · borderline (p "&amp;$AN1140&amp;")")</f>
        <v/>
      </c>
    </row>
    <row r="1141">
      <c r="A1141" t="inlineStr">
        <is>
          <t>three-way</t>
        </is>
      </c>
      <c r="B1141" t="inlineStr">
        <is>
          <t>ORIG_BAL x ASSET_CLASS / SYS_FLAG</t>
        </is>
      </c>
      <c r="C1141" t="inlineStr">
        <is>
          <t>37,951 - 49,151</t>
        </is>
      </c>
      <c r="D1141" t="inlineStr">
        <is>
          <t>3 / SYS_FLAG Y</t>
        </is>
      </c>
      <c r="E1141" t="inlineStr">
        <is>
          <t>gco_rate</t>
        </is>
      </c>
      <c r="F1141" t="inlineStr">
        <is>
          <t>GCO per booked dollar</t>
        </is>
      </c>
      <c r="G1141" t="n">
        <v>195</v>
      </c>
      <c r="H1141" t="n">
        <v>8446179.250000006</v>
      </c>
      <c r="I1141" t="b">
        <v>0</v>
      </c>
      <c r="J1141" t="b">
        <v>0</v>
      </c>
      <c r="K1141" t="n">
        <v>1.716568234023231</v>
      </c>
      <c r="L1141" t="n">
        <v>0.193980601939806</v>
      </c>
      <c r="M1141" t="n">
        <v>1.600855343875921</v>
      </c>
      <c r="N1141" t="n">
        <v>0.1818484818184848</v>
      </c>
      <c r="O1141" t="n">
        <v>246035.096093514</v>
      </c>
      <c r="P1141" t="n">
        <v>221216.9600145082</v>
      </c>
      <c r="Q1141">
        <f>'_live'!$C$22</f>
        <v/>
      </c>
      <c r="R1141" t="inlineStr">
        <is>
          <t>shuffled: 153 of 10,000</t>
        </is>
      </c>
      <c r="S1141" t="inlineStr">
        <is>
          <t>shuffled: 340 of 10,000</t>
        </is>
      </c>
      <c r="T1141" t="n">
        <v>0.0406517472271839</v>
      </c>
      <c r="U1141" t="n">
        <v>0.04359013337131006</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0.06978149794772584</v>
      </c>
      <c r="AI1141">
        <f>IF($Y1141="worse","Yes",IF($Y1141="worse, not significant","Not sure",IF(OR($Y1141="too few losses to test",$Y1141="too few loans to test"),"Too few losses",IF($Y1141="","","No"))))</f>
        <v/>
      </c>
      <c r="AJ1141">
        <f>IF($AA1141="yes","Yes",IF($AA1141="","","No"))</f>
        <v/>
      </c>
      <c r="AK1141" t="n">
        <v>0.008592403236756843</v>
      </c>
      <c r="AL1141" t="n">
        <v>0.009678789693752509</v>
      </c>
      <c r="AM1141">
        <f>IF(AND(ISNUMBER($AC1141),ISNUMBER(IF($V1141,IF($AL1141="","",$AL1141),IF($AK1141="","",$AK1141)))),IF(AND(ABS($AC1141-significance_bar)&lt;=2.0*IF($V1141,IF($AL1141="","",$AL1141),IF($AK1141="","",$AK1141)),OR($Y1141="worse",$Y1141="better",$Y1141="worse, not significant",$Y1141="better, not significant")),IF(ROUND($AC1141,3)=ROUND(significance_bar,3),TEXT($AC1141,"0.0000"),TEXT($AC1141,"0.000")),""),"")</f>
        <v/>
      </c>
      <c r="AN1141">
        <f>IF(AND(ISNUMBER($AC1141),ISNUMBER(IF($V1141,IF($AL1141="","",$AL1141),IF($AK1141="","",$AK1141)))),IF(AND(ABS($AC1141-significance_bar)&lt;=2.0*IF($V1141,IF($AL1141="","",$AL1141),IF($AK1141="","",$AK1141)),OR($Y1141="worse",$Y1141="worse, not significant")),IF(ROUND($AC1141,3)=ROUND(significance_bar,3),TEXT($AC1141,"0.0000"),TEXT($AC1141,"0.000")),""),"")</f>
        <v/>
      </c>
      <c r="AO1141">
        <f>IF(OR($AI1141="",$AN1141=""),$AI1141,$AI1141&amp;" · borderline (p "&amp;$AN1141&amp;")")</f>
        <v/>
      </c>
    </row>
    <row r="1142">
      <c r="A1142" t="inlineStr">
        <is>
          <t>three-way</t>
        </is>
      </c>
      <c r="B1142" t="inlineStr">
        <is>
          <t>ORIG_BAL x ASSET_CLASS / SYS_FLAG</t>
        </is>
      </c>
      <c r="C1142" t="inlineStr">
        <is>
          <t>37,951 - 49,151</t>
        </is>
      </c>
      <c r="D1142" t="inlineStr">
        <is>
          <t>3 / SYS_FLAG Y</t>
        </is>
      </c>
      <c r="E1142" t="inlineStr">
        <is>
          <t>ranr_rate</t>
        </is>
      </c>
      <c r="F1142" t="inlineStr">
        <is>
          <t>Profit after losses: RANR per booked dollar</t>
        </is>
      </c>
      <c r="G1142" t="n">
        <v>195</v>
      </c>
      <c r="H1142" t="n">
        <v>8446179.250000006</v>
      </c>
      <c r="I1142" t="b">
        <v>0</v>
      </c>
      <c r="J1142" t="b">
        <v>0</v>
      </c>
      <c r="K1142" t="n">
        <v>-0.03838636221889645</v>
      </c>
      <c r="L1142" t="n">
        <v>0.1223877612238776</v>
      </c>
      <c r="M1142" t="n">
        <v>-0.03592153076353734</v>
      </c>
      <c r="N1142" t="n">
        <v>0.171982801719828</v>
      </c>
      <c r="O1142" t="n">
        <v>324218.0960562273</v>
      </c>
      <c r="P1142" t="n">
        <v>303399.687763226</v>
      </c>
      <c r="Q1142">
        <f>'_live'!$C$23</f>
        <v/>
      </c>
      <c r="R1142" t="inlineStr">
        <is>
          <t>shuffled: 101 of 10,000</t>
        </is>
      </c>
      <c r="S1142" t="inlineStr">
        <is>
          <t>shuffled: 171 of 10,000</t>
        </is>
      </c>
      <c r="T1142" t="n">
        <v>0.1292463756385737</v>
      </c>
      <c r="U1142" t="n">
        <v>0.1267815441832146</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0.09086001341967721</v>
      </c>
      <c r="AI1142">
        <f>IF($Y1142="worse","Yes",IF($Y1142="worse, not significant","Not sure",IF(OR($Y1142="too few losses to test",$Y1142="too few loans to test"),"Too few losses",IF($Y1142="","","No"))))</f>
        <v/>
      </c>
      <c r="AJ1142">
        <f>IF($AA1142="yes","Yes",IF($AA1142="","","No"))</f>
        <v/>
      </c>
      <c r="AK1142" t="n">
        <v>0.009818978183566904</v>
      </c>
      <c r="AL1142" t="n">
        <v>0.01300096124565749</v>
      </c>
      <c r="AM1142">
        <f>IF(AND(ISNUMBER($AC1142),ISNUMBER(IF($V1142,IF($AL1142="","",$AL1142),IF($AK1142="","",$AK1142)))),IF(AND(ABS($AC1142-significance_bar)&lt;=2.0*IF($V1142,IF($AL1142="","",$AL1142),IF($AK1142="","",$AK1142)),OR($Y1142="worse",$Y1142="better",$Y1142="worse, not significant",$Y1142="better, not significant",AND(profit_kind="test",$Y1142="in line",ISNUMBER($AB1142),$AB1142&lt;&gt;0))),IF(ROUND($AC1142,3)=ROUND(significance_bar,3),TEXT($AC1142,"0.0000"),TEXT($AC1142,"0.000")),""),"")</f>
        <v/>
      </c>
      <c r="AN1142">
        <f>IF(AND(ISNUMBER($AC1142),ISNUMBER(IF($V1142,IF($AL1142="","",$AL1142),IF($AK1142="","",$AK1142)))),IF(AND(ABS($AC1142-significance_bar)&lt;=2.0*IF($V1142,IF($AL1142="","",$AL1142),IF($AK1142="","",$AK1142)),OR($Y1142="worse",$Y1142="worse, not significant",AND(profit_kind="test",$Y1142="in line",ISNUMBER($AB1142),$AB1142&lt;0))),IF(ROUND($AC1142,3)=ROUND(significance_bar,3),TEXT($AC1142,"0.0000"),TEXT($AC1142,"0.000")),""),"")</f>
        <v/>
      </c>
      <c r="AO1142">
        <f>IF(OR($AI1142="",$AN1142=""),$AI1142,$AI1142&amp;" · borderline (p "&amp;$AN1142&amp;")")</f>
        <v/>
      </c>
    </row>
    <row r="1143">
      <c r="A1143" t="inlineStr">
        <is>
          <t>three-way</t>
        </is>
      </c>
      <c r="B1143" t="inlineStr">
        <is>
          <t>ORIG_BAL x ASSET_CLASS / SYS_FLAG</t>
        </is>
      </c>
      <c r="C1143" t="inlineStr">
        <is>
          <t>37,951 - 49,151</t>
        </is>
      </c>
      <c r="D1143" t="inlineStr">
        <is>
          <t>3 / SYS_FLAG Y</t>
        </is>
      </c>
      <c r="E1143" t="inlineStr">
        <is>
          <t>contribution_rate</t>
        </is>
      </c>
      <c r="F1143" t="inlineStr">
        <is>
          <t>Contribution before losses per booked dollar</t>
        </is>
      </c>
      <c r="G1143" t="n">
        <v>195</v>
      </c>
      <c r="H1143" t="n">
        <v>8446179.250000006</v>
      </c>
      <c r="I1143" t="b">
        <v>0</v>
      </c>
      <c r="J1143" t="b">
        <v>0</v>
      </c>
      <c r="K1143" t="n">
        <v>-0.00925385525131675</v>
      </c>
      <c r="L1143" t="n">
        <v>0.774705138181834</v>
      </c>
      <c r="M1143" t="n">
        <v>-0.009717330031861288</v>
      </c>
      <c r="N1143" t="n">
        <v>0.798978925636848</v>
      </c>
      <c r="O1143" t="n">
        <v>78159.72020617523</v>
      </c>
      <c r="P1143" t="n">
        <v>82074.31128050876</v>
      </c>
      <c r="Q1143">
        <f>'_live'!$C$24</f>
        <v/>
      </c>
      <c r="R1143" t="inlineStr">
        <is>
          <t>shuffled: 3,412 of 10,000</t>
        </is>
      </c>
      <c r="S1143" t="inlineStr">
        <is>
          <t>shuffled: 2,874 of 10,000</t>
        </is>
      </c>
      <c r="T1143" t="n">
        <v>0.1698953666187199</v>
      </c>
      <c r="U1143" t="n">
        <v>0.1703588413992644</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0.1606415113674031</v>
      </c>
      <c r="AI1143">
        <f>IF($Y1143="worse","Yes",IF($Y1143="worse, not significant","Not sure",IF(OR($Y1143="too few losses to test",$Y1143="too few loans to test"),"Too few losses",IF($Y1143="","","No"))))</f>
        <v/>
      </c>
      <c r="AJ1143">
        <f>IF($AA1143="yes","Yes",IF($AA1143="","","No"))</f>
        <v/>
      </c>
      <c r="AK1143" t="n">
        <v>0.008643756316955952</v>
      </c>
      <c r="AL1143" t="n">
        <v>0.0111426347407216</v>
      </c>
      <c r="AM1143">
        <f>IF(AND(ISNUMBER($AC1143),ISNUMBER(IF($V1143,IF($AL1143="","",$AL1143),IF($AK1143="","",$AK1143)))),IF(AND(ABS($AC1143-significance_bar)&lt;=2.0*IF($V1143,IF($AL1143="","",$AL1143),IF($AK1143="","",$AK1143)),OR($Y1143="worse",$Y1143="better",$Y1143="worse, not significant",$Y1143="better, not significant",AND(profit_kind="test",$Y1143="in line",ISNUMBER($AB1143),$AB1143&lt;&gt;0))),IF(ROUND($AC1143,3)=ROUND(significance_bar,3),TEXT($AC1143,"0.0000"),TEXT($AC1143,"0.000")),""),"")</f>
        <v/>
      </c>
      <c r="AN1143">
        <f>IF(AND(ISNUMBER($AC1143),ISNUMBER(IF($V1143,IF($AL1143="","",$AL1143),IF($AK1143="","",$AK1143)))),IF(AND(ABS($AC1143-significance_bar)&lt;=2.0*IF($V1143,IF($AL1143="","",$AL1143),IF($AK1143="","",$AK1143)),OR($Y1143="worse",$Y1143="worse, not significant",AND(profit_kind="test",$Y1143="in line",ISNUMBER($AB1143),$AB1143&lt;0))),IF(ROUND($AC1143,3)=ROUND(significance_bar,3),TEXT($AC1143,"0.0000"),TEXT($AC1143,"0.000")),""),"")</f>
        <v/>
      </c>
      <c r="AO1143">
        <f>IF(OR($AI1143="",$AN1143=""),$AI1143,$AI1143&amp;" · borderline (p "&amp;$AN1143&amp;")")</f>
        <v/>
      </c>
    </row>
    <row r="1144">
      <c r="A1144" t="inlineStr">
        <is>
          <t>three-way</t>
        </is>
      </c>
      <c r="B1144" t="inlineStr">
        <is>
          <t>ORIG_BAL x ASSET_CLASS / SYS_FLAG</t>
        </is>
      </c>
      <c r="C1144" t="inlineStr">
        <is>
          <t>15,449 - 26,323</t>
        </is>
      </c>
      <c r="D1144" t="inlineStr">
        <is>
          <t>3 / SYS_FLAG Y</t>
        </is>
      </c>
      <c r="E1144" t="inlineStr">
        <is>
          <t>outcome_loans</t>
        </is>
      </c>
      <c r="F1144" t="inlineStr">
        <is>
          <t>Outcome, share of loans</t>
        </is>
      </c>
      <c r="G1144" t="n">
        <v>193</v>
      </c>
      <c r="H1144" t="n">
        <v>193</v>
      </c>
      <c r="I1144" t="b">
        <v>0</v>
      </c>
      <c r="J1144" t="b">
        <v>0</v>
      </c>
      <c r="K1144" t="n">
        <v>1.490457468690603</v>
      </c>
      <c r="L1144" t="n">
        <v>0.2470100746491498</v>
      </c>
      <c r="M1144" t="n">
        <v>1.262861572355269</v>
      </c>
      <c r="N1144" t="n">
        <v>0.57171124817441</v>
      </c>
      <c r="O1144" t="n">
        <v>7.239431206764028</v>
      </c>
      <c r="P1144" t="n">
        <v>4.579246624022744</v>
      </c>
      <c r="Q1144">
        <f>'_live'!$C$20</f>
        <v/>
      </c>
      <c r="R1144" t="inlineStr">
        <is>
          <t>z test</t>
        </is>
      </c>
      <c r="S1144" t="inlineStr">
        <is>
          <t>z test</t>
        </is>
      </c>
      <c r="T1144" t="n">
        <v>0.07647963105303612</v>
      </c>
      <c r="U1144" t="n">
        <v>0.09026297085998579</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0.1139896373056995</v>
      </c>
      <c r="AI1144">
        <f>IF($Y1144="worse","Yes",IF($Y1144="worse, not significant","Not sure",IF(OR($Y1144="too few losses to test",$Y1144="too few loans to test"),"Too few losses",IF($Y1144="","","No"))))</f>
        <v/>
      </c>
      <c r="AJ1144">
        <f>IF($AA1144="yes","Yes",IF($AA1144="","","No"))</f>
        <v/>
      </c>
      <c r="AM1144">
        <f>IF(AND(ISNUMBER($AC1144),ISNUMBER(IF($V1144,IF($AL1144="","",$AL1144),IF($AK1144="","",$AK1144)))),IF(AND(ABS($AC1144-significance_bar)&lt;=2.0*IF($V1144,IF($AL1144="","",$AL1144),IF($AK1144="","",$AK1144)),OR($Y1144="worse",$Y1144="better",$Y1144="worse, not significant",$Y1144="better, not significant")),IF(ROUND($AC1144,3)=ROUND(significance_bar,3),TEXT($AC1144,"0.0000"),TEXT($AC1144,"0.000")),""),"")</f>
        <v/>
      </c>
      <c r="AN1144">
        <f>IF(AND(ISNUMBER($AC1144),ISNUMBER(IF($V1144,IF($AL1144="","",$AL1144),IF($AK1144="","",$AK1144)))),IF(AND(ABS($AC1144-significance_bar)&lt;=2.0*IF($V1144,IF($AL1144="","",$AL1144),IF($AK1144="","",$AK1144)),OR($Y1144="worse",$Y1144="worse, not significant")),IF(ROUND($AC1144,3)=ROUND(significance_bar,3),TEXT($AC1144,"0.0000"),TEXT($AC1144,"0.000")),""),"")</f>
        <v/>
      </c>
      <c r="AO1144">
        <f>IF(OR($AI1144="",$AN1144=""),$AI1144,$AI1144&amp;" · borderline (p "&amp;$AN1144&amp;")")</f>
        <v/>
      </c>
    </row>
    <row r="1145">
      <c r="A1145" t="inlineStr">
        <is>
          <t>three-way</t>
        </is>
      </c>
      <c r="B1145" t="inlineStr">
        <is>
          <t>ORIG_BAL x ASSET_CLASS / SYS_FLAG</t>
        </is>
      </c>
      <c r="C1145" t="inlineStr">
        <is>
          <t>15,449 - 26,323</t>
        </is>
      </c>
      <c r="D1145" t="inlineStr">
        <is>
          <t>3 / SYS_FLAG Y</t>
        </is>
      </c>
      <c r="E1145" t="inlineStr">
        <is>
          <t>outcome_booked</t>
        </is>
      </c>
      <c r="F1145" t="inlineStr">
        <is>
          <t>Outcome, share of booked dollars</t>
        </is>
      </c>
      <c r="G1145" t="n">
        <v>193</v>
      </c>
      <c r="H1145" t="n">
        <v>3985290.119999999</v>
      </c>
      <c r="I1145" t="b">
        <v>0</v>
      </c>
      <c r="J1145" t="b">
        <v>0</v>
      </c>
      <c r="K1145" t="n">
        <v>1.553361708233428</v>
      </c>
      <c r="L1145" t="n">
        <v>0.2349479337780508</v>
      </c>
      <c r="M1145" t="n">
        <v>1.268300748504351</v>
      </c>
      <c r="N1145" t="n">
        <v>0.6170582941705829</v>
      </c>
      <c r="O1145" t="n">
        <v>163622.2006264218</v>
      </c>
      <c r="P1145" t="n">
        <v>97163.99360618106</v>
      </c>
      <c r="Q1145">
        <f>'_live'!$C$21</f>
        <v/>
      </c>
      <c r="R1145" t="inlineStr">
        <is>
          <t>shuffled: 513 of 10,000</t>
        </is>
      </c>
      <c r="S1145" t="inlineStr">
        <is>
          <t>shuffled: 2,877 of 10,000</t>
        </is>
      </c>
      <c r="T1145" t="n">
        <v>0.07419475131551484</v>
      </c>
      <c r="U1145" t="n">
        <v>0.09087062810720016</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0.1152512856454225</v>
      </c>
      <c r="AI1145">
        <f>IF($Y1145="worse","Yes",IF($Y1145="worse, not significant","Not sure",IF(OR($Y1145="too few losses to test",$Y1145="too few loans to test"),"Too few losses",IF($Y1145="","","No"))))</f>
        <v/>
      </c>
      <c r="AJ1145">
        <f>IF($AA1145="yes","Yes",IF($AA1145="","","No"))</f>
        <v/>
      </c>
      <c r="AK1145" t="n">
        <v>0.01009379594446269</v>
      </c>
      <c r="AL1145" t="n">
        <v>0.007788018568726085</v>
      </c>
      <c r="AM1145">
        <f>IF(AND(ISNUMBER($AC1145),ISNUMBER(IF($V1145,IF($AL1145="","",$AL1145),IF($AK1145="","",$AK1145)))),IF(AND(ABS($AC1145-significance_bar)&lt;=2.0*IF($V1145,IF($AL1145="","",$AL1145),IF($AK1145="","",$AK1145)),OR($Y1145="worse",$Y1145="better",$Y1145="worse, not significant",$Y1145="better, not significant")),IF(ROUND($AC1145,3)=ROUND(significance_bar,3),TEXT($AC1145,"0.0000"),TEXT($AC1145,"0.000")),""),"")</f>
        <v/>
      </c>
      <c r="AN1145">
        <f>IF(AND(ISNUMBER($AC1145),ISNUMBER(IF($V1145,IF($AL1145="","",$AL1145),IF($AK1145="","",$AK1145)))),IF(AND(ABS($AC1145-significance_bar)&lt;=2.0*IF($V1145,IF($AL1145="","",$AL1145),IF($AK1145="","",$AK1145)),OR($Y1145="worse",$Y1145="worse, not significant")),IF(ROUND($AC1145,3)=ROUND(significance_bar,3),TEXT($AC1145,"0.0000"),TEXT($AC1145,"0.000")),""),"")</f>
        <v/>
      </c>
      <c r="AO1145">
        <f>IF(OR($AI1145="",$AN1145=""),$AI1145,$AI1145&amp;" · borderline (p "&amp;$AN1145&amp;")")</f>
        <v/>
      </c>
    </row>
    <row r="1146">
      <c r="A1146" t="inlineStr">
        <is>
          <t>three-way</t>
        </is>
      </c>
      <c r="B1146" t="inlineStr">
        <is>
          <t>ORIG_BAL x ASSET_CLASS / SYS_FLAG</t>
        </is>
      </c>
      <c r="C1146" t="inlineStr">
        <is>
          <t>15,449 - 26,323</t>
        </is>
      </c>
      <c r="D1146" t="inlineStr">
        <is>
          <t>3 / SYS_FLAG Y</t>
        </is>
      </c>
      <c r="E1146" t="inlineStr">
        <is>
          <t>gco_rate</t>
        </is>
      </c>
      <c r="F1146" t="inlineStr">
        <is>
          <t>GCO per booked dollar</t>
        </is>
      </c>
      <c r="G1146" t="n">
        <v>193</v>
      </c>
      <c r="H1146" t="n">
        <v>3985290.119999999</v>
      </c>
      <c r="I1146" t="b">
        <v>0</v>
      </c>
      <c r="J1146" t="b">
        <v>0</v>
      </c>
      <c r="K1146" t="n">
        <v>1.616497436193758</v>
      </c>
      <c r="L1146" t="n">
        <v>0.193980601939806</v>
      </c>
      <c r="M1146" t="n">
        <v>1.297705582716536</v>
      </c>
      <c r="N1146" t="n">
        <v>0.6561805357925745</v>
      </c>
      <c r="O1146" t="n">
        <v>101256.7009602926</v>
      </c>
      <c r="P1146" t="n">
        <v>60908.55897143975</v>
      </c>
      <c r="Q1146">
        <f>'_live'!$C$22</f>
        <v/>
      </c>
      <c r="R1146" t="inlineStr">
        <is>
          <t>shuffled: 334 of 10,000</t>
        </is>
      </c>
      <c r="S1146" t="inlineStr">
        <is>
          <t>shuffled: 2,550 of 10,000</t>
        </is>
      </c>
      <c r="T1146" t="n">
        <v>0.04121284124722829</v>
      </c>
      <c r="U1146" t="n">
        <v>0.05133710843329024</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0.06662045221440491</v>
      </c>
      <c r="AI1146">
        <f>IF($Y1146="worse","Yes",IF($Y1146="worse, not significant","Not sure",IF(OR($Y1146="too few losses to test",$Y1146="too few loans to test"),"Too few losses",IF($Y1146="","","No"))))</f>
        <v/>
      </c>
      <c r="AJ1146">
        <f>IF($AA1146="yes","Yes",IF($AA1146="","","No"))</f>
        <v/>
      </c>
      <c r="AK1146" t="n">
        <v>0.008592403236756843</v>
      </c>
      <c r="AL1146" t="n">
        <v>0.01088412022633574</v>
      </c>
      <c r="AM1146">
        <f>IF(AND(ISNUMBER($AC1146),ISNUMBER(IF($V1146,IF($AL1146="","",$AL1146),IF($AK1146="","",$AK1146)))),IF(AND(ABS($AC1146-significance_bar)&lt;=2.0*IF($V1146,IF($AL1146="","",$AL1146),IF($AK1146="","",$AK1146)),OR($Y1146="worse",$Y1146="better",$Y1146="worse, not significant",$Y1146="better, not significant")),IF(ROUND($AC1146,3)=ROUND(significance_bar,3),TEXT($AC1146,"0.0000"),TEXT($AC1146,"0.000")),""),"")</f>
        <v/>
      </c>
      <c r="AN1146">
        <f>IF(AND(ISNUMBER($AC1146),ISNUMBER(IF($V1146,IF($AL1146="","",$AL1146),IF($AK1146="","",$AK1146)))),IF(AND(ABS($AC1146-significance_bar)&lt;=2.0*IF($V1146,IF($AL1146="","",$AL1146),IF($AK1146="","",$AK1146)),OR($Y1146="worse",$Y1146="worse, not significant")),IF(ROUND($AC1146,3)=ROUND(significance_bar,3),TEXT($AC1146,"0.0000"),TEXT($AC1146,"0.000")),""),"")</f>
        <v/>
      </c>
      <c r="AO1146">
        <f>IF(OR($AI1146="",$AN1146=""),$AI1146,$AI1146&amp;" · borderline (p "&amp;$AN1146&amp;")")</f>
        <v/>
      </c>
    </row>
    <row r="1147">
      <c r="A1147" t="inlineStr">
        <is>
          <t>three-way</t>
        </is>
      </c>
      <c r="B1147" t="inlineStr">
        <is>
          <t>ORIG_BAL x ASSET_CLASS / SYS_FLAG</t>
        </is>
      </c>
      <c r="C1147" t="inlineStr">
        <is>
          <t>15,449 - 26,323</t>
        </is>
      </c>
      <c r="D1147" t="inlineStr">
        <is>
          <t>3 / SYS_FLAG Y</t>
        </is>
      </c>
      <c r="E1147" t="inlineStr">
        <is>
          <t>ranr_rate</t>
        </is>
      </c>
      <c r="F1147" t="inlineStr">
        <is>
          <t>Profit after losses: RANR per booked dollar</t>
        </is>
      </c>
      <c r="G1147" t="n">
        <v>193</v>
      </c>
      <c r="H1147" t="n">
        <v>3985290.119999999</v>
      </c>
      <c r="I1147" t="b">
        <v>0</v>
      </c>
      <c r="J1147" t="b">
        <v>0</v>
      </c>
      <c r="K1147" t="n">
        <v>-0.02689342130442768</v>
      </c>
      <c r="L1147" t="n">
        <v>0.3782478894967646</v>
      </c>
      <c r="M1147" t="n">
        <v>-0.01992447745192381</v>
      </c>
      <c r="N1147" t="n">
        <v>0.4690057310058468</v>
      </c>
      <c r="O1147" t="n">
        <v>107178.0862175331</v>
      </c>
      <c r="P1147" t="n">
        <v>79404.82313531474</v>
      </c>
      <c r="Q1147">
        <f>'_live'!$C$23</f>
        <v/>
      </c>
      <c r="R1147" t="inlineStr">
        <is>
          <t>shuffled: 661 of 10,000</t>
        </is>
      </c>
      <c r="S1147" t="inlineStr">
        <is>
          <t>shuffled: 2,029 of 10,000</t>
        </is>
      </c>
      <c r="T1147" t="n">
        <v>0.1284053584077672</v>
      </c>
      <c r="U1147" t="n">
        <v>0.1214364145552633</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0.1015119371033395</v>
      </c>
      <c r="AI1147">
        <f>IF($Y1147="worse","Yes",IF($Y1147="worse, not significant","Not sure",IF(OR($Y1147="too few losses to test",$Y1147="too few loans to test"),"Too few losses",IF($Y1147="","","No"))))</f>
        <v/>
      </c>
      <c r="AJ1147">
        <f>IF($AA1147="yes","Yes",IF($AA1147="","","No"))</f>
        <v/>
      </c>
      <c r="AK1147" t="n">
        <v>0.01420684710096271</v>
      </c>
      <c r="AL1147" t="n">
        <v>0.008760217523622172</v>
      </c>
      <c r="AM1147">
        <f>IF(AND(ISNUMBER($AC1147),ISNUMBER(IF($V1147,IF($AL1147="","",$AL1147),IF($AK1147="","",$AK1147)))),IF(AND(ABS($AC1147-significance_bar)&lt;=2.0*IF($V1147,IF($AL1147="","",$AL1147),IF($AK1147="","",$AK1147)),OR($Y1147="worse",$Y1147="better",$Y1147="worse, not significant",$Y1147="better, not significant",AND(profit_kind="test",$Y1147="in line",ISNUMBER($AB1147),$AB1147&lt;&gt;0))),IF(ROUND($AC1147,3)=ROUND(significance_bar,3),TEXT($AC1147,"0.0000"),TEXT($AC1147,"0.000")),""),"")</f>
        <v/>
      </c>
      <c r="AN1147">
        <f>IF(AND(ISNUMBER($AC1147),ISNUMBER(IF($V1147,IF($AL1147="","",$AL1147),IF($AK1147="","",$AK1147)))),IF(AND(ABS($AC1147-significance_bar)&lt;=2.0*IF($V1147,IF($AL1147="","",$AL1147),IF($AK1147="","",$AK1147)),OR($Y1147="worse",$Y1147="worse, not significant",AND(profit_kind="test",$Y1147="in line",ISNUMBER($AB1147),$AB1147&lt;0))),IF(ROUND($AC1147,3)=ROUND(significance_bar,3),TEXT($AC1147,"0.0000"),TEXT($AC1147,"0.000")),""),"")</f>
        <v/>
      </c>
      <c r="AO1147">
        <f>IF(OR($AI1147="",$AN1147=""),$AI1147,$AI1147&amp;" · borderline (p "&amp;$AN1147&amp;")")</f>
        <v/>
      </c>
    </row>
    <row r="1148">
      <c r="A1148" t="inlineStr">
        <is>
          <t>three-way</t>
        </is>
      </c>
      <c r="B1148" t="inlineStr">
        <is>
          <t>ORIG_BAL x ASSET_CLASS / SYS_FLAG</t>
        </is>
      </c>
      <c r="C1148" t="inlineStr">
        <is>
          <t>15,449 - 26,323</t>
        </is>
      </c>
      <c r="D1148" t="inlineStr">
        <is>
          <t>3 / SYS_FLAG Y</t>
        </is>
      </c>
      <c r="E1148" t="inlineStr">
        <is>
          <t>contribution_rate</t>
        </is>
      </c>
      <c r="F1148" t="inlineStr">
        <is>
          <t>Contribution before losses per booked dollar</t>
        </is>
      </c>
      <c r="G1148" t="n">
        <v>193</v>
      </c>
      <c r="H1148" t="n">
        <v>3985290.119999999</v>
      </c>
      <c r="I1148" t="b">
        <v>0</v>
      </c>
      <c r="J1148" t="b">
        <v>0</v>
      </c>
      <c r="K1148" t="n">
        <v>-0.001482971112379494</v>
      </c>
      <c r="L1148" t="n">
        <v>0.9955004499550044</v>
      </c>
      <c r="M1148" t="n">
        <v>-0.004641133670809178</v>
      </c>
      <c r="N1148" t="n">
        <v>0.892759208927592</v>
      </c>
      <c r="O1148" t="n">
        <v>5910.070122411358</v>
      </c>
      <c r="P1148" t="n">
        <v>18496.26416387514</v>
      </c>
      <c r="Q1148">
        <f>'_live'!$C$24</f>
        <v/>
      </c>
      <c r="R1148" t="inlineStr">
        <is>
          <t>shuffled: 8,798 of 10,000</t>
        </is>
      </c>
      <c r="S1148" t="inlineStr">
        <is>
          <t>shuffled: 6,273 of 10,000</t>
        </is>
      </c>
      <c r="T1148" t="n">
        <v>0.1696153604301238</v>
      </c>
      <c r="U1148" t="n">
        <v>0.1727735229885535</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0.1681323893177444</v>
      </c>
      <c r="AI1148">
        <f>IF($Y1148="worse","Yes",IF($Y1148="worse, not significant","Not sure",IF(OR($Y1148="too few losses to test",$Y1148="too few loans to test"),"Too few losses",IF($Y1148="","","No"))))</f>
        <v/>
      </c>
      <c r="AJ1148">
        <f>IF($AA1148="yes","Yes",IF($AA1148="","","No"))</f>
        <v/>
      </c>
      <c r="AK1148" t="n">
        <v>0.0006692760338147521</v>
      </c>
      <c r="AL1148" t="n">
        <v>0.005339600821528397</v>
      </c>
      <c r="AM1148">
        <f>IF(AND(ISNUMBER($AC1148),ISNUMBER(IF($V1148,IF($AL1148="","",$AL1148),IF($AK1148="","",$AK1148)))),IF(AND(ABS($AC1148-significance_bar)&lt;=2.0*IF($V1148,IF($AL1148="","",$AL1148),IF($AK1148="","",$AK1148)),OR($Y1148="worse",$Y1148="better",$Y1148="worse, not significant",$Y1148="better, not significant",AND(profit_kind="test",$Y1148="in line",ISNUMBER($AB1148),$AB1148&lt;&gt;0))),IF(ROUND($AC1148,3)=ROUND(significance_bar,3),TEXT($AC1148,"0.0000"),TEXT($AC1148,"0.000")),""),"")</f>
        <v/>
      </c>
      <c r="AN1148">
        <f>IF(AND(ISNUMBER($AC1148),ISNUMBER(IF($V1148,IF($AL1148="","",$AL1148),IF($AK1148="","",$AK1148)))),IF(AND(ABS($AC1148-significance_bar)&lt;=2.0*IF($V1148,IF($AL1148="","",$AL1148),IF($AK1148="","",$AK1148)),OR($Y1148="worse",$Y1148="worse, not significant",AND(profit_kind="test",$Y1148="in line",ISNUMBER($AB1148),$AB1148&lt;0))),IF(ROUND($AC1148,3)=ROUND(significance_bar,3),TEXT($AC1148,"0.0000"),TEXT($AC1148,"0.000")),""),"")</f>
        <v/>
      </c>
      <c r="AO1148">
        <f>IF(OR($AI1148="",$AN1148=""),$AI1148,$AI1148&amp;" · borderline (p "&amp;$AN1148&amp;")")</f>
        <v/>
      </c>
    </row>
    <row r="1149">
      <c r="A1149" t="inlineStr">
        <is>
          <t>three-way</t>
        </is>
      </c>
      <c r="B1149" t="inlineStr">
        <is>
          <t>ORIG_BAL x ASSET_CLASS / SYS_FLAG</t>
        </is>
      </c>
      <c r="C1149" t="inlineStr">
        <is>
          <t>37,951 - 49,151</t>
        </is>
      </c>
      <c r="D1149" t="inlineStr">
        <is>
          <t>4 / SYS_FLAG Y</t>
        </is>
      </c>
      <c r="E1149" t="inlineStr">
        <is>
          <t>outcome_loans</t>
        </is>
      </c>
      <c r="F1149" t="inlineStr">
        <is>
          <t>Outcome, share of loans</t>
        </is>
      </c>
      <c r="G1149" t="n">
        <v>189</v>
      </c>
      <c r="H1149" t="n">
        <v>189</v>
      </c>
      <c r="I1149" t="b">
        <v>0</v>
      </c>
      <c r="J1149" t="b">
        <v>0</v>
      </c>
      <c r="K1149" t="n">
        <v>2.476534753932014</v>
      </c>
      <c r="L1149" t="n">
        <v>6.357829022126986e-07</v>
      </c>
      <c r="M1149" t="n">
        <v>2.639356528245417</v>
      </c>
      <c r="N1149" t="n">
        <v>2.653689865210655e-06</v>
      </c>
      <c r="O1149" t="n">
        <v>20.8673495518566</v>
      </c>
      <c r="P1149" t="n">
        <v>21.73919206236712</v>
      </c>
      <c r="Q1149">
        <f>'_live'!$C$20</f>
        <v/>
      </c>
      <c r="R1149" t="inlineStr">
        <is>
          <t>z test</t>
        </is>
      </c>
      <c r="S1149" t="inlineStr">
        <is>
          <t>z test</t>
        </is>
      </c>
      <c r="T1149" t="n">
        <v>0.07477592829705505</v>
      </c>
      <c r="U1149" t="n">
        <v>0.07016300496102056</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0.1851851851851852</v>
      </c>
      <c r="AI1149">
        <f>IF($Y1149="worse","Yes",IF($Y1149="worse, not significant","Not sure",IF(OR($Y1149="too few losses to test",$Y1149="too few loans to test"),"Too few losses",IF($Y1149="","","No"))))</f>
        <v/>
      </c>
      <c r="AJ1149">
        <f>IF($AA1149="yes","Yes",IF($AA1149="","","No"))</f>
        <v/>
      </c>
      <c r="AM1149">
        <f>IF(AND(ISNUMBER($AC1149),ISNUMBER(IF($V1149,IF($AL1149="","",$AL1149),IF($AK1149="","",$AK1149)))),IF(AND(ABS($AC1149-significance_bar)&lt;=2.0*IF($V1149,IF($AL1149="","",$AL1149),IF($AK1149="","",$AK1149)),OR($Y1149="worse",$Y1149="better",$Y1149="worse, not significant",$Y1149="better, not significant")),IF(ROUND($AC1149,3)=ROUND(significance_bar,3),TEXT($AC1149,"0.0000"),TEXT($AC1149,"0.000")),""),"")</f>
        <v/>
      </c>
      <c r="AN1149">
        <f>IF(AND(ISNUMBER($AC1149),ISNUMBER(IF($V1149,IF($AL1149="","",$AL1149),IF($AK1149="","",$AK1149)))),IF(AND(ABS($AC1149-significance_bar)&lt;=2.0*IF($V1149,IF($AL1149="","",$AL1149),IF($AK1149="","",$AK1149)),OR($Y1149="worse",$Y1149="worse, not significant")),IF(ROUND($AC1149,3)=ROUND(significance_bar,3),TEXT($AC1149,"0.0000"),TEXT($AC1149,"0.000")),""),"")</f>
        <v/>
      </c>
      <c r="AO1149">
        <f>IF(OR($AI1149="",$AN1149=""),$AI1149,$AI1149&amp;" · borderline (p "&amp;$AN1149&amp;")")</f>
        <v/>
      </c>
    </row>
    <row r="1150">
      <c r="A1150" t="inlineStr">
        <is>
          <t>three-way</t>
        </is>
      </c>
      <c r="B1150" t="inlineStr">
        <is>
          <t>ORIG_BAL x ASSET_CLASS / SYS_FLAG</t>
        </is>
      </c>
      <c r="C1150" t="inlineStr">
        <is>
          <t>37,951 - 49,151</t>
        </is>
      </c>
      <c r="D1150" t="inlineStr">
        <is>
          <t>4 / SYS_FLAG Y</t>
        </is>
      </c>
      <c r="E1150" t="inlineStr">
        <is>
          <t>outcome_booked</t>
        </is>
      </c>
      <c r="F1150" t="inlineStr">
        <is>
          <t>Outcome, share of booked dollars</t>
        </is>
      </c>
      <c r="G1150" t="n">
        <v>189</v>
      </c>
      <c r="H1150" t="n">
        <v>8270091.930000002</v>
      </c>
      <c r="I1150" t="b">
        <v>0</v>
      </c>
      <c r="J1150" t="b">
        <v>0</v>
      </c>
      <c r="K1150" t="n">
        <v>2.566531029492343</v>
      </c>
      <c r="L1150" t="n">
        <v>0.0031996800319968</v>
      </c>
      <c r="M1150" t="n">
        <v>2.625323221864709</v>
      </c>
      <c r="N1150" t="n">
        <v>0.0031996800319968</v>
      </c>
      <c r="O1150" t="n">
        <v>923087.8093432924</v>
      </c>
      <c r="P1150" t="n">
        <v>936283.7662672454</v>
      </c>
      <c r="Q1150">
        <f>'_live'!$C$21</f>
        <v/>
      </c>
      <c r="R1150" t="inlineStr">
        <is>
          <t>shuffled: 0 of 10,000</t>
        </is>
      </c>
      <c r="S1150" t="inlineStr">
        <is>
          <t>shuffled: 0 of 10,000</t>
        </is>
      </c>
      <c r="T1150" t="n">
        <v>0.07125144504369582</v>
      </c>
      <c r="U1150" t="n">
        <v>0.06965582107292903</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0.1828690446008137</v>
      </c>
      <c r="AI1150">
        <f>IF($Y1150="worse","Yes",IF($Y1150="worse, not significant","Not sure",IF(OR($Y1150="too few losses to test",$Y1150="too few loans to test"),"Too few losses",IF($Y1150="","","No"))))</f>
        <v/>
      </c>
      <c r="AJ1150">
        <f>IF($AA1150="yes","Yes",IF($AA1150="","","No"))</f>
        <v/>
      </c>
      <c r="AK1150" t="n">
        <v>0.0031996800319968</v>
      </c>
      <c r="AL1150" t="n">
        <v>0.0031996800319968</v>
      </c>
      <c r="AM1150">
        <f>IF(AND(ISNUMBER($AC1150),ISNUMBER(IF($V1150,IF($AL1150="","",$AL1150),IF($AK1150="","",$AK1150)))),IF(AND(ABS($AC1150-significance_bar)&lt;=2.0*IF($V1150,IF($AL1150="","",$AL1150),IF($AK1150="","",$AK1150)),OR($Y1150="worse",$Y1150="better",$Y1150="worse, not significant",$Y1150="better, not significant")),IF(ROUND($AC1150,3)=ROUND(significance_bar,3),TEXT($AC1150,"0.0000"),TEXT($AC1150,"0.000")),""),"")</f>
        <v/>
      </c>
      <c r="AN1150">
        <f>IF(AND(ISNUMBER($AC1150),ISNUMBER(IF($V1150,IF($AL1150="","",$AL1150),IF($AK1150="","",$AK1150)))),IF(AND(ABS($AC1150-significance_bar)&lt;=2.0*IF($V1150,IF($AL1150="","",$AL1150),IF($AK1150="","",$AK1150)),OR($Y1150="worse",$Y1150="worse, not significant")),IF(ROUND($AC1150,3)=ROUND(significance_bar,3),TEXT($AC1150,"0.0000"),TEXT($AC1150,"0.000")),""),"")</f>
        <v/>
      </c>
      <c r="AO1150">
        <f>IF(OR($AI1150="",$AN1150=""),$AI1150,$AI1150&amp;" · borderline (p "&amp;$AN1150&amp;")")</f>
        <v/>
      </c>
    </row>
    <row r="1151">
      <c r="A1151" t="inlineStr">
        <is>
          <t>three-way</t>
        </is>
      </c>
      <c r="B1151" t="inlineStr">
        <is>
          <t>ORIG_BAL x ASSET_CLASS / SYS_FLAG</t>
        </is>
      </c>
      <c r="C1151" t="inlineStr">
        <is>
          <t>37,951 - 49,151</t>
        </is>
      </c>
      <c r="D1151" t="inlineStr">
        <is>
          <t>4 / SYS_FLAG Y</t>
        </is>
      </c>
      <c r="E1151" t="inlineStr">
        <is>
          <t>gco_rate</t>
        </is>
      </c>
      <c r="F1151" t="inlineStr">
        <is>
          <t>GCO per booked dollar</t>
        </is>
      </c>
      <c r="G1151" t="n">
        <v>189</v>
      </c>
      <c r="H1151" t="n">
        <v>8270091.930000002</v>
      </c>
      <c r="I1151" t="b">
        <v>0</v>
      </c>
      <c r="J1151" t="b">
        <v>0</v>
      </c>
      <c r="K1151" t="n">
        <v>2.610712931214735</v>
      </c>
      <c r="L1151" t="n">
        <v>0.006399360063993601</v>
      </c>
      <c r="M1151" t="n">
        <v>2.638146011255898</v>
      </c>
      <c r="N1151" t="n">
        <v>0.0031996800319968</v>
      </c>
      <c r="O1151" t="n">
        <v>527006.366676635</v>
      </c>
      <c r="P1151" t="n">
        <v>530408.6733639764</v>
      </c>
      <c r="Q1151">
        <f>'_live'!$C$22</f>
        <v/>
      </c>
      <c r="R1151" t="inlineStr">
        <is>
          <t>shuffled: 1 of 10,000</t>
        </is>
      </c>
      <c r="S1151" t="inlineStr">
        <is>
          <t>shuffled: 0 of 10,000</t>
        </is>
      </c>
      <c r="T1151" t="n">
        <v>0.0395628326858713</v>
      </c>
      <c r="U1151" t="n">
        <v>0.03915143379017107</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0.1032871988884892</v>
      </c>
      <c r="AI1151">
        <f>IF($Y1151="worse","Yes",IF($Y1151="worse, not significant","Not sure",IF(OR($Y1151="too few losses to test",$Y1151="too few loans to test"),"Too few losses",IF($Y1151="","","No"))))</f>
        <v/>
      </c>
      <c r="AJ1151">
        <f>IF($AA1151="yes","Yes",IF($AA1151="","","No"))</f>
        <v/>
      </c>
      <c r="AK1151" t="n">
        <v>0.004524804639302858</v>
      </c>
      <c r="AL1151" t="n">
        <v>0.0031996800319968</v>
      </c>
      <c r="AM1151">
        <f>IF(AND(ISNUMBER($AC1151),ISNUMBER(IF($V1151,IF($AL1151="","",$AL1151),IF($AK1151="","",$AK1151)))),IF(AND(ABS($AC1151-significance_bar)&lt;=2.0*IF($V1151,IF($AL1151="","",$AL1151),IF($AK1151="","",$AK1151)),OR($Y1151="worse",$Y1151="better",$Y1151="worse, not significant",$Y1151="better, not significant")),IF(ROUND($AC1151,3)=ROUND(significance_bar,3),TEXT($AC1151,"0.0000"),TEXT($AC1151,"0.000")),""),"")</f>
        <v/>
      </c>
      <c r="AN1151">
        <f>IF(AND(ISNUMBER($AC1151),ISNUMBER(IF($V1151,IF($AL1151="","",$AL1151),IF($AK1151="","",$AK1151)))),IF(AND(ABS($AC1151-significance_bar)&lt;=2.0*IF($V1151,IF($AL1151="","",$AL1151),IF($AK1151="","",$AK1151)),OR($Y1151="worse",$Y1151="worse, not significant")),IF(ROUND($AC1151,3)=ROUND(significance_bar,3),TEXT($AC1151,"0.0000"),TEXT($AC1151,"0.000")),""),"")</f>
        <v/>
      </c>
      <c r="AO1151">
        <f>IF(OR($AI1151="",$AN1151=""),$AI1151,$AI1151&amp;" · borderline (p "&amp;$AN1151&amp;")")</f>
        <v/>
      </c>
    </row>
    <row r="1152">
      <c r="A1152" t="inlineStr">
        <is>
          <t>three-way</t>
        </is>
      </c>
      <c r="B1152" t="inlineStr">
        <is>
          <t>ORIG_BAL x ASSET_CLASS / SYS_FLAG</t>
        </is>
      </c>
      <c r="C1152" t="inlineStr">
        <is>
          <t>37,951 - 49,151</t>
        </is>
      </c>
      <c r="D1152" t="inlineStr">
        <is>
          <t>4 / SYS_FLAG Y</t>
        </is>
      </c>
      <c r="E1152" t="inlineStr">
        <is>
          <t>ranr_rate</t>
        </is>
      </c>
      <c r="F1152" t="inlineStr">
        <is>
          <t>Profit after losses: RANR per booked dollar</t>
        </is>
      </c>
      <c r="G1152" t="n">
        <v>189</v>
      </c>
      <c r="H1152" t="n">
        <v>8270091.930000002</v>
      </c>
      <c r="I1152" t="b">
        <v>0</v>
      </c>
      <c r="J1152" t="b">
        <v>0</v>
      </c>
      <c r="K1152" t="n">
        <v>-0.06720113989218381</v>
      </c>
      <c r="L1152" t="n">
        <v>0.003999600039996</v>
      </c>
      <c r="M1152" t="n">
        <v>-0.06749470168143108</v>
      </c>
      <c r="N1152" t="n">
        <v>0.003999600039996</v>
      </c>
      <c r="O1152" t="n">
        <v>555759.6047091505</v>
      </c>
      <c r="P1152" t="n">
        <v>558187.3876933607</v>
      </c>
      <c r="Q1152">
        <f>'_live'!$C$23</f>
        <v/>
      </c>
      <c r="R1152" t="inlineStr">
        <is>
          <t>shuffled: 0 of 10,000</t>
        </is>
      </c>
      <c r="S1152" t="inlineStr">
        <is>
          <t>shuffled: 0 of 10,000</t>
        </is>
      </c>
      <c r="T1152" t="n">
        <v>0.1301435853215661</v>
      </c>
      <c r="U1152" t="n">
        <v>0.1304371471108134</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0.06294244542938228</v>
      </c>
      <c r="AI1152">
        <f>IF($Y1152="worse","Yes",IF($Y1152="worse, not significant","Not sure",IF(OR($Y1152="too few losses to test",$Y1152="too few loans to test"),"Too few losses",IF($Y1152="","","No"))))</f>
        <v/>
      </c>
      <c r="AJ1152">
        <f>IF($AA1152="yes","Yes",IF($AA1152="","","No"))</f>
        <v/>
      </c>
      <c r="AK1152" t="n">
        <v>0.003999600039996</v>
      </c>
      <c r="AL1152" t="n">
        <v>0.003999600039996</v>
      </c>
      <c r="AM1152">
        <f>IF(AND(ISNUMBER($AC1152),ISNUMBER(IF($V1152,IF($AL1152="","",$AL1152),IF($AK1152="","",$AK1152)))),IF(AND(ABS($AC1152-significance_bar)&lt;=2.0*IF($V1152,IF($AL1152="","",$AL1152),IF($AK1152="","",$AK1152)),OR($Y1152="worse",$Y1152="better",$Y1152="worse, not significant",$Y1152="better, not significant",AND(profit_kind="test",$Y1152="in line",ISNUMBER($AB1152),$AB1152&lt;&gt;0))),IF(ROUND($AC1152,3)=ROUND(significance_bar,3),TEXT($AC1152,"0.0000"),TEXT($AC1152,"0.000")),""),"")</f>
        <v/>
      </c>
      <c r="AN1152">
        <f>IF(AND(ISNUMBER($AC1152),ISNUMBER(IF($V1152,IF($AL1152="","",$AL1152),IF($AK1152="","",$AK1152)))),IF(AND(ABS($AC1152-significance_bar)&lt;=2.0*IF($V1152,IF($AL1152="","",$AL1152),IF($AK1152="","",$AK1152)),OR($Y1152="worse",$Y1152="worse, not significant",AND(profit_kind="test",$Y1152="in line",ISNUMBER($AB1152),$AB1152&lt;0))),IF(ROUND($AC1152,3)=ROUND(significance_bar,3),TEXT($AC1152,"0.0000"),TEXT($AC1152,"0.000")),""),"")</f>
        <v/>
      </c>
      <c r="AO1152">
        <f>IF(OR($AI1152="",$AN1152=""),$AI1152,$AI1152&amp;" · borderline (p "&amp;$AN1152&amp;")")</f>
        <v/>
      </c>
    </row>
    <row r="1153">
      <c r="A1153" t="inlineStr">
        <is>
          <t>three-way</t>
        </is>
      </c>
      <c r="B1153" t="inlineStr">
        <is>
          <t>ORIG_BAL x ASSET_CLASS / SYS_FLAG</t>
        </is>
      </c>
      <c r="C1153" t="inlineStr">
        <is>
          <t>37,951 - 49,151</t>
        </is>
      </c>
      <c r="D1153" t="inlineStr">
        <is>
          <t>4 / SYS_FLAG Y</t>
        </is>
      </c>
      <c r="E1153" t="inlineStr">
        <is>
          <t>contribution_rate</t>
        </is>
      </c>
      <c r="F1153" t="inlineStr">
        <is>
          <t>Contribution before losses per booked dollar</t>
        </is>
      </c>
      <c r="G1153" t="n">
        <v>189</v>
      </c>
      <c r="H1153" t="n">
        <v>8270091.930000002</v>
      </c>
      <c r="I1153" t="b">
        <v>0</v>
      </c>
      <c r="J1153" t="b">
        <v>0</v>
      </c>
      <c r="K1153" t="n">
        <v>-0.003474161944398979</v>
      </c>
      <c r="L1153" t="n">
        <v>0.9955004499550044</v>
      </c>
      <c r="M1153" t="n">
        <v>-0.003348500418122402</v>
      </c>
      <c r="N1153" t="n">
        <v>0.892759208927592</v>
      </c>
      <c r="O1153" t="n">
        <v>28731.63865988702</v>
      </c>
      <c r="P1153" t="n">
        <v>27692.40628551552</v>
      </c>
      <c r="Q1153">
        <f>'_live'!$C$24</f>
        <v/>
      </c>
      <c r="R1153" t="inlineStr">
        <is>
          <t>shuffled: 7,214 of 10,000</t>
        </is>
      </c>
      <c r="S1153" t="inlineStr">
        <is>
          <t>shuffled: 7,207 of 10,000</t>
        </is>
      </c>
      <c r="T1153" t="n">
        <v>0.1697038062622705</v>
      </c>
      <c r="U1153" t="n">
        <v>0.1695781447359939</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0.1662296443178715</v>
      </c>
      <c r="AI1153">
        <f>IF($Y1153="worse","Yes",IF($Y1153="worse, not significant","Not sure",IF(OR($Y1153="too few losses to test",$Y1153="too few loans to test"),"Too few losses",IF($Y1153="","","No"))))</f>
        <v/>
      </c>
      <c r="AJ1153">
        <f>IF($AA1153="yes","Yes",IF($AA1153="","","No"))</f>
        <v/>
      </c>
      <c r="AK1153" t="n">
        <v>0.0006692760338147521</v>
      </c>
      <c r="AL1153" t="n">
        <v>0.005339600821528397</v>
      </c>
      <c r="AM1153">
        <f>IF(AND(ISNUMBER($AC1153),ISNUMBER(IF($V1153,IF($AL1153="","",$AL1153),IF($AK1153="","",$AK1153)))),IF(AND(ABS($AC1153-significance_bar)&lt;=2.0*IF($V1153,IF($AL1153="","",$AL1153),IF($AK1153="","",$AK1153)),OR($Y1153="worse",$Y1153="better",$Y1153="worse, not significant",$Y1153="better, not significant",AND(profit_kind="test",$Y1153="in line",ISNUMBER($AB1153),$AB1153&lt;&gt;0))),IF(ROUND($AC1153,3)=ROUND(significance_bar,3),TEXT($AC1153,"0.0000"),TEXT($AC1153,"0.000")),""),"")</f>
        <v/>
      </c>
      <c r="AN1153">
        <f>IF(AND(ISNUMBER($AC1153),ISNUMBER(IF($V1153,IF($AL1153="","",$AL1153),IF($AK1153="","",$AK1153)))),IF(AND(ABS($AC1153-significance_bar)&lt;=2.0*IF($V1153,IF($AL1153="","",$AL1153),IF($AK1153="","",$AK1153)),OR($Y1153="worse",$Y1153="worse, not significant",AND(profit_kind="test",$Y1153="in line",ISNUMBER($AB1153),$AB1153&lt;0))),IF(ROUND($AC1153,3)=ROUND(significance_bar,3),TEXT($AC1153,"0.0000"),TEXT($AC1153,"0.000")),""),"")</f>
        <v/>
      </c>
      <c r="AO1153">
        <f>IF(OR($AI1153="",$AN1153=""),$AI1153,$AI1153&amp;" · borderline (p "&amp;$AN1153&amp;")")</f>
        <v/>
      </c>
    </row>
    <row r="1154">
      <c r="A1154" t="inlineStr">
        <is>
          <t>three-way</t>
        </is>
      </c>
      <c r="B1154" t="inlineStr">
        <is>
          <t>ORIG_BAL x ASSET_CLASS / SYS_FLAG</t>
        </is>
      </c>
      <c r="C1154" t="inlineStr">
        <is>
          <t>49,152 - 59,984</t>
        </is>
      </c>
      <c r="D1154" t="inlineStr">
        <is>
          <t>4 / SYS_FLAG Y</t>
        </is>
      </c>
      <c r="E1154" t="inlineStr">
        <is>
          <t>outcome_loans</t>
        </is>
      </c>
      <c r="F1154" t="inlineStr">
        <is>
          <t>Outcome, share of loans</t>
        </is>
      </c>
      <c r="G1154" t="n">
        <v>171</v>
      </c>
      <c r="H1154" t="n">
        <v>171</v>
      </c>
      <c r="I1154" t="b">
        <v>0</v>
      </c>
      <c r="J1154" t="b">
        <v>0</v>
      </c>
      <c r="K1154" t="n">
        <v>1.607580824972129</v>
      </c>
      <c r="L1154" t="n">
        <v>0.1636195378737033</v>
      </c>
      <c r="M1154" t="n">
        <v>2.140136927685066</v>
      </c>
      <c r="N1154" t="n">
        <v>0.01363633880561689</v>
      </c>
      <c r="O1154" t="n">
        <v>7.936893203883495</v>
      </c>
      <c r="P1154" t="n">
        <v>11.18754373687894</v>
      </c>
      <c r="Q1154">
        <f>'_live'!$C$20</f>
        <v/>
      </c>
      <c r="R1154" t="inlineStr">
        <is>
          <t>z test</t>
        </is>
      </c>
      <c r="S1154" t="inlineStr">
        <is>
          <t>z test</t>
        </is>
      </c>
      <c r="T1154" t="n">
        <v>0.07639243740419009</v>
      </c>
      <c r="U1154" t="n">
        <v>0.05738278516445067</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0.1228070175438596</v>
      </c>
      <c r="AI1154">
        <f>IF($Y1154="worse","Yes",IF($Y1154="worse, not significant","Not sure",IF(OR($Y1154="too few losses to test",$Y1154="too few loans to test"),"Too few losses",IF($Y1154="","","No"))))</f>
        <v/>
      </c>
      <c r="AJ1154">
        <f>IF($AA1154="yes","Yes",IF($AA1154="","","No"))</f>
        <v/>
      </c>
      <c r="AM1154">
        <f>IF(AND(ISNUMBER($AC1154),ISNUMBER(IF($V1154,IF($AL1154="","",$AL1154),IF($AK1154="","",$AK1154)))),IF(AND(ABS($AC1154-significance_bar)&lt;=2.0*IF($V1154,IF($AL1154="","",$AL1154),IF($AK1154="","",$AK1154)),OR($Y1154="worse",$Y1154="better",$Y1154="worse, not significant",$Y1154="better, not significant")),IF(ROUND($AC1154,3)=ROUND(significance_bar,3),TEXT($AC1154,"0.0000"),TEXT($AC1154,"0.000")),""),"")</f>
        <v/>
      </c>
      <c r="AN1154">
        <f>IF(AND(ISNUMBER($AC1154),ISNUMBER(IF($V1154,IF($AL1154="","",$AL1154),IF($AK1154="","",$AK1154)))),IF(AND(ABS($AC1154-significance_bar)&lt;=2.0*IF($V1154,IF($AL1154="","",$AL1154),IF($AK1154="","",$AK1154)),OR($Y1154="worse",$Y1154="worse, not significant")),IF(ROUND($AC1154,3)=ROUND(significance_bar,3),TEXT($AC1154,"0.0000"),TEXT($AC1154,"0.000")),""),"")</f>
        <v/>
      </c>
      <c r="AO1154">
        <f>IF(OR($AI1154="",$AN1154=""),$AI1154,$AI1154&amp;" · borderline (p "&amp;$AN1154&amp;")")</f>
        <v/>
      </c>
    </row>
    <row r="1155">
      <c r="A1155" t="inlineStr">
        <is>
          <t>three-way</t>
        </is>
      </c>
      <c r="B1155" t="inlineStr">
        <is>
          <t>ORIG_BAL x ASSET_CLASS / SYS_FLAG</t>
        </is>
      </c>
      <c r="C1155" t="inlineStr">
        <is>
          <t>49,152 - 59,984</t>
        </is>
      </c>
      <c r="D1155" t="inlineStr">
        <is>
          <t>4 / SYS_FLAG Y</t>
        </is>
      </c>
      <c r="E1155" t="inlineStr">
        <is>
          <t>outcome_booked</t>
        </is>
      </c>
      <c r="F1155" t="inlineStr">
        <is>
          <t>Outcome, share of booked dollars</t>
        </is>
      </c>
      <c r="G1155" t="n">
        <v>171</v>
      </c>
      <c r="H1155" t="n">
        <v>9348926.53999999</v>
      </c>
      <c r="I1155" t="b">
        <v>0</v>
      </c>
      <c r="J1155" t="b">
        <v>0</v>
      </c>
      <c r="K1155" t="n">
        <v>1.693414488021375</v>
      </c>
      <c r="L1155" t="n">
        <v>0.2349479337780508</v>
      </c>
      <c r="M1155" t="n">
        <v>2.143010554692026</v>
      </c>
      <c r="N1155" t="n">
        <v>0.0330633603306336</v>
      </c>
      <c r="O1155" t="n">
        <v>473203.1232033658</v>
      </c>
      <c r="P1155" t="n">
        <v>616373.4063992162</v>
      </c>
      <c r="Q1155">
        <f>'_live'!$C$21</f>
        <v/>
      </c>
      <c r="R1155" t="inlineStr">
        <is>
          <t>shuffled: 248 of 10,000</t>
        </is>
      </c>
      <c r="S1155" t="inlineStr">
        <is>
          <t>shuffled: 20 of 10,000</t>
        </is>
      </c>
      <c r="T1155" t="n">
        <v>0.07299497154853406</v>
      </c>
      <c r="U1155" t="n">
        <v>0.0576808836066418</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0.1236107423729956</v>
      </c>
      <c r="AI1155">
        <f>IF($Y1155="worse","Yes",IF($Y1155="worse, not significant","Not sure",IF(OR($Y1155="too few losses to test",$Y1155="too few loans to test"),"Too few losses",IF($Y1155="","","No"))))</f>
        <v/>
      </c>
      <c r="AJ1155">
        <f>IF($AA1155="yes","Yes",IF($AA1155="","","No"))</f>
        <v/>
      </c>
      <c r="AK1155" t="n">
        <v>0.01009379594446269</v>
      </c>
      <c r="AL1155" t="n">
        <v>0.005929440595287258</v>
      </c>
      <c r="AM1155">
        <f>IF(AND(ISNUMBER($AC1155),ISNUMBER(IF($V1155,IF($AL1155="","",$AL1155),IF($AK1155="","",$AK1155)))),IF(AND(ABS($AC1155-significance_bar)&lt;=2.0*IF($V1155,IF($AL1155="","",$AL1155),IF($AK1155="","",$AK1155)),OR($Y1155="worse",$Y1155="better",$Y1155="worse, not significant",$Y1155="better, not significant")),IF(ROUND($AC1155,3)=ROUND(significance_bar,3),TEXT($AC1155,"0.0000"),TEXT($AC1155,"0.000")),""),"")</f>
        <v/>
      </c>
      <c r="AN1155">
        <f>IF(AND(ISNUMBER($AC1155),ISNUMBER(IF($V1155,IF($AL1155="","",$AL1155),IF($AK1155="","",$AK1155)))),IF(AND(ABS($AC1155-significance_bar)&lt;=2.0*IF($V1155,IF($AL1155="","",$AL1155),IF($AK1155="","",$AK1155)),OR($Y1155="worse",$Y1155="worse, not significant")),IF(ROUND($AC1155,3)=ROUND(significance_bar,3),TEXT($AC1155,"0.0000"),TEXT($AC1155,"0.000")),""),"")</f>
        <v/>
      </c>
      <c r="AO1155">
        <f>IF(OR($AI1155="",$AN1155=""),$AI1155,$AI1155&amp;" · borderline (p "&amp;$AN1155&amp;")")</f>
        <v/>
      </c>
    </row>
    <row r="1156">
      <c r="A1156" t="inlineStr">
        <is>
          <t>three-way</t>
        </is>
      </c>
      <c r="B1156" t="inlineStr">
        <is>
          <t>ORIG_BAL x ASSET_CLASS / SYS_FLAG</t>
        </is>
      </c>
      <c r="C1156" t="inlineStr">
        <is>
          <t>49,152 - 59,984</t>
        </is>
      </c>
      <c r="D1156" t="inlineStr">
        <is>
          <t>4 / SYS_FLAG Y</t>
        </is>
      </c>
      <c r="E1156" t="inlineStr">
        <is>
          <t>gco_rate</t>
        </is>
      </c>
      <c r="F1156" t="inlineStr">
        <is>
          <t>GCO per booked dollar</t>
        </is>
      </c>
      <c r="G1156" t="n">
        <v>171</v>
      </c>
      <c r="H1156" t="n">
        <v>9348926.53999999</v>
      </c>
      <c r="I1156" t="b">
        <v>0</v>
      </c>
      <c r="J1156" t="b">
        <v>0</v>
      </c>
      <c r="K1156" t="n">
        <v>1.629682136019076</v>
      </c>
      <c r="L1156" t="n">
        <v>0.193980601939806</v>
      </c>
      <c r="M1156" t="n">
        <v>2.080077010763459</v>
      </c>
      <c r="N1156" t="n">
        <v>0.0437289604372896</v>
      </c>
      <c r="O1156" t="n">
        <v>239460.8112366074</v>
      </c>
      <c r="P1156" t="n">
        <v>321803.8902867982</v>
      </c>
      <c r="Q1156">
        <f>'_live'!$C$22</f>
        <v/>
      </c>
      <c r="R1156" t="inlineStr">
        <is>
          <t>shuffled: 443 of 10,000</t>
        </is>
      </c>
      <c r="S1156" t="inlineStr">
        <is>
          <t>shuffled: 28 of 10,000</t>
        </is>
      </c>
      <c r="T1156" t="n">
        <v>0.04067722611107319</v>
      </c>
      <c r="U1156" t="n">
        <v>0.03186946848265664</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0.0662909487360247</v>
      </c>
      <c r="AI1156">
        <f>IF($Y1156="worse","Yes",IF($Y1156="worse, not significant","Not sure",IF(OR($Y1156="too few losses to test",$Y1156="too few loans to test"),"Too few losses",IF($Y1156="","","No"))))</f>
        <v/>
      </c>
      <c r="AJ1156">
        <f>IF($AA1156="yes","Yes",IF($AA1156="","","No"))</f>
        <v/>
      </c>
      <c r="AK1156" t="n">
        <v>0.008592403236756843</v>
      </c>
      <c r="AL1156" t="n">
        <v>0.006815643936441343</v>
      </c>
      <c r="AM1156">
        <f>IF(AND(ISNUMBER($AC1156),ISNUMBER(IF($V1156,IF($AL1156="","",$AL1156),IF($AK1156="","",$AK1156)))),IF(AND(ABS($AC1156-significance_bar)&lt;=2.0*IF($V1156,IF($AL1156="","",$AL1156),IF($AK1156="","",$AK1156)),OR($Y1156="worse",$Y1156="better",$Y1156="worse, not significant",$Y1156="better, not significant")),IF(ROUND($AC1156,3)=ROUND(significance_bar,3),TEXT($AC1156,"0.0000"),TEXT($AC1156,"0.000")),""),"")</f>
        <v/>
      </c>
      <c r="AN1156">
        <f>IF(AND(ISNUMBER($AC1156),ISNUMBER(IF($V1156,IF($AL1156="","",$AL1156),IF($AK1156="","",$AK1156)))),IF(AND(ABS($AC1156-significance_bar)&lt;=2.0*IF($V1156,IF($AL1156="","",$AL1156),IF($AK1156="","",$AK1156)),OR($Y1156="worse",$Y1156="worse, not significant")),IF(ROUND($AC1156,3)=ROUND(significance_bar,3),TEXT($AC1156,"0.0000"),TEXT($AC1156,"0.000")),""),"")</f>
        <v/>
      </c>
      <c r="AO1156">
        <f>IF(OR($AI1156="",$AN1156=""),$AI1156,$AI1156&amp;" · borderline (p "&amp;$AN1156&amp;")")</f>
        <v/>
      </c>
    </row>
    <row r="1157">
      <c r="A1157" t="inlineStr">
        <is>
          <t>three-way</t>
        </is>
      </c>
      <c r="B1157" t="inlineStr">
        <is>
          <t>ORIG_BAL x ASSET_CLASS / SYS_FLAG</t>
        </is>
      </c>
      <c r="C1157" t="inlineStr">
        <is>
          <t>49,152 - 59,984</t>
        </is>
      </c>
      <c r="D1157" t="inlineStr">
        <is>
          <t>4 / SYS_FLAG Y</t>
        </is>
      </c>
      <c r="E1157" t="inlineStr">
        <is>
          <t>ranr_rate</t>
        </is>
      </c>
      <c r="F1157" t="inlineStr">
        <is>
          <t>Profit after losses: RANR per booked dollar</t>
        </is>
      </c>
      <c r="G1157" t="n">
        <v>171</v>
      </c>
      <c r="H1157" t="n">
        <v>9348926.53999999</v>
      </c>
      <c r="I1157" t="b">
        <v>0</v>
      </c>
      <c r="J1157" t="b">
        <v>0</v>
      </c>
      <c r="K1157" t="n">
        <v>-0.02552135968976729</v>
      </c>
      <c r="L1157" t="n">
        <v>0.4431556844315568</v>
      </c>
      <c r="M1157" t="n">
        <v>-0.03026962453343229</v>
      </c>
      <c r="N1157" t="n">
        <v>0.19553600195536</v>
      </c>
      <c r="O1157" t="n">
        <v>238597.3169405515</v>
      </c>
      <c r="P1157" t="n">
        <v>282988.49615644</v>
      </c>
      <c r="Q1157">
        <f>'_live'!$C$23</f>
        <v/>
      </c>
      <c r="R1157" t="inlineStr">
        <is>
          <t>shuffled: 1,022 of 10,000</t>
        </is>
      </c>
      <c r="S1157" t="inlineStr">
        <is>
          <t>shuffled: 323 of 10,000</t>
        </is>
      </c>
      <c r="T1157" t="n">
        <v>0.1289146001718987</v>
      </c>
      <c r="U1157" t="n">
        <v>0.1336628650155637</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0.1033932404821314</v>
      </c>
      <c r="AI1157">
        <f>IF($Y1157="worse","Yes",IF($Y1157="worse, not significant","Not sure",IF(OR($Y1157="too few losses to test",$Y1157="too few loans to test"),"Too few losses",IF($Y1157="","","No"))))</f>
        <v/>
      </c>
      <c r="AJ1157">
        <f>IF($AA1157="yes","Yes",IF($AA1157="","","No"))</f>
        <v/>
      </c>
      <c r="AK1157" t="n">
        <v>0.01255482288637409</v>
      </c>
      <c r="AL1157" t="n">
        <v>0.009114903013848756</v>
      </c>
      <c r="AM1157">
        <f>IF(AND(ISNUMBER($AC1157),ISNUMBER(IF($V1157,IF($AL1157="","",$AL1157),IF($AK1157="","",$AK1157)))),IF(AND(ABS($AC1157-significance_bar)&lt;=2.0*IF($V1157,IF($AL1157="","",$AL1157),IF($AK1157="","",$AK1157)),OR($Y1157="worse",$Y1157="better",$Y1157="worse, not significant",$Y1157="better, not significant",AND(profit_kind="test",$Y1157="in line",ISNUMBER($AB1157),$AB1157&lt;&gt;0))),IF(ROUND($AC1157,3)=ROUND(significance_bar,3),TEXT($AC1157,"0.0000"),TEXT($AC1157,"0.000")),""),"")</f>
        <v/>
      </c>
      <c r="AN1157">
        <f>IF(AND(ISNUMBER($AC1157),ISNUMBER(IF($V1157,IF($AL1157="","",$AL1157),IF($AK1157="","",$AK1157)))),IF(AND(ABS($AC1157-significance_bar)&lt;=2.0*IF($V1157,IF($AL1157="","",$AL1157),IF($AK1157="","",$AK1157)),OR($Y1157="worse",$Y1157="worse, not significant",AND(profit_kind="test",$Y1157="in line",ISNUMBER($AB1157),$AB1157&lt;0))),IF(ROUND($AC1157,3)=ROUND(significance_bar,3),TEXT($AC1157,"0.0000"),TEXT($AC1157,"0.000")),""),"")</f>
        <v/>
      </c>
      <c r="AO1157">
        <f>IF(OR($AI1157="",$AN1157=""),$AI1157,$AI1157&amp;" · borderline (p "&amp;$AN1157&amp;")")</f>
        <v/>
      </c>
    </row>
    <row r="1158">
      <c r="A1158" t="inlineStr">
        <is>
          <t>three-way</t>
        </is>
      </c>
      <c r="B1158" t="inlineStr">
        <is>
          <t>ORIG_BAL x ASSET_CLASS / SYS_FLAG</t>
        </is>
      </c>
      <c r="C1158" t="inlineStr">
        <is>
          <t>49,152 - 59,984</t>
        </is>
      </c>
      <c r="D1158" t="inlineStr">
        <is>
          <t>4 / SYS_FLAG Y</t>
        </is>
      </c>
      <c r="E1158" t="inlineStr">
        <is>
          <t>contribution_rate</t>
        </is>
      </c>
      <c r="F1158" t="inlineStr">
        <is>
          <t>Contribution before losses per booked dollar</t>
        </is>
      </c>
      <c r="G1158" t="n">
        <v>171</v>
      </c>
      <c r="H1158" t="n">
        <v>9348926.53999999</v>
      </c>
      <c r="I1158" t="b">
        <v>0</v>
      </c>
      <c r="J1158" t="b">
        <v>0</v>
      </c>
      <c r="K1158" t="n">
        <v>9.518213270115483e-05</v>
      </c>
      <c r="L1158" t="n">
        <v>0.9955004499550044</v>
      </c>
      <c r="M1158" t="n">
        <v>0.004151855719935676</v>
      </c>
      <c r="N1158" t="n">
        <v>0.892759208927592</v>
      </c>
      <c r="O1158" t="n">
        <v>-889.8507665435318</v>
      </c>
      <c r="P1158" t="n">
        <v>-38815.39413035731</v>
      </c>
      <c r="Q1158">
        <f>'_live'!$C$24</f>
        <v/>
      </c>
      <c r="R1158" t="inlineStr">
        <is>
          <t>shuffled: 9,915 of 10,000</t>
        </is>
      </c>
      <c r="S1158" t="inlineStr">
        <is>
          <t>shuffled: 6,665 of 10,000</t>
        </is>
      </c>
      <c r="T1158" t="n">
        <v>0.1695890070854549</v>
      </c>
      <c r="U1158" t="n">
        <v>0.1655323334982204</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0.1696841892181561</v>
      </c>
      <c r="AI1158">
        <f>IF($Y1158="worse","Yes",IF($Y1158="worse, not significant","Not sure",IF(OR($Y1158="too few losses to test",$Y1158="too few loans to test"),"Too few losses",IF($Y1158="","","No"))))</f>
        <v/>
      </c>
      <c r="AJ1158">
        <f>IF($AA1158="yes","Yes",IF($AA1158="","","No"))</f>
        <v/>
      </c>
      <c r="AK1158" t="n">
        <v>0.0006692760338147521</v>
      </c>
      <c r="AL1158" t="n">
        <v>0.005339600821528397</v>
      </c>
      <c r="AM1158">
        <f>IF(AND(ISNUMBER($AC1158),ISNUMBER(IF($V1158,IF($AL1158="","",$AL1158),IF($AK1158="","",$AK1158)))),IF(AND(ABS($AC1158-significance_bar)&lt;=2.0*IF($V1158,IF($AL1158="","",$AL1158),IF($AK1158="","",$AK1158)),OR($Y1158="worse",$Y1158="better",$Y1158="worse, not significant",$Y1158="better, not significant",AND(profit_kind="test",$Y1158="in line",ISNUMBER($AB1158),$AB1158&lt;&gt;0))),IF(ROUND($AC1158,3)=ROUND(significance_bar,3),TEXT($AC1158,"0.0000"),TEXT($AC1158,"0.000")),""),"")</f>
        <v/>
      </c>
      <c r="AN1158">
        <f>IF(AND(ISNUMBER($AC1158),ISNUMBER(IF($V1158,IF($AL1158="","",$AL1158),IF($AK1158="","",$AK1158)))),IF(AND(ABS($AC1158-significance_bar)&lt;=2.0*IF($V1158,IF($AL1158="","",$AL1158),IF($AK1158="","",$AK1158)),OR($Y1158="worse",$Y1158="worse, not significant",AND(profit_kind="test",$Y1158="in line",ISNUMBER($AB1158),$AB1158&lt;0))),IF(ROUND($AC1158,3)=ROUND(significance_bar,3),TEXT($AC1158,"0.0000"),TEXT($AC1158,"0.000")),""),"")</f>
        <v/>
      </c>
      <c r="AO1158">
        <f>IF(OR($AI1158="",$AN1158=""),$AI1158,$AI1158&amp;" · borderline (p "&amp;$AN1158&amp;")")</f>
        <v/>
      </c>
    </row>
    <row r="1159">
      <c r="A1159" t="inlineStr">
        <is>
          <t>three-way</t>
        </is>
      </c>
      <c r="B1159" t="inlineStr">
        <is>
          <t>ORIG_BAL x ASSET_CLASS / SYS_FLAG</t>
        </is>
      </c>
      <c r="C1159" t="inlineStr">
        <is>
          <t>37,951 - 49,151</t>
        </is>
      </c>
      <c r="D1159" t="inlineStr">
        <is>
          <t>1 / SYS_FLAG Y</t>
        </is>
      </c>
      <c r="E1159" t="inlineStr">
        <is>
          <t>outcome_loans</t>
        </is>
      </c>
      <c r="F1159" t="inlineStr">
        <is>
          <t>Outcome, share of loans</t>
        </is>
      </c>
      <c r="G1159" t="n">
        <v>177</v>
      </c>
      <c r="H1159" t="n">
        <v>177</v>
      </c>
      <c r="I1159" t="b">
        <v>0</v>
      </c>
      <c r="J1159" t="b">
        <v>0</v>
      </c>
      <c r="K1159" t="n">
        <v>1.022626885184666</v>
      </c>
      <c r="L1159" t="n">
        <v>0.9613748538474377</v>
      </c>
      <c r="M1159" t="n">
        <v>0.9379472693032015</v>
      </c>
      <c r="N1159" t="n">
        <v>0.8946811478392365</v>
      </c>
      <c r="O1159" t="n">
        <v>0.3097673229353113</v>
      </c>
      <c r="P1159" t="n">
        <v>-0.9262122276879836</v>
      </c>
      <c r="Q1159">
        <f>'_live'!$C$20</f>
        <v/>
      </c>
      <c r="R1159" t="inlineStr">
        <is>
          <t>z test</t>
        </is>
      </c>
      <c r="S1159" t="inlineStr">
        <is>
          <t>z test</t>
        </is>
      </c>
      <c r="T1159" t="n">
        <v>0.07734594732804909</v>
      </c>
      <c r="U1159" t="n">
        <v>0.08432888264230499</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0.07909604519774012</v>
      </c>
      <c r="AI1159">
        <f>IF($Y1159="worse","Yes",IF($Y1159="worse, not significant","Not sure",IF(OR($Y1159="too few losses to test",$Y1159="too few loans to test"),"Too few losses",IF($Y1159="","","No"))))</f>
        <v/>
      </c>
      <c r="AJ1159">
        <f>IF($AA1159="yes","Yes",IF($AA1159="","","No"))</f>
        <v/>
      </c>
      <c r="AM1159">
        <f>IF(AND(ISNUMBER($AC1159),ISNUMBER(IF($V1159,IF($AL1159="","",$AL1159),IF($AK1159="","",$AK1159)))),IF(AND(ABS($AC1159-significance_bar)&lt;=2.0*IF($V1159,IF($AL1159="","",$AL1159),IF($AK1159="","",$AK1159)),OR($Y1159="worse",$Y1159="better",$Y1159="worse, not significant",$Y1159="better, not significant")),IF(ROUND($AC1159,3)=ROUND(significance_bar,3),TEXT($AC1159,"0.0000"),TEXT($AC1159,"0.000")),""),"")</f>
        <v/>
      </c>
      <c r="AN1159">
        <f>IF(AND(ISNUMBER($AC1159),ISNUMBER(IF($V1159,IF($AL1159="","",$AL1159),IF($AK1159="","",$AK1159)))),IF(AND(ABS($AC1159-significance_bar)&lt;=2.0*IF($V1159,IF($AL1159="","",$AL1159),IF($AK1159="","",$AK1159)),OR($Y1159="worse",$Y1159="worse, not significant")),IF(ROUND($AC1159,3)=ROUND(significance_bar,3),TEXT($AC1159,"0.0000"),TEXT($AC1159,"0.000")),""),"")</f>
        <v/>
      </c>
      <c r="AO1159">
        <f>IF(OR($AI1159="",$AN1159=""),$AI1159,$AI1159&amp;" · borderline (p "&amp;$AN1159&amp;")")</f>
        <v/>
      </c>
    </row>
    <row r="1160">
      <c r="A1160" t="inlineStr">
        <is>
          <t>three-way</t>
        </is>
      </c>
      <c r="B1160" t="inlineStr">
        <is>
          <t>ORIG_BAL x ASSET_CLASS / SYS_FLAG</t>
        </is>
      </c>
      <c r="C1160" t="inlineStr">
        <is>
          <t>37,951 - 49,151</t>
        </is>
      </c>
      <c r="D1160" t="inlineStr">
        <is>
          <t>1 / SYS_FLAG Y</t>
        </is>
      </c>
      <c r="E1160" t="inlineStr">
        <is>
          <t>outcome_booked</t>
        </is>
      </c>
      <c r="F1160" t="inlineStr">
        <is>
          <t>Outcome, share of booked dollars</t>
        </is>
      </c>
      <c r="G1160" t="n">
        <v>177</v>
      </c>
      <c r="H1160" t="n">
        <v>7733303.75</v>
      </c>
      <c r="I1160" t="b">
        <v>0</v>
      </c>
      <c r="J1160" t="b">
        <v>0</v>
      </c>
      <c r="K1160" t="n">
        <v>1.025038974685561</v>
      </c>
      <c r="L1160" t="n">
        <v>0.9398060193980602</v>
      </c>
      <c r="M1160" t="n">
        <v>0.9135981541329554</v>
      </c>
      <c r="N1160" t="n">
        <v>0.8502006942162926</v>
      </c>
      <c r="O1160" t="n">
        <v>14478.54779455008</v>
      </c>
      <c r="P1160" t="n">
        <v>-56055.29584837309</v>
      </c>
      <c r="Q1160">
        <f>'_live'!$C$21</f>
        <v/>
      </c>
      <c r="R1160" t="inlineStr">
        <is>
          <t>shuffled: 9,398 of 10,000</t>
        </is>
      </c>
      <c r="S1160" t="inlineStr">
        <is>
          <t>shuffled: 7,439 of 10,000</t>
        </is>
      </c>
      <c r="T1160" t="n">
        <v>0.07477275701286787</v>
      </c>
      <c r="U1160" t="n">
        <v>0.08389354754730448</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0.07664499018288271</v>
      </c>
      <c r="AI1160">
        <f>IF($Y1160="worse","Yes",IF($Y1160="worse, not significant","Not sure",IF(OR($Y1160="too few losses to test",$Y1160="too few loans to test"),"Too few losses",IF($Y1160="","","No"))))</f>
        <v/>
      </c>
      <c r="AJ1160">
        <f>IF($AA1160="yes","Yes",IF($AA1160="","","No"))</f>
        <v/>
      </c>
      <c r="AK1160" t="n">
        <v>0.002378458856092178</v>
      </c>
      <c r="AL1160" t="n">
        <v>0.004988153123164181</v>
      </c>
      <c r="AM1160">
        <f>IF(AND(ISNUMBER($AC1160),ISNUMBER(IF($V1160,IF($AL1160="","",$AL1160),IF($AK1160="","",$AK1160)))),IF(AND(ABS($AC1160-significance_bar)&lt;=2.0*IF($V1160,IF($AL1160="","",$AL1160),IF($AK1160="","",$AK1160)),OR($Y1160="worse",$Y1160="better",$Y1160="worse, not significant",$Y1160="better, not significant")),IF(ROUND($AC1160,3)=ROUND(significance_bar,3),TEXT($AC1160,"0.0000"),TEXT($AC1160,"0.000")),""),"")</f>
        <v/>
      </c>
      <c r="AN1160">
        <f>IF(AND(ISNUMBER($AC1160),ISNUMBER(IF($V1160,IF($AL1160="","",$AL1160),IF($AK1160="","",$AK1160)))),IF(AND(ABS($AC1160-significance_bar)&lt;=2.0*IF($V1160,IF($AL1160="","",$AL1160),IF($AK1160="","",$AK1160)),OR($Y1160="worse",$Y1160="worse, not significant")),IF(ROUND($AC1160,3)=ROUND(significance_bar,3),TEXT($AC1160,"0.0000"),TEXT($AC1160,"0.000")),""),"")</f>
        <v/>
      </c>
      <c r="AO1160">
        <f>IF(OR($AI1160="",$AN1160=""),$AI1160,$AI1160&amp;" · borderline (p "&amp;$AN1160&amp;")")</f>
        <v/>
      </c>
    </row>
    <row r="1161">
      <c r="A1161" t="inlineStr">
        <is>
          <t>three-way</t>
        </is>
      </c>
      <c r="B1161" t="inlineStr">
        <is>
          <t>ORIG_BAL x ASSET_CLASS / SYS_FLAG</t>
        </is>
      </c>
      <c r="C1161" t="inlineStr">
        <is>
          <t>37,951 - 49,151</t>
        </is>
      </c>
      <c r="D1161" t="inlineStr">
        <is>
          <t>1 / SYS_FLAG Y</t>
        </is>
      </c>
      <c r="E1161" t="inlineStr">
        <is>
          <t>gco_rate</t>
        </is>
      </c>
      <c r="F1161" t="inlineStr">
        <is>
          <t>GCO per booked dollar</t>
        </is>
      </c>
      <c r="G1161" t="n">
        <v>177</v>
      </c>
      <c r="H1161" t="n">
        <v>7733303.75</v>
      </c>
      <c r="I1161" t="b">
        <v>0</v>
      </c>
      <c r="J1161" t="b">
        <v>0</v>
      </c>
      <c r="K1161" t="n">
        <v>0.9981696339847889</v>
      </c>
      <c r="L1161" t="n">
        <v>0.9969003099690031</v>
      </c>
      <c r="M1161" t="n">
        <v>0.8758279359104355</v>
      </c>
      <c r="N1161" t="n">
        <v>0.8108727588779583</v>
      </c>
      <c r="O1161" t="n">
        <v>-588.9455345754977</v>
      </c>
      <c r="P1161" t="n">
        <v>-45535.13728517928</v>
      </c>
      <c r="Q1161">
        <f>'_live'!$C$22</f>
        <v/>
      </c>
      <c r="R1161" t="inlineStr">
        <is>
          <t>shuffled: 9,969 of 10,000</t>
        </is>
      </c>
      <c r="S1161" t="inlineStr">
        <is>
          <t>shuffled: 6,570 of 10,000</t>
        </is>
      </c>
      <c r="T1161" t="n">
        <v>0.04160754781351702</v>
      </c>
      <c r="U1161" t="n">
        <v>0.04741957760099353</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0.04153139077202288</v>
      </c>
      <c r="AI1161">
        <f>IF($Y1161="worse","Yes",IF($Y1161="worse, not significant","Not sure",IF(OR($Y1161="too few losses to test",$Y1161="too few loans to test"),"Too few losses",IF($Y1161="","","No"))))</f>
        <v/>
      </c>
      <c r="AJ1161">
        <f>IF($AA1161="yes","Yes",IF($AA1161="","","No"))</f>
        <v/>
      </c>
      <c r="AK1161" t="n">
        <v>0.0005558850558081769</v>
      </c>
      <c r="AL1161" t="n">
        <v>0.005835088779149784</v>
      </c>
      <c r="AM1161">
        <f>IF(AND(ISNUMBER($AC1161),ISNUMBER(IF($V1161,IF($AL1161="","",$AL1161),IF($AK1161="","",$AK1161)))),IF(AND(ABS($AC1161-significance_bar)&lt;=2.0*IF($V1161,IF($AL1161="","",$AL1161),IF($AK1161="","",$AK1161)),OR($Y1161="worse",$Y1161="better",$Y1161="worse, not significant",$Y1161="better, not significant")),IF(ROUND($AC1161,3)=ROUND(significance_bar,3),TEXT($AC1161,"0.0000"),TEXT($AC1161,"0.000")),""),"")</f>
        <v/>
      </c>
      <c r="AN1161">
        <f>IF(AND(ISNUMBER($AC1161),ISNUMBER(IF($V1161,IF($AL1161="","",$AL1161),IF($AK1161="","",$AK1161)))),IF(AND(ABS($AC1161-significance_bar)&lt;=2.0*IF($V1161,IF($AL1161="","",$AL1161),IF($AK1161="","",$AK1161)),OR($Y1161="worse",$Y1161="worse, not significant")),IF(ROUND($AC1161,3)=ROUND(significance_bar,3),TEXT($AC1161,"0.0000"),TEXT($AC1161,"0.000")),""),"")</f>
        <v/>
      </c>
      <c r="AO1161">
        <f>IF(OR($AI1161="",$AN1161=""),$AI1161,$AI1161&amp;" · borderline (p "&amp;$AN1161&amp;")")</f>
        <v/>
      </c>
    </row>
    <row r="1162">
      <c r="A1162" t="inlineStr">
        <is>
          <t>three-way</t>
        </is>
      </c>
      <c r="B1162" t="inlineStr">
        <is>
          <t>ORIG_BAL x ASSET_CLASS / SYS_FLAG</t>
        </is>
      </c>
      <c r="C1162" t="inlineStr">
        <is>
          <t>37,951 - 49,151</t>
        </is>
      </c>
      <c r="D1162" t="inlineStr">
        <is>
          <t>1 / SYS_FLAG Y</t>
        </is>
      </c>
      <c r="E1162" t="inlineStr">
        <is>
          <t>ranr_rate</t>
        </is>
      </c>
      <c r="F1162" t="inlineStr">
        <is>
          <t>Profit after losses: RANR per booked dollar</t>
        </is>
      </c>
      <c r="G1162" t="n">
        <v>177</v>
      </c>
      <c r="H1162" t="n">
        <v>7733303.75</v>
      </c>
      <c r="I1162" t="b">
        <v>0</v>
      </c>
      <c r="J1162" t="b">
        <v>0</v>
      </c>
      <c r="K1162" t="n">
        <v>0.0010068388730885</v>
      </c>
      <c r="L1162" t="n">
        <v>0.9508049195080492</v>
      </c>
      <c r="M1162" t="n">
        <v>0.007354229905622178</v>
      </c>
      <c r="N1162" t="n">
        <v>0.8101689831016898</v>
      </c>
      <c r="O1162" t="n">
        <v>-7786.190832900931</v>
      </c>
      <c r="P1162" t="n">
        <v>-56872.49370751006</v>
      </c>
      <c r="Q1162">
        <f>'_live'!$C$23</f>
        <v/>
      </c>
      <c r="R1162" t="inlineStr">
        <is>
          <t>shuffled: 9,508 of 10,000</t>
        </is>
      </c>
      <c r="S1162" t="inlineStr">
        <is>
          <t>shuffled: 6,388 of 10,000</t>
        </is>
      </c>
      <c r="T1162" t="n">
        <v>0.1279598786181261</v>
      </c>
      <c r="U1162" t="n">
        <v>0.1216124875855924</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0.1289667174912146</v>
      </c>
      <c r="AI1162">
        <f>IF($Y1162="worse","Yes",IF($Y1162="worse, not significant","Not sure",IF(OR($Y1162="too few losses to test",$Y1162="too few loans to test"),"Too few losses",IF($Y1162="","","No"))))</f>
        <v/>
      </c>
      <c r="AJ1162">
        <f>IF($AA1162="yes","Yes",IF($AA1162="","","No"))</f>
        <v/>
      </c>
      <c r="AK1162" t="n">
        <v>0.002162751131021349</v>
      </c>
      <c r="AL1162" t="n">
        <v>0.005969400704401457</v>
      </c>
      <c r="AM1162">
        <f>IF(AND(ISNUMBER($AC1162),ISNUMBER(IF($V1162,IF($AL1162="","",$AL1162),IF($AK1162="","",$AK1162)))),IF(AND(ABS($AC1162-significance_bar)&lt;=2.0*IF($V1162,IF($AL1162="","",$AL1162),IF($AK1162="","",$AK1162)),OR($Y1162="worse",$Y1162="better",$Y1162="worse, not significant",$Y1162="better, not significant",AND(profit_kind="test",$Y1162="in line",ISNUMBER($AB1162),$AB1162&lt;&gt;0))),IF(ROUND($AC1162,3)=ROUND(significance_bar,3),TEXT($AC1162,"0.0000"),TEXT($AC1162,"0.000")),""),"")</f>
        <v/>
      </c>
      <c r="AN1162">
        <f>IF(AND(ISNUMBER($AC1162),ISNUMBER(IF($V1162,IF($AL1162="","",$AL1162),IF($AK1162="","",$AK1162)))),IF(AND(ABS($AC1162-significance_bar)&lt;=2.0*IF($V1162,IF($AL1162="","",$AL1162),IF($AK1162="","",$AK1162)),OR($Y1162="worse",$Y1162="worse, not significant",AND(profit_kind="test",$Y1162="in line",ISNUMBER($AB1162),$AB1162&lt;0))),IF(ROUND($AC1162,3)=ROUND(significance_bar,3),TEXT($AC1162,"0.0000"),TEXT($AC1162,"0.000")),""),"")</f>
        <v/>
      </c>
      <c r="AO1162">
        <f>IF(OR($AI1162="",$AN1162=""),$AI1162,$AI1162&amp;" · borderline (p "&amp;$AN1162&amp;")")</f>
        <v/>
      </c>
    </row>
    <row r="1163">
      <c r="A1163" t="inlineStr">
        <is>
          <t>three-way</t>
        </is>
      </c>
      <c r="B1163" t="inlineStr">
        <is>
          <t>ORIG_BAL x ASSET_CLASS / SYS_FLAG</t>
        </is>
      </c>
      <c r="C1163" t="inlineStr">
        <is>
          <t>37,951 - 49,151</t>
        </is>
      </c>
      <c r="D1163" t="inlineStr">
        <is>
          <t>1 / SYS_FLAG Y</t>
        </is>
      </c>
      <c r="E1163" t="inlineStr">
        <is>
          <t>contribution_rate</t>
        </is>
      </c>
      <c r="F1163" t="inlineStr">
        <is>
          <t>Contribution before losses per booked dollar</t>
        </is>
      </c>
      <c r="G1163" t="n">
        <v>177</v>
      </c>
      <c r="H1163" t="n">
        <v>7733303.75</v>
      </c>
      <c r="I1163" t="b">
        <v>0</v>
      </c>
      <c r="J1163" t="b">
        <v>0</v>
      </c>
      <c r="K1163" t="n">
        <v>0.0009336342030059619</v>
      </c>
      <c r="L1163" t="n">
        <v>0.9955004499550044</v>
      </c>
      <c r="M1163" t="n">
        <v>0.001482044042420527</v>
      </c>
      <c r="N1163" t="n">
        <v>0.9516886149222916</v>
      </c>
      <c r="O1163" t="n">
        <v>-7220.076883234316</v>
      </c>
      <c r="P1163" t="n">
        <v>-11461.09675091598</v>
      </c>
      <c r="Q1163">
        <f>'_live'!$C$24</f>
        <v/>
      </c>
      <c r="R1163" t="inlineStr">
        <is>
          <t>shuffled: 9,310 of 10,000</t>
        </is>
      </c>
      <c r="S1163" t="inlineStr">
        <is>
          <t>shuffled: 8,803 of 10,000</t>
        </is>
      </c>
      <c r="T1163" t="n">
        <v>0.1695644740602315</v>
      </c>
      <c r="U1163" t="n">
        <v>0.1690160642208169</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0.1704981082632374</v>
      </c>
      <c r="AI1163">
        <f>IF($Y1163="worse","Yes",IF($Y1163="worse, not significant","Not sure",IF(OR($Y1163="too few losses to test",$Y1163="too few loans to test"),"Too few losses",IF($Y1163="","","No"))))</f>
        <v/>
      </c>
      <c r="AJ1163">
        <f>IF($AA1163="yes","Yes",IF($AA1163="","","No"))</f>
        <v/>
      </c>
      <c r="AK1163" t="n">
        <v>0.0006692760338147521</v>
      </c>
      <c r="AL1163" t="n">
        <v>0.003509149995369788</v>
      </c>
      <c r="AM1163">
        <f>IF(AND(ISNUMBER($AC1163),ISNUMBER(IF($V1163,IF($AL1163="","",$AL1163),IF($AK1163="","",$AK1163)))),IF(AND(ABS($AC1163-significance_bar)&lt;=2.0*IF($V1163,IF($AL1163="","",$AL1163),IF($AK1163="","",$AK1163)),OR($Y1163="worse",$Y1163="better",$Y1163="worse, not significant",$Y1163="better, not significant",AND(profit_kind="test",$Y1163="in line",ISNUMBER($AB1163),$AB1163&lt;&gt;0))),IF(ROUND($AC1163,3)=ROUND(significance_bar,3),TEXT($AC1163,"0.0000"),TEXT($AC1163,"0.000")),""),"")</f>
        <v/>
      </c>
      <c r="AN1163">
        <f>IF(AND(ISNUMBER($AC1163),ISNUMBER(IF($V1163,IF($AL1163="","",$AL1163),IF($AK1163="","",$AK1163)))),IF(AND(ABS($AC1163-significance_bar)&lt;=2.0*IF($V1163,IF($AL1163="","",$AL1163),IF($AK1163="","",$AK1163)),OR($Y1163="worse",$Y1163="worse, not significant",AND(profit_kind="test",$Y1163="in line",ISNUMBER($AB1163),$AB1163&lt;0))),IF(ROUND($AC1163,3)=ROUND(significance_bar,3),TEXT($AC1163,"0.0000"),TEXT($AC1163,"0.000")),""),"")</f>
        <v/>
      </c>
      <c r="AO1163">
        <f>IF(OR($AI1163="",$AN1163=""),$AI1163,$AI1163&amp;" · borderline (p "&amp;$AN1163&amp;")")</f>
        <v/>
      </c>
    </row>
    <row r="1164">
      <c r="A1164" t="inlineStr">
        <is>
          <t>three-way</t>
        </is>
      </c>
      <c r="B1164" t="inlineStr">
        <is>
          <t>ORIG_BAL x ASSET_CLASS / SYS_FLAG</t>
        </is>
      </c>
      <c r="C1164" t="inlineStr">
        <is>
          <t>15,449 - 26,323</t>
        </is>
      </c>
      <c r="D1164" t="inlineStr">
        <is>
          <t>2 / SYS_FLAG Y</t>
        </is>
      </c>
      <c r="E1164" t="inlineStr">
        <is>
          <t>outcome_loans</t>
        </is>
      </c>
      <c r="F1164" t="inlineStr">
        <is>
          <t>Outcome, share of loans</t>
        </is>
      </c>
      <c r="G1164" t="n">
        <v>170</v>
      </c>
      <c r="H1164" t="n">
        <v>170</v>
      </c>
      <c r="I1164" t="b">
        <v>0</v>
      </c>
      <c r="J1164" t="b">
        <v>0</v>
      </c>
      <c r="K1164" t="n">
        <v>0.7562059306481212</v>
      </c>
      <c r="L1164" t="n">
        <v>0.6398785865358724</v>
      </c>
      <c r="M1164" t="n">
        <v>0.6051629284807448</v>
      </c>
      <c r="N1164" t="n">
        <v>0.4733732133855006</v>
      </c>
      <c r="O1164" t="n">
        <v>-3.223911099757313</v>
      </c>
      <c r="P1164" t="n">
        <v>-6.524475524475523</v>
      </c>
      <c r="Q1164">
        <f>'_live'!$C$20</f>
        <v/>
      </c>
      <c r="R1164" t="inlineStr">
        <is>
          <t>z test</t>
        </is>
      </c>
      <c r="S1164" t="inlineStr">
        <is>
          <t>z test</t>
        </is>
      </c>
      <c r="T1164" t="n">
        <v>0.0777877123515136</v>
      </c>
      <c r="U1164" t="n">
        <v>0.0972027972027972</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0.05882352941176471</v>
      </c>
      <c r="AI1164">
        <f>IF($Y1164="worse","Yes",IF($Y1164="worse, not significant","Not sure",IF(OR($Y1164="too few losses to test",$Y1164="too few loans to test"),"Too few losses",IF($Y1164="","","No"))))</f>
        <v/>
      </c>
      <c r="AJ1164">
        <f>IF($AA1164="yes","Yes",IF($AA1164="","","No"))</f>
        <v/>
      </c>
      <c r="AM1164">
        <f>IF(AND(ISNUMBER($AC1164),ISNUMBER(IF($V1164,IF($AL1164="","",$AL1164),IF($AK1164="","",$AK1164)))),IF(AND(ABS($AC1164-significance_bar)&lt;=2.0*IF($V1164,IF($AL1164="","",$AL1164),IF($AK1164="","",$AK1164)),OR($Y1164="worse",$Y1164="better",$Y1164="worse, not significant",$Y1164="better, not significant")),IF(ROUND($AC1164,3)=ROUND(significance_bar,3),TEXT($AC1164,"0.0000"),TEXT($AC1164,"0.000")),""),"")</f>
        <v/>
      </c>
      <c r="AN1164">
        <f>IF(AND(ISNUMBER($AC1164),ISNUMBER(IF($V1164,IF($AL1164="","",$AL1164),IF($AK1164="","",$AK1164)))),IF(AND(ABS($AC1164-significance_bar)&lt;=2.0*IF($V1164,IF($AL1164="","",$AL1164),IF($AK1164="","",$AK1164)),OR($Y1164="worse",$Y1164="worse, not significant")),IF(ROUND($AC1164,3)=ROUND(significance_bar,3),TEXT($AC1164,"0.0000"),TEXT($AC1164,"0.000")),""),"")</f>
        <v/>
      </c>
      <c r="AO1164">
        <f>IF(OR($AI1164="",$AN1164=""),$AI1164,$AI1164&amp;" · borderline (p "&amp;$AN1164&amp;")")</f>
        <v/>
      </c>
    </row>
    <row r="1165">
      <c r="A1165" t="inlineStr">
        <is>
          <t>three-way</t>
        </is>
      </c>
      <c r="B1165" t="inlineStr">
        <is>
          <t>ORIG_BAL x ASSET_CLASS / SYS_FLAG</t>
        </is>
      </c>
      <c r="C1165" t="inlineStr">
        <is>
          <t>15,449 - 26,323</t>
        </is>
      </c>
      <c r="D1165" t="inlineStr">
        <is>
          <t>2 / SYS_FLAG Y</t>
        </is>
      </c>
      <c r="E1165" t="inlineStr">
        <is>
          <t>outcome_booked</t>
        </is>
      </c>
      <c r="F1165" t="inlineStr">
        <is>
          <t>Outcome, share of booked dollars</t>
        </is>
      </c>
      <c r="G1165" t="n">
        <v>170</v>
      </c>
      <c r="H1165" t="n">
        <v>3611030.139999999</v>
      </c>
      <c r="I1165" t="b">
        <v>0</v>
      </c>
      <c r="J1165" t="b">
        <v>0</v>
      </c>
      <c r="K1165" t="n">
        <v>0.819089031706473</v>
      </c>
      <c r="L1165" t="n">
        <v>0.8613995743282814</v>
      </c>
      <c r="M1165" t="n">
        <v>0.6289565998508736</v>
      </c>
      <c r="N1165" t="n">
        <v>0.515948405159484</v>
      </c>
      <c r="O1165" t="n">
        <v>-49007.90254357032</v>
      </c>
      <c r="P1165" t="n">
        <v>-130899.0095641348</v>
      </c>
      <c r="Q1165">
        <f>'_live'!$C$21</f>
        <v/>
      </c>
      <c r="R1165" t="inlineStr">
        <is>
          <t>shuffled: 5,527 of 10,000</t>
        </is>
      </c>
      <c r="S1165" t="inlineStr">
        <is>
          <t>shuffled: 1,289 of 10,000</t>
        </is>
      </c>
      <c r="T1165" t="n">
        <v>0.07501879852588834</v>
      </c>
      <c r="U1165" t="n">
        <v>0.09769684435924839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0.06144707504435287</v>
      </c>
      <c r="AI1165">
        <f>IF($Y1165="worse","Yes",IF($Y1165="worse, not significant","Not sure",IF(OR($Y1165="too few losses to test",$Y1165="too few loans to test"),"Too few losses",IF($Y1165="","","No"))))</f>
        <v/>
      </c>
      <c r="AJ1165">
        <f>IF($AA1165="yes","Yes",IF($AA1165="","","No"))</f>
        <v/>
      </c>
      <c r="AK1165" t="n">
        <v>0.004923895101667321</v>
      </c>
      <c r="AL1165" t="n">
        <v>0.01340742653849471</v>
      </c>
      <c r="AM1165">
        <f>IF(AND(ISNUMBER($AC1165),ISNUMBER(IF($V1165,IF($AL1165="","",$AL1165),IF($AK1165="","",$AK1165)))),IF(AND(ABS($AC1165-significance_bar)&lt;=2.0*IF($V1165,IF($AL1165="","",$AL1165),IF($AK1165="","",$AK1165)),OR($Y1165="worse",$Y1165="better",$Y1165="worse, not significant",$Y1165="better, not significant")),IF(ROUND($AC1165,3)=ROUND(significance_bar,3),TEXT($AC1165,"0.0000"),TEXT($AC1165,"0.000")),""),"")</f>
        <v/>
      </c>
      <c r="AN1165">
        <f>IF(AND(ISNUMBER($AC1165),ISNUMBER(IF($V1165,IF($AL1165="","",$AL1165),IF($AK1165="","",$AK1165)))),IF(AND(ABS($AC1165-significance_bar)&lt;=2.0*IF($V1165,IF($AL1165="","",$AL1165),IF($AK1165="","",$AK1165)),OR($Y1165="worse",$Y1165="worse, not significant")),IF(ROUND($AC1165,3)=ROUND(significance_bar,3),TEXT($AC1165,"0.0000"),TEXT($AC1165,"0.000")),""),"")</f>
        <v/>
      </c>
      <c r="AO1165">
        <f>IF(OR($AI1165="",$AN1165=""),$AI1165,$AI1165&amp;" · borderline (p "&amp;$AN1165&amp;")")</f>
        <v/>
      </c>
    </row>
    <row r="1166">
      <c r="A1166" t="inlineStr">
        <is>
          <t>three-way</t>
        </is>
      </c>
      <c r="B1166" t="inlineStr">
        <is>
          <t>ORIG_BAL x ASSET_CLASS / SYS_FLAG</t>
        </is>
      </c>
      <c r="C1166" t="inlineStr">
        <is>
          <t>15,449 - 26,323</t>
        </is>
      </c>
      <c r="D1166" t="inlineStr">
        <is>
          <t>2 / SYS_FLAG Y</t>
        </is>
      </c>
      <c r="E1166" t="inlineStr">
        <is>
          <t>gco_rate</t>
        </is>
      </c>
      <c r="F1166" t="inlineStr">
        <is>
          <t>GCO per booked dollar</t>
        </is>
      </c>
      <c r="G1166" t="n">
        <v>170</v>
      </c>
      <c r="H1166" t="n">
        <v>3611030.139999999</v>
      </c>
      <c r="I1166" t="b">
        <v>0</v>
      </c>
      <c r="J1166" t="b">
        <v>0</v>
      </c>
      <c r="K1166" t="n">
        <v>0.7159440401470356</v>
      </c>
      <c r="L1166" t="n">
        <v>0.7890410958904109</v>
      </c>
      <c r="M1166" t="n">
        <v>0.5342429874368722</v>
      </c>
      <c r="N1166" t="n">
        <v>0.3003128258602711</v>
      </c>
      <c r="O1166" t="n">
        <v>-42846.28721174005</v>
      </c>
      <c r="P1166" t="n">
        <v>-94147.53188697789</v>
      </c>
      <c r="Q1166">
        <f>'_live'!$C$22</f>
        <v/>
      </c>
      <c r="R1166" t="inlineStr">
        <is>
          <t>shuffled: 3,585 of 10,000</t>
        </is>
      </c>
      <c r="S1166" t="inlineStr">
        <is>
          <t>shuffled: 656 of 10,000</t>
        </is>
      </c>
      <c r="T1166" t="n">
        <v>0.04177131770263764</v>
      </c>
      <c r="U1166" t="n">
        <v>0.05597813478426904</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0.02990592595829179</v>
      </c>
      <c r="AI1166">
        <f>IF($Y1166="worse","Yes",IF($Y1166="worse, not significant","Not sure",IF(OR($Y1166="too few losses to test",$Y1166="too few loans to test"),"Too few losses",IF($Y1166="","","No"))))</f>
        <v/>
      </c>
      <c r="AJ1166">
        <f>IF($AA1166="yes","Yes",IF($AA1166="","","No"))</f>
        <v/>
      </c>
      <c r="AK1166" t="n">
        <v>0.0102990379173442</v>
      </c>
      <c r="AL1166" t="n">
        <v>0.01132550590096493</v>
      </c>
      <c r="AM1166">
        <f>IF(AND(ISNUMBER($AC1166),ISNUMBER(IF($V1166,IF($AL1166="","",$AL1166),IF($AK1166="","",$AK1166)))),IF(AND(ABS($AC1166-significance_bar)&lt;=2.0*IF($V1166,IF($AL1166="","",$AL1166),IF($AK1166="","",$AK1166)),OR($Y1166="worse",$Y1166="better",$Y1166="worse, not significant",$Y1166="better, not significant")),IF(ROUND($AC1166,3)=ROUND(significance_bar,3),TEXT($AC1166,"0.0000"),TEXT($AC1166,"0.000")),""),"")</f>
        <v/>
      </c>
      <c r="AN1166">
        <f>IF(AND(ISNUMBER($AC1166),ISNUMBER(IF($V1166,IF($AL1166="","",$AL1166),IF($AK1166="","",$AK1166)))),IF(AND(ABS($AC1166-significance_bar)&lt;=2.0*IF($V1166,IF($AL1166="","",$AL1166),IF($AK1166="","",$AK1166)),OR($Y1166="worse",$Y1166="worse, not significant")),IF(ROUND($AC1166,3)=ROUND(significance_bar,3),TEXT($AC1166,"0.0000"),TEXT($AC1166,"0.000")),""),"")</f>
        <v/>
      </c>
      <c r="AO1166">
        <f>IF(OR($AI1166="",$AN1166=""),$AI1166,$AI1166&amp;" · borderline (p "&amp;$AN1166&amp;")")</f>
        <v/>
      </c>
    </row>
    <row r="1167">
      <c r="A1167" t="inlineStr">
        <is>
          <t>three-way</t>
        </is>
      </c>
      <c r="B1167" t="inlineStr">
        <is>
          <t>ORIG_BAL x ASSET_CLASS / SYS_FLAG</t>
        </is>
      </c>
      <c r="C1167" t="inlineStr">
        <is>
          <t>15,449 - 26,323</t>
        </is>
      </c>
      <c r="D1167" t="inlineStr">
        <is>
          <t>2 / SYS_FLAG Y</t>
        </is>
      </c>
      <c r="E1167" t="inlineStr">
        <is>
          <t>ranr_rate</t>
        </is>
      </c>
      <c r="F1167" t="inlineStr">
        <is>
          <t>Profit after losses: RANR per booked dollar</t>
        </is>
      </c>
      <c r="G1167" t="n">
        <v>170</v>
      </c>
      <c r="H1167" t="n">
        <v>3611030.139999999</v>
      </c>
      <c r="I1167" t="b">
        <v>0</v>
      </c>
      <c r="J1167" t="b">
        <v>0</v>
      </c>
      <c r="K1167" t="n">
        <v>0.002867837485074187</v>
      </c>
      <c r="L1167" t="n">
        <v>0.9053453628996073</v>
      </c>
      <c r="M1167" t="n">
        <v>0.01318287271151745</v>
      </c>
      <c r="N1167" t="n">
        <v>0.7079292070792921</v>
      </c>
      <c r="O1167" t="n">
        <v>-10355.84759522474</v>
      </c>
      <c r="P1167" t="n">
        <v>-47603.75069307309</v>
      </c>
      <c r="Q1167">
        <f>'_live'!$C$23</f>
        <v/>
      </c>
      <c r="R1167" t="inlineStr">
        <is>
          <t>shuffled: 8,592 of 10,000</t>
        </is>
      </c>
      <c r="S1167" t="inlineStr">
        <is>
          <t>shuffled: 4,247 of 10,000</t>
        </is>
      </c>
      <c r="T1167" t="n">
        <v>0.127949921349805</v>
      </c>
      <c r="U1167" t="n">
        <v>0.1176348861233617</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0.1308177588348792</v>
      </c>
      <c r="AI1167">
        <f>IF($Y1167="worse","Yes",IF($Y1167="worse, not significant","Not sure",IF(OR($Y1167="too few losses to test",$Y1167="too few loans to test"),"Too few losses",IF($Y1167="","","No"))))</f>
        <v/>
      </c>
      <c r="AJ1167">
        <f>IF($AA1167="yes","Yes",IF($AA1167="","","No"))</f>
        <v/>
      </c>
      <c r="AK1167" t="n">
        <v>0.003300138185589779</v>
      </c>
      <c r="AL1167" t="n">
        <v>0.008238435831897371</v>
      </c>
      <c r="AM1167">
        <f>IF(AND(ISNUMBER($AC1167),ISNUMBER(IF($V1167,IF($AL1167="","",$AL1167),IF($AK1167="","",$AK1167)))),IF(AND(ABS($AC1167-significance_bar)&lt;=2.0*IF($V1167,IF($AL1167="","",$AL1167),IF($AK1167="","",$AK1167)),OR($Y1167="worse",$Y1167="better",$Y1167="worse, not significant",$Y1167="better, not significant",AND(profit_kind="test",$Y1167="in line",ISNUMBER($AB1167),$AB1167&lt;&gt;0))),IF(ROUND($AC1167,3)=ROUND(significance_bar,3),TEXT($AC1167,"0.0000"),TEXT($AC1167,"0.000")),""),"")</f>
        <v/>
      </c>
      <c r="AN1167">
        <f>IF(AND(ISNUMBER($AC1167),ISNUMBER(IF($V1167,IF($AL1167="","",$AL1167),IF($AK1167="","",$AK1167)))),IF(AND(ABS($AC1167-significance_bar)&lt;=2.0*IF($V1167,IF($AL1167="","",$AL1167),IF($AK1167="","",$AK1167)),OR($Y1167="worse",$Y1167="worse, not significant",AND(profit_kind="test",$Y1167="in line",ISNUMBER($AB1167),$AB1167&lt;0))),IF(ROUND($AC1167,3)=ROUND(significance_bar,3),TEXT($AC1167,"0.0000"),TEXT($AC1167,"0.000")),""),"")</f>
        <v/>
      </c>
      <c r="AO1167">
        <f>IF(OR($AI1167="",$AN1167=""),$AI1167,$AI1167&amp;" · borderline (p "&amp;$AN1167&amp;")")</f>
        <v/>
      </c>
    </row>
    <row r="1168">
      <c r="A1168" t="inlineStr">
        <is>
          <t>three-way</t>
        </is>
      </c>
      <c r="B1168" t="inlineStr">
        <is>
          <t>ORIG_BAL x ASSET_CLASS / SYS_FLAG</t>
        </is>
      </c>
      <c r="C1168" t="inlineStr">
        <is>
          <t>15,449 - 26,323</t>
        </is>
      </c>
      <c r="D1168" t="inlineStr">
        <is>
          <t>2 / SYS_FLAG Y</t>
        </is>
      </c>
      <c r="E1168" t="inlineStr">
        <is>
          <t>contribution_rate</t>
        </is>
      </c>
      <c r="F1168" t="inlineStr">
        <is>
          <t>Contribution before losses per booked dollar</t>
        </is>
      </c>
      <c r="G1168" t="n">
        <v>170</v>
      </c>
      <c r="H1168" t="n">
        <v>3611030.139999999</v>
      </c>
      <c r="I1168" t="b">
        <v>0</v>
      </c>
      <c r="J1168" t="b">
        <v>0</v>
      </c>
      <c r="K1168" t="n">
        <v>-0.008994648171325309</v>
      </c>
      <c r="L1168" t="n">
        <v>0.774705138181834</v>
      </c>
      <c r="M1168" t="n">
        <v>-0.01288933611445978</v>
      </c>
      <c r="N1168" t="n">
        <v>0.798978925636848</v>
      </c>
      <c r="O1168" t="n">
        <v>32479.94564535154</v>
      </c>
      <c r="P1168" t="n">
        <v>46543.7811939047</v>
      </c>
      <c r="Q1168">
        <f>'_live'!$C$24</f>
        <v/>
      </c>
      <c r="R1168" t="inlineStr">
        <is>
          <t>shuffled: 3,875 of 10,000</t>
        </is>
      </c>
      <c r="S1168" t="inlineStr">
        <is>
          <t>shuffled: 2,014 of 10,000</t>
        </is>
      </c>
      <c r="T1168" t="n">
        <v>0.1697183329644963</v>
      </c>
      <c r="U1168" t="n">
        <v>0.1736130209076308</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0.160723684793171</v>
      </c>
      <c r="AI1168">
        <f>IF($Y1168="worse","Yes",IF($Y1168="worse, not significant","Not sure",IF(OR($Y1168="too few losses to test",$Y1168="too few loans to test"),"Too few losses",IF($Y1168="","","No"))))</f>
        <v/>
      </c>
      <c r="AJ1168">
        <f>IF($AA1168="yes","Yes",IF($AA1168="","","No"))</f>
        <v/>
      </c>
      <c r="AK1168" t="n">
        <v>0.008643756316955952</v>
      </c>
      <c r="AL1168" t="n">
        <v>0.0111426347407216</v>
      </c>
      <c r="AM1168">
        <f>IF(AND(ISNUMBER($AC1168),ISNUMBER(IF($V1168,IF($AL1168="","",$AL1168),IF($AK1168="","",$AK1168)))),IF(AND(ABS($AC1168-significance_bar)&lt;=2.0*IF($V1168,IF($AL1168="","",$AL1168),IF($AK1168="","",$AK1168)),OR($Y1168="worse",$Y1168="better",$Y1168="worse, not significant",$Y1168="better, not significant",AND(profit_kind="test",$Y1168="in line",ISNUMBER($AB1168),$AB1168&lt;&gt;0))),IF(ROUND($AC1168,3)=ROUND(significance_bar,3),TEXT($AC1168,"0.0000"),TEXT($AC1168,"0.000")),""),"")</f>
        <v/>
      </c>
      <c r="AN1168">
        <f>IF(AND(ISNUMBER($AC1168),ISNUMBER(IF($V1168,IF($AL1168="","",$AL1168),IF($AK1168="","",$AK1168)))),IF(AND(ABS($AC1168-significance_bar)&lt;=2.0*IF($V1168,IF($AL1168="","",$AL1168),IF($AK1168="","",$AK1168)),OR($Y1168="worse",$Y1168="worse, not significant",AND(profit_kind="test",$Y1168="in line",ISNUMBER($AB1168),$AB1168&lt;0))),IF(ROUND($AC1168,3)=ROUND(significance_bar,3),TEXT($AC1168,"0.0000"),TEXT($AC1168,"0.000")),""),"")</f>
        <v/>
      </c>
      <c r="AO1168">
        <f>IF(OR($AI1168="",$AN1168=""),$AI1168,$AI1168&amp;" · borderline (p "&amp;$AN1168&amp;")")</f>
        <v/>
      </c>
    </row>
    <row r="1169">
      <c r="A1169" t="inlineStr">
        <is>
          <t>three-way</t>
        </is>
      </c>
      <c r="B1169" t="inlineStr">
        <is>
          <t>ORIG_BAL x ASSET_CLASS / SYS_FLAG</t>
        </is>
      </c>
      <c r="C1169" t="inlineStr">
        <is>
          <t>15,449 - 26,323</t>
        </is>
      </c>
      <c r="D1169" t="inlineStr">
        <is>
          <t>4 / SYS_FLAG Y</t>
        </is>
      </c>
      <c r="E1169" t="inlineStr">
        <is>
          <t>outcome_loans</t>
        </is>
      </c>
      <c r="F1169" t="inlineStr">
        <is>
          <t>Outcome, share of loans</t>
        </is>
      </c>
      <c r="G1169" t="n">
        <v>190</v>
      </c>
      <c r="H1169" t="n">
        <v>190</v>
      </c>
      <c r="I1169" t="b">
        <v>0</v>
      </c>
      <c r="J1169" t="b">
        <v>0</v>
      </c>
      <c r="K1169" t="n">
        <v>1.443311036789298</v>
      </c>
      <c r="L1169" t="n">
        <v>0.3084304657867236</v>
      </c>
      <c r="M1169" t="n">
        <v>1.217516447368421</v>
      </c>
      <c r="N1169" t="n">
        <v>0.6362547681114774</v>
      </c>
      <c r="O1169" t="n">
        <v>6.450121654501217</v>
      </c>
      <c r="P1169" t="n">
        <v>3.75177304964539</v>
      </c>
      <c r="Q1169">
        <f>'_live'!$C$20</f>
        <v/>
      </c>
      <c r="R1169" t="inlineStr">
        <is>
          <t>z test</t>
        </is>
      </c>
      <c r="S1169" t="inlineStr">
        <is>
          <t>z test</t>
        </is>
      </c>
      <c r="T1169" t="n">
        <v>0.07657830708157254</v>
      </c>
      <c r="U1169" t="n">
        <v>0.09078014184397164</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0.1105263157894737</v>
      </c>
      <c r="AI1169">
        <f>IF($Y1169="worse","Yes",IF($Y1169="worse, not significant","Not sure",IF(OR($Y1169="too few losses to test",$Y1169="too few loans to test"),"Too few losses",IF($Y1169="","","No"))))</f>
        <v/>
      </c>
      <c r="AJ1169">
        <f>IF($AA1169="yes","Yes",IF($AA1169="","","No"))</f>
        <v/>
      </c>
      <c r="AM1169">
        <f>IF(AND(ISNUMBER($AC1169),ISNUMBER(IF($V1169,IF($AL1169="","",$AL1169),IF($AK1169="","",$AK1169)))),IF(AND(ABS($AC1169-significance_bar)&lt;=2.0*IF($V1169,IF($AL1169="","",$AL1169),IF($AK1169="","",$AK1169)),OR($Y1169="worse",$Y1169="better",$Y1169="worse, not significant",$Y1169="better, not significant")),IF(ROUND($AC1169,3)=ROUND(significance_bar,3),TEXT($AC1169,"0.0000"),TEXT($AC1169,"0.000")),""),"")</f>
        <v/>
      </c>
      <c r="AN1169">
        <f>IF(AND(ISNUMBER($AC1169),ISNUMBER(IF($V1169,IF($AL1169="","",$AL1169),IF($AK1169="","",$AK1169)))),IF(AND(ABS($AC1169-significance_bar)&lt;=2.0*IF($V1169,IF($AL1169="","",$AL1169),IF($AK1169="","",$AK1169)),OR($Y1169="worse",$Y1169="worse, not significant")),IF(ROUND($AC1169,3)=ROUND(significance_bar,3),TEXT($AC1169,"0.0000"),TEXT($AC1169,"0.000")),""),"")</f>
        <v/>
      </c>
      <c r="AO1169">
        <f>IF(OR($AI1169="",$AN1169=""),$AI1169,$AI1169&amp;" · borderline (p "&amp;$AN1169&amp;")")</f>
        <v/>
      </c>
    </row>
    <row r="1170">
      <c r="A1170" t="inlineStr">
        <is>
          <t>three-way</t>
        </is>
      </c>
      <c r="B1170" t="inlineStr">
        <is>
          <t>ORIG_BAL x ASSET_CLASS / SYS_FLAG</t>
        </is>
      </c>
      <c r="C1170" t="inlineStr">
        <is>
          <t>15,449 - 26,323</t>
        </is>
      </c>
      <c r="D1170" t="inlineStr">
        <is>
          <t>4 / SYS_FLAG Y</t>
        </is>
      </c>
      <c r="E1170" t="inlineStr">
        <is>
          <t>outcome_booked</t>
        </is>
      </c>
      <c r="F1170" t="inlineStr">
        <is>
          <t>Outcome, share of booked dollars</t>
        </is>
      </c>
      <c r="G1170" t="n">
        <v>190</v>
      </c>
      <c r="H1170" t="n">
        <v>3974337.759999999</v>
      </c>
      <c r="I1170" t="b">
        <v>0</v>
      </c>
      <c r="J1170" t="b">
        <v>0</v>
      </c>
      <c r="K1170" t="n">
        <v>1.477481113060288</v>
      </c>
      <c r="L1170" t="n">
        <v>0.3065293470652935</v>
      </c>
      <c r="M1170" t="n">
        <v>1.197863962453256</v>
      </c>
      <c r="N1170" t="n">
        <v>0.6326407359264073</v>
      </c>
      <c r="O1170" t="n">
        <v>140963.8827899582</v>
      </c>
      <c r="P1170" t="n">
        <v>72049.80282913661</v>
      </c>
      <c r="Q1170">
        <f>'_live'!$C$21</f>
        <v/>
      </c>
      <c r="R1170" t="inlineStr">
        <is>
          <t>shuffled: 957 of 10,000</t>
        </is>
      </c>
      <c r="S1170" t="inlineStr">
        <is>
          <t>shuffled: 4,303 of 10,000</t>
        </is>
      </c>
      <c r="T1170" t="n">
        <v>0.07428256354589298</v>
      </c>
      <c r="U1170" t="n">
        <v>0.09162232783427635</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0.1097510846687575</v>
      </c>
      <c r="AI1170">
        <f>IF($Y1170="worse","Yes",IF($Y1170="worse, not significant","Not sure",IF(OR($Y1170="too few losses to test",$Y1170="too few loans to test"),"Too few losses",IF($Y1170="","","No"))))</f>
        <v/>
      </c>
      <c r="AJ1170">
        <f>IF($AA1170="yes","Yes",IF($AA1170="","","No"))</f>
        <v/>
      </c>
      <c r="AK1170" t="n">
        <v>0.009417715593479471</v>
      </c>
      <c r="AL1170" t="n">
        <v>0.006399576870639927</v>
      </c>
      <c r="AM1170">
        <f>IF(AND(ISNUMBER($AC1170),ISNUMBER(IF($V1170,IF($AL1170="","",$AL1170),IF($AK1170="","",$AK1170)))),IF(AND(ABS($AC1170-significance_bar)&lt;=2.0*IF($V1170,IF($AL1170="","",$AL1170),IF($AK1170="","",$AK1170)),OR($Y1170="worse",$Y1170="better",$Y1170="worse, not significant",$Y1170="better, not significant")),IF(ROUND($AC1170,3)=ROUND(significance_bar,3),TEXT($AC1170,"0.0000"),TEXT($AC1170,"0.000")),""),"")</f>
        <v/>
      </c>
      <c r="AN1170">
        <f>IF(AND(ISNUMBER($AC1170),ISNUMBER(IF($V1170,IF($AL1170="","",$AL1170),IF($AK1170="","",$AK1170)))),IF(AND(ABS($AC1170-significance_bar)&lt;=2.0*IF($V1170,IF($AL1170="","",$AL1170),IF($AK1170="","",$AK1170)),OR($Y1170="worse",$Y1170="worse, not significant")),IF(ROUND($AC1170,3)=ROUND(significance_bar,3),TEXT($AC1170,"0.0000"),TEXT($AC1170,"0.000")),""),"")</f>
        <v/>
      </c>
      <c r="AO1170">
        <f>IF(OR($AI1170="",$AN1170=""),$AI1170,$AI1170&amp;" · borderline (p "&amp;$AN1170&amp;")")</f>
        <v/>
      </c>
    </row>
    <row r="1171">
      <c r="A1171" t="inlineStr">
        <is>
          <t>three-way</t>
        </is>
      </c>
      <c r="B1171" t="inlineStr">
        <is>
          <t>ORIG_BAL x ASSET_CLASS / SYS_FLAG</t>
        </is>
      </c>
      <c r="C1171" t="inlineStr">
        <is>
          <t>15,449 - 26,323</t>
        </is>
      </c>
      <c r="D1171" t="inlineStr">
        <is>
          <t>4 / SYS_FLAG Y</t>
        </is>
      </c>
      <c r="E1171" t="inlineStr">
        <is>
          <t>gco_rate</t>
        </is>
      </c>
      <c r="F1171" t="inlineStr">
        <is>
          <t>GCO per booked dollar</t>
        </is>
      </c>
      <c r="G1171" t="n">
        <v>190</v>
      </c>
      <c r="H1171" t="n">
        <v>3974337.759999999</v>
      </c>
      <c r="I1171" t="b">
        <v>0</v>
      </c>
      <c r="J1171" t="b">
        <v>0</v>
      </c>
      <c r="K1171" t="n">
        <v>1.468093232275557</v>
      </c>
      <c r="L1171" t="n">
        <v>0.3986801319868013</v>
      </c>
      <c r="M1171" t="n">
        <v>1.162864180887587</v>
      </c>
      <c r="N1171" t="n">
        <v>0.7733044877330449</v>
      </c>
      <c r="O1171" t="n">
        <v>76846.73969859234</v>
      </c>
      <c r="P1171" t="n">
        <v>33755.403779835</v>
      </c>
      <c r="Q1171">
        <f>'_live'!$C$22</f>
        <v/>
      </c>
      <c r="R1171" t="inlineStr">
        <is>
          <t>shuffled: 1,124 of 10,000</t>
        </is>
      </c>
      <c r="S1171" t="inlineStr">
        <is>
          <t>shuffled: 5,316 of 10,000</t>
        </is>
      </c>
      <c r="T1171" t="n">
        <v>0.04130744295407034</v>
      </c>
      <c r="U1171" t="n">
        <v>0.05214983696306804</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0.0606431774434793</v>
      </c>
      <c r="AI1171">
        <f>IF($Y1171="worse","Yes",IF($Y1171="worse, not significant","Not sure",IF(OR($Y1171="too few losses to test",$Y1171="too few loans to test"),"Too few losses",IF($Y1171="","","No"))))</f>
        <v/>
      </c>
      <c r="AJ1171">
        <f>IF($AA1171="yes","Yes",IF($AA1171="","","No"))</f>
        <v/>
      </c>
      <c r="AK1171" t="n">
        <v>0.01056802050867025</v>
      </c>
      <c r="AL1171" t="n">
        <v>0.007258145058233783</v>
      </c>
      <c r="AM1171">
        <f>IF(AND(ISNUMBER($AC1171),ISNUMBER(IF($V1171,IF($AL1171="","",$AL1171),IF($AK1171="","",$AK1171)))),IF(AND(ABS($AC1171-significance_bar)&lt;=2.0*IF($V1171,IF($AL1171="","",$AL1171),IF($AK1171="","",$AK1171)),OR($Y1171="worse",$Y1171="better",$Y1171="worse, not significant",$Y1171="better, not significant")),IF(ROUND($AC1171,3)=ROUND(significance_bar,3),TEXT($AC1171,"0.0000"),TEXT($AC1171,"0.000")),""),"")</f>
        <v/>
      </c>
      <c r="AN1171">
        <f>IF(AND(ISNUMBER($AC1171),ISNUMBER(IF($V1171,IF($AL1171="","",$AL1171),IF($AK1171="","",$AK1171)))),IF(AND(ABS($AC1171-significance_bar)&lt;=2.0*IF($V1171,IF($AL1171="","",$AL1171),IF($AK1171="","",$AK1171)),OR($Y1171="worse",$Y1171="worse, not significant")),IF(ROUND($AC1171,3)=ROUND(significance_bar,3),TEXT($AC1171,"0.0000"),TEXT($AC1171,"0.000")),""),"")</f>
        <v/>
      </c>
      <c r="AO1171">
        <f>IF(OR($AI1171="",$AN1171=""),$AI1171,$AI1171&amp;" · borderline (p "&amp;$AN1171&amp;")")</f>
        <v/>
      </c>
    </row>
    <row r="1172">
      <c r="A1172" t="inlineStr">
        <is>
          <t>three-way</t>
        </is>
      </c>
      <c r="B1172" t="inlineStr">
        <is>
          <t>ORIG_BAL x ASSET_CLASS / SYS_FLAG</t>
        </is>
      </c>
      <c r="C1172" t="inlineStr">
        <is>
          <t>15,449 - 26,323</t>
        </is>
      </c>
      <c r="D1172" t="inlineStr">
        <is>
          <t>4 / SYS_FLAG Y</t>
        </is>
      </c>
      <c r="E1172" t="inlineStr">
        <is>
          <t>ranr_rate</t>
        </is>
      </c>
      <c r="F1172" t="inlineStr">
        <is>
          <t>Profit after losses: RANR per booked dollar</t>
        </is>
      </c>
      <c r="G1172" t="n">
        <v>190</v>
      </c>
      <c r="H1172" t="n">
        <v>3974337.759999999</v>
      </c>
      <c r="I1172" t="b">
        <v>0</v>
      </c>
      <c r="J1172" t="b">
        <v>0</v>
      </c>
      <c r="K1172" t="n">
        <v>0.00324499246413204</v>
      </c>
      <c r="L1172" t="n">
        <v>0.9053453628996073</v>
      </c>
      <c r="M1172" t="n">
        <v>0.01376248496831625</v>
      </c>
      <c r="N1172" t="n">
        <v>0.6778452589523656</v>
      </c>
      <c r="O1172" t="n">
        <v>-12896.69608111546</v>
      </c>
      <c r="P1172" t="n">
        <v>-54696.76368101168</v>
      </c>
      <c r="Q1172">
        <f>'_live'!$C$23</f>
        <v/>
      </c>
      <c r="R1172" t="inlineStr">
        <is>
          <t>shuffled: 8,285 of 10,000</t>
        </is>
      </c>
      <c r="S1172" t="inlineStr">
        <is>
          <t>shuffled: 3,897 of 10,000</t>
        </is>
      </c>
      <c r="T1172" t="n">
        <v>0.1279400757118552</v>
      </c>
      <c r="U1172" t="n">
        <v>0.117422583207671</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0.1311850681759872</v>
      </c>
      <c r="AI1172">
        <f>IF($Y1172="worse","Yes",IF($Y1172="worse, not significant","Not sure",IF(OR($Y1172="too few losses to test",$Y1172="too few loans to test"),"Too few losses",IF($Y1172="","","No"))))</f>
        <v/>
      </c>
      <c r="AJ1172">
        <f>IF($AA1172="yes","Yes",IF($AA1172="","","No"))</f>
        <v/>
      </c>
      <c r="AK1172" t="n">
        <v>0.003300138185589779</v>
      </c>
      <c r="AL1172" t="n">
        <v>0.008481669203835753</v>
      </c>
      <c r="AM1172">
        <f>IF(AND(ISNUMBER($AC1172),ISNUMBER(IF($V1172,IF($AL1172="","",$AL1172),IF($AK1172="","",$AK1172)))),IF(AND(ABS($AC1172-significance_bar)&lt;=2.0*IF($V1172,IF($AL1172="","",$AL1172),IF($AK1172="","",$AK1172)),OR($Y1172="worse",$Y1172="better",$Y1172="worse, not significant",$Y1172="better, not significant",AND(profit_kind="test",$Y1172="in line",ISNUMBER($AB1172),$AB1172&lt;&gt;0))),IF(ROUND($AC1172,3)=ROUND(significance_bar,3),TEXT($AC1172,"0.0000"),TEXT($AC1172,"0.000")),""),"")</f>
        <v/>
      </c>
      <c r="AN1172">
        <f>IF(AND(ISNUMBER($AC1172),ISNUMBER(IF($V1172,IF($AL1172="","",$AL1172),IF($AK1172="","",$AK1172)))),IF(AND(ABS($AC1172-significance_bar)&lt;=2.0*IF($V1172,IF($AL1172="","",$AL1172),IF($AK1172="","",$AK1172)),OR($Y1172="worse",$Y1172="worse, not significant",AND(profit_kind="test",$Y1172="in line",ISNUMBER($AB1172),$AB1172&lt;0))),IF(ROUND($AC1172,3)=ROUND(significance_bar,3),TEXT($AC1172,"0.0000"),TEXT($AC1172,"0.000")),""),"")</f>
        <v/>
      </c>
      <c r="AO1172">
        <f>IF(OR($AI1172="",$AN1172=""),$AI1172,$AI1172&amp;" · borderline (p "&amp;$AN1172&amp;")")</f>
        <v/>
      </c>
    </row>
    <row r="1173">
      <c r="A1173" t="inlineStr">
        <is>
          <t>three-way</t>
        </is>
      </c>
      <c r="B1173" t="inlineStr">
        <is>
          <t>ORIG_BAL x ASSET_CLASS / SYS_FLAG</t>
        </is>
      </c>
      <c r="C1173" t="inlineStr">
        <is>
          <t>15,449 - 26,323</t>
        </is>
      </c>
      <c r="D1173" t="inlineStr">
        <is>
          <t>4 / SYS_FLAG Y</t>
        </is>
      </c>
      <c r="E1173" t="inlineStr">
        <is>
          <t>contribution_rate</t>
        </is>
      </c>
      <c r="F1173" t="inlineStr">
        <is>
          <t>Contribution before losses per booked dollar</t>
        </is>
      </c>
      <c r="G1173" t="n">
        <v>190</v>
      </c>
      <c r="H1173" t="n">
        <v>3974337.759999999</v>
      </c>
      <c r="I1173" t="b">
        <v>0</v>
      </c>
      <c r="J1173" t="b">
        <v>0</v>
      </c>
      <c r="K1173" t="n">
        <v>0.02258363873523758</v>
      </c>
      <c r="L1173" t="n">
        <v>0.168649801686498</v>
      </c>
      <c r="M1173" t="n">
        <v>0.02225582544872756</v>
      </c>
      <c r="N1173" t="n">
        <v>0.377962203779622</v>
      </c>
      <c r="O1173" t="n">
        <v>-89755.00818365335</v>
      </c>
      <c r="P1173" t="n">
        <v>-88452.16746084683</v>
      </c>
      <c r="Q1173">
        <f>'_live'!$C$24</f>
        <v/>
      </c>
      <c r="R1173" t="inlineStr">
        <is>
          <t>shuffled: 229 of 10,000</t>
        </is>
      </c>
      <c r="S1173" t="inlineStr">
        <is>
          <t>shuffled: 188 of 10,000</t>
        </is>
      </c>
      <c r="T1173" t="n">
        <v>0.169244606884229</v>
      </c>
      <c r="U1173" t="n">
        <v>0.169572420170739</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0.1918282456194665</v>
      </c>
      <c r="AI1173">
        <f>IF($Y1173="worse","Yes",IF($Y1173="worse, not significant","Not sure",IF(OR($Y1173="too few losses to test",$Y1173="too few loans to test"),"Too few losses",IF($Y1173="","","No"))))</f>
        <v/>
      </c>
      <c r="AJ1173">
        <f>IF($AA1173="yes","Yes",IF($AA1173="","","No"))</f>
        <v/>
      </c>
      <c r="AK1173" t="n">
        <v>0.01046847293369202</v>
      </c>
      <c r="AL1173" t="n">
        <v>0.02723304729204297</v>
      </c>
      <c r="AM1173">
        <f>IF(AND(ISNUMBER($AC1173),ISNUMBER(IF($V1173,IF($AL1173="","",$AL1173),IF($AK1173="","",$AK1173)))),IF(AND(ABS($AC1173-significance_bar)&lt;=2.0*IF($V1173,IF($AL1173="","",$AL1173),IF($AK1173="","",$AK1173)),OR($Y1173="worse",$Y1173="better",$Y1173="worse, not significant",$Y1173="better, not significant",AND(profit_kind="test",$Y1173="in line",ISNUMBER($AB1173),$AB1173&lt;&gt;0))),IF(ROUND($AC1173,3)=ROUND(significance_bar,3),TEXT($AC1173,"0.0000"),TEXT($AC1173,"0.000")),""),"")</f>
        <v/>
      </c>
      <c r="AN1173">
        <f>IF(AND(ISNUMBER($AC1173),ISNUMBER(IF($V1173,IF($AL1173="","",$AL1173),IF($AK1173="","",$AK1173)))),IF(AND(ABS($AC1173-significance_bar)&lt;=2.0*IF($V1173,IF($AL1173="","",$AL1173),IF($AK1173="","",$AK1173)),OR($Y1173="worse",$Y1173="worse, not significant",AND(profit_kind="test",$Y1173="in line",ISNUMBER($AB1173),$AB1173&lt;0))),IF(ROUND($AC1173,3)=ROUND(significance_bar,3),TEXT($AC1173,"0.0000"),TEXT($AC1173,"0.000")),""),"")</f>
        <v/>
      </c>
      <c r="AO1173">
        <f>IF(OR($AI1173="",$AN1173=""),$AI1173,$AI1173&amp;" · borderline (p "&amp;$AN1173&amp;")")</f>
        <v/>
      </c>
    </row>
    <row r="1174">
      <c r="A1174" t="inlineStr">
        <is>
          <t>three-way</t>
        </is>
      </c>
      <c r="B1174" t="inlineStr">
        <is>
          <t>ORIG_BAL x ASSET_CLASS / SYS_FLAG</t>
        </is>
      </c>
      <c r="C1174" t="inlineStr">
        <is>
          <t>26,324 - 37,950</t>
        </is>
      </c>
      <c r="D1174" t="inlineStr">
        <is>
          <t>1 / SYS_FLAG N</t>
        </is>
      </c>
      <c r="E1174" t="inlineStr">
        <is>
          <t>outcome_loans</t>
        </is>
      </c>
      <c r="F1174" t="inlineStr">
        <is>
          <t>Outcome, share of loans</t>
        </is>
      </c>
      <c r="G1174" t="n">
        <v>215</v>
      </c>
      <c r="H1174" t="n">
        <v>215</v>
      </c>
      <c r="I1174" t="b">
        <v>0</v>
      </c>
      <c r="J1174" t="b">
        <v>0</v>
      </c>
      <c r="K1174" t="n">
        <v>0.7157426918508869</v>
      </c>
      <c r="L1174" t="n">
        <v>0.5639229556355464</v>
      </c>
      <c r="M1174" t="n">
        <v>0.7876601803512103</v>
      </c>
      <c r="N1174" t="n">
        <v>0.6362547681114774</v>
      </c>
      <c r="O1174" t="n">
        <v>-4.765801644398767</v>
      </c>
      <c r="P1174" t="n">
        <v>-3.234996384671003</v>
      </c>
      <c r="Q1174">
        <f>'_live'!$C$20</f>
        <v/>
      </c>
      <c r="R1174" t="inlineStr">
        <is>
          <t>z test</t>
        </is>
      </c>
      <c r="S1174" t="inlineStr">
        <is>
          <t>z test</t>
        </is>
      </c>
      <c r="T1174" t="n">
        <v>0.07798047276464543</v>
      </c>
      <c r="U1174" t="n">
        <v>0.07086044830079537</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0.05581395348837209</v>
      </c>
      <c r="AI1174">
        <f>IF($Y1174="worse","Yes",IF($Y1174="worse, not significant","Not sure",IF(OR($Y1174="too few losses to test",$Y1174="too few loans to test"),"Too few losses",IF($Y1174="","","No"))))</f>
        <v/>
      </c>
      <c r="AJ1174">
        <f>IF($AA1174="yes","Yes",IF($AA1174="","","No"))</f>
        <v/>
      </c>
      <c r="AM1174">
        <f>IF(AND(ISNUMBER($AC1174),ISNUMBER(IF($V1174,IF($AL1174="","",$AL1174),IF($AK1174="","",$AK1174)))),IF(AND(ABS($AC1174-significance_bar)&lt;=2.0*IF($V1174,IF($AL1174="","",$AL1174),IF($AK1174="","",$AK1174)),OR($Y1174="worse",$Y1174="better",$Y1174="worse, not significant",$Y1174="better, not significant")),IF(ROUND($AC1174,3)=ROUND(significance_bar,3),TEXT($AC1174,"0.0000"),TEXT($AC1174,"0.000")),""),"")</f>
        <v/>
      </c>
      <c r="AN1174">
        <f>IF(AND(ISNUMBER($AC1174),ISNUMBER(IF($V1174,IF($AL1174="","",$AL1174),IF($AK1174="","",$AK1174)))),IF(AND(ABS($AC1174-significance_bar)&lt;=2.0*IF($V1174,IF($AL1174="","",$AL1174),IF($AK1174="","",$AK1174)),OR($Y1174="worse",$Y1174="worse, not significant")),IF(ROUND($AC1174,3)=ROUND(significance_bar,3),TEXT($AC1174,"0.0000"),TEXT($AC1174,"0.000")),""),"")</f>
        <v/>
      </c>
      <c r="AO1174">
        <f>IF(OR($AI1174="",$AN1174=""),$AI1174,$AI1174&amp;" · borderline (p "&amp;$AN1174&amp;")")</f>
        <v/>
      </c>
    </row>
    <row r="1175">
      <c r="A1175" t="inlineStr">
        <is>
          <t>three-way</t>
        </is>
      </c>
      <c r="B1175" t="inlineStr">
        <is>
          <t>ORIG_BAL x ASSET_CLASS / SYS_FLAG</t>
        </is>
      </c>
      <c r="C1175" t="inlineStr">
        <is>
          <t>26,324 - 37,950</t>
        </is>
      </c>
      <c r="D1175" t="inlineStr">
        <is>
          <t>1 / SYS_FLAG N</t>
        </is>
      </c>
      <c r="E1175" t="inlineStr">
        <is>
          <t>outcome_booked</t>
        </is>
      </c>
      <c r="F1175" t="inlineStr">
        <is>
          <t>Outcome, share of booked dollars</t>
        </is>
      </c>
      <c r="G1175" t="n">
        <v>215</v>
      </c>
      <c r="H1175" t="n">
        <v>6853317.409999999</v>
      </c>
      <c r="I1175" t="b">
        <v>0</v>
      </c>
      <c r="J1175" t="b">
        <v>0</v>
      </c>
      <c r="K1175" t="n">
        <v>0.7520222701549706</v>
      </c>
      <c r="L1175" t="n">
        <v>0.7069410705988224</v>
      </c>
      <c r="M1175" t="n">
        <v>0.8091843803267393</v>
      </c>
      <c r="N1175" t="n">
        <v>0.6326407359264073</v>
      </c>
      <c r="O1175" t="n">
        <v>-128012.5520836885</v>
      </c>
      <c r="P1175" t="n">
        <v>-91545.50165356981</v>
      </c>
      <c r="Q1175">
        <f>'_live'!$C$21</f>
        <v/>
      </c>
      <c r="R1175" t="inlineStr">
        <is>
          <t>shuffled: 3,519 of 10,000</t>
        </is>
      </c>
      <c r="S1175" t="inlineStr">
        <is>
          <t>shuffled: 4,726 of 10,000</t>
        </is>
      </c>
      <c r="T1175" t="n">
        <v>0.07532498076485393</v>
      </c>
      <c r="U1175" t="n">
        <v>0.07000390073186029</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0.05664606303416495</v>
      </c>
      <c r="AI1175">
        <f>IF($Y1175="worse","Yes",IF($Y1175="worse, not significant","Not sure",IF(OR($Y1175="too few losses to test",$Y1175="too few loans to test"),"Too few losses",IF($Y1175="","","No"))))</f>
        <v/>
      </c>
      <c r="AJ1175">
        <f>IF($AA1175="yes","Yes",IF($AA1175="","","No"))</f>
        <v/>
      </c>
      <c r="AK1175" t="n">
        <v>0.009115629030301348</v>
      </c>
      <c r="AL1175" t="n">
        <v>0.006399576870639927</v>
      </c>
      <c r="AM1175">
        <f>IF(AND(ISNUMBER($AC1175),ISNUMBER(IF($V1175,IF($AL1175="","",$AL1175),IF($AK1175="","",$AK1175)))),IF(AND(ABS($AC1175-significance_bar)&lt;=2.0*IF($V1175,IF($AL1175="","",$AL1175),IF($AK1175="","",$AK1175)),OR($Y1175="worse",$Y1175="better",$Y1175="worse, not significant",$Y1175="better, not significant")),IF(ROUND($AC1175,3)=ROUND(significance_bar,3),TEXT($AC1175,"0.0000"),TEXT($AC1175,"0.000")),""),"")</f>
        <v/>
      </c>
      <c r="AN1175">
        <f>IF(AND(ISNUMBER($AC1175),ISNUMBER(IF($V1175,IF($AL1175="","",$AL1175),IF($AK1175="","",$AK1175)))),IF(AND(ABS($AC1175-significance_bar)&lt;=2.0*IF($V1175,IF($AL1175="","",$AL1175),IF($AK1175="","",$AK1175)),OR($Y1175="worse",$Y1175="worse, not significant")),IF(ROUND($AC1175,3)=ROUND(significance_bar,3),TEXT($AC1175,"0.0000"),TEXT($AC1175,"0.000")),""),"")</f>
        <v/>
      </c>
      <c r="AO1175">
        <f>IF(OR($AI1175="",$AN1175=""),$AI1175,$AI1175&amp;" · borderline (p "&amp;$AN1175&amp;")")</f>
        <v/>
      </c>
    </row>
    <row r="1176">
      <c r="A1176" t="inlineStr">
        <is>
          <t>three-way</t>
        </is>
      </c>
      <c r="B1176" t="inlineStr">
        <is>
          <t>ORIG_BAL x ASSET_CLASS / SYS_FLAG</t>
        </is>
      </c>
      <c r="C1176" t="inlineStr">
        <is>
          <t>26,324 - 37,950</t>
        </is>
      </c>
      <c r="D1176" t="inlineStr">
        <is>
          <t>1 / SYS_FLAG N</t>
        </is>
      </c>
      <c r="E1176" t="inlineStr">
        <is>
          <t>gco_rate</t>
        </is>
      </c>
      <c r="F1176" t="inlineStr">
        <is>
          <t>GCO per booked dollar</t>
        </is>
      </c>
      <c r="G1176" t="n">
        <v>215</v>
      </c>
      <c r="H1176" t="n">
        <v>6853317.409999999</v>
      </c>
      <c r="I1176" t="b">
        <v>0</v>
      </c>
      <c r="J1176" t="b">
        <v>0</v>
      </c>
      <c r="K1176" t="n">
        <v>0.7994033199451742</v>
      </c>
      <c r="L1176" t="n">
        <v>0.9277072292770723</v>
      </c>
      <c r="M1176" t="n">
        <v>0.8783480798109932</v>
      </c>
      <c r="N1176" t="n">
        <v>0.8108727588779583</v>
      </c>
      <c r="O1176" t="n">
        <v>-57503.32392030102</v>
      </c>
      <c r="P1176" t="n">
        <v>-31738.57822778603</v>
      </c>
      <c r="Q1176">
        <f>'_live'!$C$22</f>
        <v/>
      </c>
      <c r="R1176" t="inlineStr">
        <is>
          <t>shuffled: 4,638 of 10,000</t>
        </is>
      </c>
      <c r="S1176" t="inlineStr">
        <is>
          <t>shuffled: 6,588 of 10,000</t>
        </is>
      </c>
      <c r="T1176" t="n">
        <v>0.04182812158999374</v>
      </c>
      <c r="U1176" t="n">
        <v>0.03806866552643533</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0.03343753926611142</v>
      </c>
      <c r="AI1176">
        <f>IF($Y1176="worse","Yes",IF($Y1176="worse, not significant","Not sure",IF(OR($Y1176="too few losses to test",$Y1176="too few loans to test"),"Too few losses",IF($Y1176="","","No"))))</f>
        <v/>
      </c>
      <c r="AJ1176">
        <f>IF($AA1176="yes","Yes",IF($AA1176="","","No"))</f>
        <v/>
      </c>
      <c r="AK1176" t="n">
        <v>0.009973834544954123</v>
      </c>
      <c r="AL1176" t="n">
        <v>0.005835088779149784</v>
      </c>
      <c r="AM1176">
        <f>IF(AND(ISNUMBER($AC1176),ISNUMBER(IF($V1176,IF($AL1176="","",$AL1176),IF($AK1176="","",$AK1176)))),IF(AND(ABS($AC1176-significance_bar)&lt;=2.0*IF($V1176,IF($AL1176="","",$AL1176),IF($AK1176="","",$AK1176)),OR($Y1176="worse",$Y1176="better",$Y1176="worse, not significant",$Y1176="better, not significant")),IF(ROUND($AC1176,3)=ROUND(significance_bar,3),TEXT($AC1176,"0.0000"),TEXT($AC1176,"0.000")),""),"")</f>
        <v/>
      </c>
      <c r="AN1176">
        <f>IF(AND(ISNUMBER($AC1176),ISNUMBER(IF($V1176,IF($AL1176="","",$AL1176),IF($AK1176="","",$AK1176)))),IF(AND(ABS($AC1176-significance_bar)&lt;=2.0*IF($V1176,IF($AL1176="","",$AL1176),IF($AK1176="","",$AK1176)),OR($Y1176="worse",$Y1176="worse, not significant")),IF(ROUND($AC1176,3)=ROUND(significance_bar,3),TEXT($AC1176,"0.0000"),TEXT($AC1176,"0.000")),""),"")</f>
        <v/>
      </c>
      <c r="AO1176">
        <f>IF(OR($AI1176="",$AN1176=""),$AI1176,$AI1176&amp;" · borderline (p "&amp;$AN1176&amp;")")</f>
        <v/>
      </c>
    </row>
    <row r="1177">
      <c r="A1177" t="inlineStr">
        <is>
          <t>three-way</t>
        </is>
      </c>
      <c r="B1177" t="inlineStr">
        <is>
          <t>ORIG_BAL x ASSET_CLASS / SYS_FLAG</t>
        </is>
      </c>
      <c r="C1177" t="inlineStr">
        <is>
          <t>26,324 - 37,950</t>
        </is>
      </c>
      <c r="D1177" t="inlineStr">
        <is>
          <t>1 / SYS_FLAG N</t>
        </is>
      </c>
      <c r="E1177" t="inlineStr">
        <is>
          <t>ranr_rate</t>
        </is>
      </c>
      <c r="F1177" t="inlineStr">
        <is>
          <t>Profit after losses: RANR per booked dollar</t>
        </is>
      </c>
      <c r="G1177" t="n">
        <v>215</v>
      </c>
      <c r="H1177" t="n">
        <v>6853317.409999999</v>
      </c>
      <c r="I1177" t="b">
        <v>0</v>
      </c>
      <c r="J1177" t="b">
        <v>0</v>
      </c>
      <c r="K1177" t="n">
        <v>0.01131240922696641</v>
      </c>
      <c r="L1177" t="n">
        <v>0.7315790160114423</v>
      </c>
      <c r="M1177" t="n">
        <v>0.008888617024261691</v>
      </c>
      <c r="N1177" t="n">
        <v>0.738148407381484</v>
      </c>
      <c r="O1177" t="n">
        <v>-77527.53110421356</v>
      </c>
      <c r="P1177" t="n">
        <v>-60916.51380319498</v>
      </c>
      <c r="Q1177">
        <f>'_live'!$C$23</f>
        <v/>
      </c>
      <c r="R1177" t="inlineStr">
        <is>
          <t>shuffled: 4,206 of 10,000</t>
        </is>
      </c>
      <c r="S1177" t="inlineStr">
        <is>
          <t>shuffled: 4,982 of 10,000</t>
        </is>
      </c>
      <c r="T1177" t="n">
        <v>0.1276896350399429</v>
      </c>
      <c r="U1177" t="n">
        <v>0.1301134272426477</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0.1390020442669093</v>
      </c>
      <c r="AI1177">
        <f>IF($Y1177="worse","Yes",IF($Y1177="worse, not significant","Not sure",IF(OR($Y1177="too few losses to test",$Y1177="too few loans to test"),"Too few losses",IF($Y1177="","","No"))))</f>
        <v/>
      </c>
      <c r="AJ1177">
        <f>IF($AA1177="yes","Yes",IF($AA1177="","","No"))</f>
        <v/>
      </c>
      <c r="AK1177" t="n">
        <v>0.008585473053510461</v>
      </c>
      <c r="AL1177" t="n">
        <v>0.007407362045970859</v>
      </c>
      <c r="AM1177">
        <f>IF(AND(ISNUMBER($AC1177),ISNUMBER(IF($V1177,IF($AL1177="","",$AL1177),IF($AK1177="","",$AK1177)))),IF(AND(ABS($AC1177-significance_bar)&lt;=2.0*IF($V1177,IF($AL1177="","",$AL1177),IF($AK1177="","",$AK1177)),OR($Y1177="worse",$Y1177="better",$Y1177="worse, not significant",$Y1177="better, not significant",AND(profit_kind="test",$Y1177="in line",ISNUMBER($AB1177),$AB1177&lt;&gt;0))),IF(ROUND($AC1177,3)=ROUND(significance_bar,3),TEXT($AC1177,"0.0000"),TEXT($AC1177,"0.000")),""),"")</f>
        <v/>
      </c>
      <c r="AN1177">
        <f>IF(AND(ISNUMBER($AC1177),ISNUMBER(IF($V1177,IF($AL1177="","",$AL1177),IF($AK1177="","",$AK1177)))),IF(AND(ABS($AC1177-significance_bar)&lt;=2.0*IF($V1177,IF($AL1177="","",$AL1177),IF($AK1177="","",$AK1177)),OR($Y1177="worse",$Y1177="worse, not significant",AND(profit_kind="test",$Y1177="in line",ISNUMBER($AB1177),$AB1177&lt;0))),IF(ROUND($AC1177,3)=ROUND(significance_bar,3),TEXT($AC1177,"0.0000"),TEXT($AC1177,"0.000")),""),"")</f>
        <v/>
      </c>
      <c r="AO1177">
        <f>IF(OR($AI1177="",$AN1177=""),$AI1177,$AI1177&amp;" · borderline (p "&amp;$AN1177&amp;")")</f>
        <v/>
      </c>
    </row>
    <row r="1178">
      <c r="A1178" t="inlineStr">
        <is>
          <t>three-way</t>
        </is>
      </c>
      <c r="B1178" t="inlineStr">
        <is>
          <t>ORIG_BAL x ASSET_CLASS / SYS_FLAG</t>
        </is>
      </c>
      <c r="C1178" t="inlineStr">
        <is>
          <t>26,324 - 37,950</t>
        </is>
      </c>
      <c r="D1178" t="inlineStr">
        <is>
          <t>1 / SYS_FLAG N</t>
        </is>
      </c>
      <c r="E1178" t="inlineStr">
        <is>
          <t>contribution_rate</t>
        </is>
      </c>
      <c r="F1178" t="inlineStr">
        <is>
          <t>Contribution before losses per booked dollar</t>
        </is>
      </c>
      <c r="G1178" t="n">
        <v>215</v>
      </c>
      <c r="H1178" t="n">
        <v>6853317.409999999</v>
      </c>
      <c r="I1178" t="b">
        <v>0</v>
      </c>
      <c r="J1178" t="b">
        <v>0</v>
      </c>
      <c r="K1178" t="n">
        <v>0.002924811628040008</v>
      </c>
      <c r="L1178" t="n">
        <v>0.9955004499550044</v>
      </c>
      <c r="M1178" t="n">
        <v>0.004257490763937832</v>
      </c>
      <c r="N1178" t="n">
        <v>0.892759208927592</v>
      </c>
      <c r="O1178" t="n">
        <v>-20044.66245141719</v>
      </c>
      <c r="P1178" t="n">
        <v>-29177.93557540933</v>
      </c>
      <c r="Q1178">
        <f>'_live'!$C$24</f>
        <v/>
      </c>
      <c r="R1178" t="inlineStr">
        <is>
          <t>shuffled: 7,557 of 10,000</t>
        </is>
      </c>
      <c r="S1178" t="inlineStr">
        <is>
          <t>shuffled: 6,353 of 10,000</t>
        </is>
      </c>
      <c r="T1178" t="n">
        <v>0.1695147719049808</v>
      </c>
      <c r="U1178" t="n">
        <v>0.168182092769083</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0.1724395835330208</v>
      </c>
      <c r="AI1178">
        <f>IF($Y1178="worse","Yes",IF($Y1178="worse, not significant","Not sure",IF(OR($Y1178="too few losses to test",$Y1178="too few loans to test"),"Too few losses",IF($Y1178="","","No"))))</f>
        <v/>
      </c>
      <c r="AJ1178">
        <f>IF($AA1178="yes","Yes",IF($AA1178="","","No"))</f>
        <v/>
      </c>
      <c r="AK1178" t="n">
        <v>0.0006692760338147521</v>
      </c>
      <c r="AL1178" t="n">
        <v>0.005339600821528397</v>
      </c>
      <c r="AM1178">
        <f>IF(AND(ISNUMBER($AC1178),ISNUMBER(IF($V1178,IF($AL1178="","",$AL1178),IF($AK1178="","",$AK1178)))),IF(AND(ABS($AC1178-significance_bar)&lt;=2.0*IF($V1178,IF($AL1178="","",$AL1178),IF($AK1178="","",$AK1178)),OR($Y1178="worse",$Y1178="better",$Y1178="worse, not significant",$Y1178="better, not significant",AND(profit_kind="test",$Y1178="in line",ISNUMBER($AB1178),$AB1178&lt;&gt;0))),IF(ROUND($AC1178,3)=ROUND(significance_bar,3),TEXT($AC1178,"0.0000"),TEXT($AC1178,"0.000")),""),"")</f>
        <v/>
      </c>
      <c r="AN1178">
        <f>IF(AND(ISNUMBER($AC1178),ISNUMBER(IF($V1178,IF($AL1178="","",$AL1178),IF($AK1178="","",$AK1178)))),IF(AND(ABS($AC1178-significance_bar)&lt;=2.0*IF($V1178,IF($AL1178="","",$AL1178),IF($AK1178="","",$AK1178)),OR($Y1178="worse",$Y1178="worse, not significant",AND(profit_kind="test",$Y1178="in line",ISNUMBER($AB1178),$AB1178&lt;0))),IF(ROUND($AC1178,3)=ROUND(significance_bar,3),TEXT($AC1178,"0.0000"),TEXT($AC1178,"0.000")),""),"")</f>
        <v/>
      </c>
      <c r="AO1178">
        <f>IF(OR($AI1178="",$AN1178=""),$AI1178,$AI1178&amp;" · borderline (p "&amp;$AN1178&amp;")")</f>
        <v/>
      </c>
    </row>
    <row r="1179">
      <c r="A1179" t="inlineStr">
        <is>
          <t>three-way</t>
        </is>
      </c>
      <c r="B1179" t="inlineStr">
        <is>
          <t>ORIG_BAL x ASSET_CLASS / SYS_FLAG</t>
        </is>
      </c>
      <c r="C1179" t="inlineStr">
        <is>
          <t>26,324 - 37,950</t>
        </is>
      </c>
      <c r="D1179" t="inlineStr">
        <is>
          <t>3 / SYS_FLAG N</t>
        </is>
      </c>
      <c r="E1179" t="inlineStr">
        <is>
          <t>outcome_loans</t>
        </is>
      </c>
      <c r="F1179" t="inlineStr">
        <is>
          <t>Outcome, share of loans</t>
        </is>
      </c>
      <c r="G1179" t="n">
        <v>198</v>
      </c>
      <c r="H1179" t="n">
        <v>198</v>
      </c>
      <c r="I1179" t="b">
        <v>1</v>
      </c>
      <c r="J1179" t="b">
        <v>0</v>
      </c>
      <c r="K1179" t="n">
        <v>0.5812965722801788</v>
      </c>
      <c r="M1179" t="n">
        <v>0.6300630063006301</v>
      </c>
      <c r="O1179" t="n">
        <v>-6.482630431995897</v>
      </c>
      <c r="P1179" t="n">
        <v>-5.284285714285716</v>
      </c>
      <c r="Q1179">
        <f>'_live'!$C$20</f>
        <v/>
      </c>
      <c r="T1179" t="n">
        <v>0.07819510319189847</v>
      </c>
      <c r="U1179" t="n">
        <v>0.07214285714285715</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0.04545454545454546</v>
      </c>
      <c r="AI1179">
        <f>IF($Y1179="worse","Yes",IF($Y1179="worse, not significant","Not sure",IF(OR($Y1179="too few losses to test",$Y1179="too few loans to test"),"Too few losses",IF($Y1179="","","No"))))</f>
        <v/>
      </c>
      <c r="AJ1179">
        <f>IF($AA1179="yes","Yes",IF($AA1179="","","No"))</f>
        <v/>
      </c>
      <c r="AM1179">
        <f>IF(AND(ISNUMBER($AC1179),ISNUMBER(IF($V1179,IF($AL1179="","",$AL1179),IF($AK1179="","",$AK1179)))),IF(AND(ABS($AC1179-significance_bar)&lt;=2.0*IF($V1179,IF($AL1179="","",$AL1179),IF($AK1179="","",$AK1179)),OR($Y1179="worse",$Y1179="better",$Y1179="worse, not significant",$Y1179="better, not significant")),IF(ROUND($AC1179,3)=ROUND(significance_bar,3),TEXT($AC1179,"0.0000"),TEXT($AC1179,"0.000")),""),"")</f>
        <v/>
      </c>
      <c r="AN1179">
        <f>IF(AND(ISNUMBER($AC1179),ISNUMBER(IF($V1179,IF($AL1179="","",$AL1179),IF($AK1179="","",$AK1179)))),IF(AND(ABS($AC1179-significance_bar)&lt;=2.0*IF($V1179,IF($AL1179="","",$AL1179),IF($AK1179="","",$AK1179)),OR($Y1179="worse",$Y1179="worse, not significant")),IF(ROUND($AC1179,3)=ROUND(significance_bar,3),TEXT($AC1179,"0.0000"),TEXT($AC1179,"0.000")),""),"")</f>
        <v/>
      </c>
      <c r="AO1179">
        <f>IF(OR($AI1179="",$AN1179=""),$AI1179,$AI1179&amp;" · borderline (p "&amp;$AN1179&amp;")")</f>
        <v/>
      </c>
    </row>
    <row r="1180">
      <c r="A1180" t="inlineStr">
        <is>
          <t>three-way</t>
        </is>
      </c>
      <c r="B1180" t="inlineStr">
        <is>
          <t>ORIG_BAL x ASSET_CLASS / SYS_FLAG</t>
        </is>
      </c>
      <c r="C1180" t="inlineStr">
        <is>
          <t>26,324 - 37,950</t>
        </is>
      </c>
      <c r="D1180" t="inlineStr">
        <is>
          <t>3 / SYS_FLAG N</t>
        </is>
      </c>
      <c r="E1180" t="inlineStr">
        <is>
          <t>outcome_booked</t>
        </is>
      </c>
      <c r="F1180" t="inlineStr">
        <is>
          <t>Outcome, share of booked dollars</t>
        </is>
      </c>
      <c r="G1180" t="n">
        <v>198</v>
      </c>
      <c r="H1180" t="n">
        <v>6296249.490000001</v>
      </c>
      <c r="I1180" t="b">
        <v>1</v>
      </c>
      <c r="J1180" t="b">
        <v>0</v>
      </c>
      <c r="K1180" t="n">
        <v>0.5979618168247718</v>
      </c>
      <c r="M1180" t="n">
        <v>0.6325254908723885</v>
      </c>
      <c r="O1180" t="n">
        <v>-191293.3831407363</v>
      </c>
      <c r="P1180" t="n">
        <v>-165293.3132855927</v>
      </c>
      <c r="Q1180">
        <f>'_live'!$C$21</f>
        <v/>
      </c>
      <c r="T1180" t="n">
        <v>0.0755702254010802</v>
      </c>
      <c r="U1180" t="n">
        <v>0.07144077184361902</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0.04518810927868743</v>
      </c>
      <c r="AI1180">
        <f>IF($Y1180="worse","Yes",IF($Y1180="worse, not significant","Not sure",IF(OR($Y1180="too few losses to test",$Y1180="too few loans to test"),"Too few losses",IF($Y1180="","","No"))))</f>
        <v/>
      </c>
      <c r="AJ1180">
        <f>IF($AA1180="yes","Yes",IF($AA1180="","","No"))</f>
        <v/>
      </c>
      <c r="AM1180">
        <f>IF(AND(ISNUMBER($AC1180),ISNUMBER(IF($V1180,IF($AL1180="","",$AL1180),IF($AK1180="","",$AK1180)))),IF(AND(ABS($AC1180-significance_bar)&lt;=2.0*IF($V1180,IF($AL1180="","",$AL1180),IF($AK1180="","",$AK1180)),OR($Y1180="worse",$Y1180="better",$Y1180="worse, not significant",$Y1180="better, not significant")),IF(ROUND($AC1180,3)=ROUND(significance_bar,3),TEXT($AC1180,"0.0000"),TEXT($AC1180,"0.000")),""),"")</f>
        <v/>
      </c>
      <c r="AN1180">
        <f>IF(AND(ISNUMBER($AC1180),ISNUMBER(IF($V1180,IF($AL1180="","",$AL1180),IF($AK1180="","",$AK1180)))),IF(AND(ABS($AC1180-significance_bar)&lt;=2.0*IF($V1180,IF($AL1180="","",$AL1180),IF($AK1180="","",$AK1180)),OR($Y1180="worse",$Y1180="worse, not significant")),IF(ROUND($AC1180,3)=ROUND(significance_bar,3),TEXT($AC1180,"0.0000"),TEXT($AC1180,"0.000")),""),"")</f>
        <v/>
      </c>
      <c r="AO1180">
        <f>IF(OR($AI1180="",$AN1180=""),$AI1180,$AI1180&amp;" · borderline (p "&amp;$AN1180&amp;")")</f>
        <v/>
      </c>
    </row>
    <row r="1181">
      <c r="A1181" t="inlineStr">
        <is>
          <t>three-way</t>
        </is>
      </c>
      <c r="B1181" t="inlineStr">
        <is>
          <t>ORIG_BAL x ASSET_CLASS / SYS_FLAG</t>
        </is>
      </c>
      <c r="C1181" t="inlineStr">
        <is>
          <t>26,324 - 37,950</t>
        </is>
      </c>
      <c r="D1181" t="inlineStr">
        <is>
          <t>3 / SYS_FLAG N</t>
        </is>
      </c>
      <c r="E1181" t="inlineStr">
        <is>
          <t>gco_rate</t>
        </is>
      </c>
      <c r="F1181" t="inlineStr">
        <is>
          <t>GCO per booked dollar</t>
        </is>
      </c>
      <c r="G1181" t="n">
        <v>198</v>
      </c>
      <c r="H1181" t="n">
        <v>6296249.490000001</v>
      </c>
      <c r="I1181" t="b">
        <v>1</v>
      </c>
      <c r="J1181" t="b">
        <v>0</v>
      </c>
      <c r="K1181" t="n">
        <v>0.6733539939801801</v>
      </c>
      <c r="M1181" t="n">
        <v>0.7290125468792776</v>
      </c>
      <c r="O1181" t="n">
        <v>-86254.7528382765</v>
      </c>
      <c r="P1181" t="n">
        <v>-66094.19288038011</v>
      </c>
      <c r="Q1181">
        <f>'_live'!$C$22</f>
        <v/>
      </c>
      <c r="T1181" t="n">
        <v>0.04193954881515924</v>
      </c>
      <c r="U1181" t="n">
        <v>0.03873755372428548</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0.02824016270041421</v>
      </c>
      <c r="AI1181">
        <f>IF($Y1181="worse","Yes",IF($Y1181="worse, not significant","Not sure",IF(OR($Y1181="too few losses to test",$Y1181="too few loans to test"),"Too few losses",IF($Y1181="","","No"))))</f>
        <v/>
      </c>
      <c r="AJ1181">
        <f>IF($AA1181="yes","Yes",IF($AA1181="","","No"))</f>
        <v/>
      </c>
      <c r="AM1181">
        <f>IF(AND(ISNUMBER($AC1181),ISNUMBER(IF($V1181,IF($AL1181="","",$AL1181),IF($AK1181="","",$AK1181)))),IF(AND(ABS($AC1181-significance_bar)&lt;=2.0*IF($V1181,IF($AL1181="","",$AL1181),IF($AK1181="","",$AK1181)),OR($Y1181="worse",$Y1181="better",$Y1181="worse, not significant",$Y1181="better, not significant")),IF(ROUND($AC1181,3)=ROUND(significance_bar,3),TEXT($AC1181,"0.0000"),TEXT($AC1181,"0.000")),""),"")</f>
        <v/>
      </c>
      <c r="AN1181">
        <f>IF(AND(ISNUMBER($AC1181),ISNUMBER(IF($V1181,IF($AL1181="","",$AL1181),IF($AK1181="","",$AK1181)))),IF(AND(ABS($AC1181-significance_bar)&lt;=2.0*IF($V1181,IF($AL1181="","",$AL1181),IF($AK1181="","",$AK1181)),OR($Y1181="worse",$Y1181="worse, not significant")),IF(ROUND($AC1181,3)=ROUND(significance_bar,3),TEXT($AC1181,"0.0000"),TEXT($AC1181,"0.000")),""),"")</f>
        <v/>
      </c>
      <c r="AO1181">
        <f>IF(OR($AI1181="",$AN1181=""),$AI1181,$AI1181&amp;" · borderline (p "&amp;$AN1181&amp;")")</f>
        <v/>
      </c>
    </row>
    <row r="1182">
      <c r="A1182" t="inlineStr">
        <is>
          <t>three-way</t>
        </is>
      </c>
      <c r="B1182" t="inlineStr">
        <is>
          <t>ORIG_BAL x ASSET_CLASS / SYS_FLAG</t>
        </is>
      </c>
      <c r="C1182" t="inlineStr">
        <is>
          <t>26,324 - 37,950</t>
        </is>
      </c>
      <c r="D1182" t="inlineStr">
        <is>
          <t>3 / SYS_FLAG N</t>
        </is>
      </c>
      <c r="E1182" t="inlineStr">
        <is>
          <t>ranr_rate</t>
        </is>
      </c>
      <c r="F1182" t="inlineStr">
        <is>
          <t>Profit after losses: RANR per booked dollar</t>
        </is>
      </c>
      <c r="G1182" t="n">
        <v>198</v>
      </c>
      <c r="H1182" t="n">
        <v>6296249.490000001</v>
      </c>
      <c r="I1182" t="b">
        <v>0</v>
      </c>
      <c r="J1182" t="b">
        <v>0</v>
      </c>
      <c r="K1182" t="n">
        <v>0.006084889989420417</v>
      </c>
      <c r="L1182" t="n">
        <v>0.8799120087991201</v>
      </c>
      <c r="M1182" t="n">
        <v>0.002994066921208544</v>
      </c>
      <c r="N1182" t="n">
        <v>0.9519048095190481</v>
      </c>
      <c r="O1182" t="n">
        <v>-38311.98549259442</v>
      </c>
      <c r="P1182" t="n">
        <v>-18851.39232568513</v>
      </c>
      <c r="Q1182">
        <f>'_live'!$C$23</f>
        <v/>
      </c>
      <c r="R1182" t="inlineStr">
        <is>
          <t>shuffled: 6,772 of 10,000</t>
        </is>
      </c>
      <c r="S1182" t="inlineStr">
        <is>
          <t>shuffled: 8,200 of 10,000</t>
        </is>
      </c>
      <c r="T1182" t="n">
        <v>0.127841592965117</v>
      </c>
      <c r="U1182" t="n">
        <v>0.1309324160333289</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0.1339264829545374</v>
      </c>
      <c r="AI1182">
        <f>IF($Y1182="worse","Yes",IF($Y1182="worse, not significant","Not sure",IF(OR($Y1182="too few losses to test",$Y1182="too few loans to test"),"Too few losses",IF($Y1182="","","No"))))</f>
        <v/>
      </c>
      <c r="AJ1182">
        <f>IF($AA1182="yes","Yes",IF($AA1182="","","No"))</f>
        <v/>
      </c>
      <c r="AK1182" t="n">
        <v>0.006009369273937538</v>
      </c>
      <c r="AL1182" t="n">
        <v>0.002649336874809362</v>
      </c>
      <c r="AM1182">
        <f>IF(AND(ISNUMBER($AC1182),ISNUMBER(IF($V1182,IF($AL1182="","",$AL1182),IF($AK1182="","",$AK1182)))),IF(AND(ABS($AC1182-significance_bar)&lt;=2.0*IF($V1182,IF($AL1182="","",$AL1182),IF($AK1182="","",$AK1182)),OR($Y1182="worse",$Y1182="better",$Y1182="worse, not significant",$Y1182="better, not significant",AND(profit_kind="test",$Y1182="in line",ISNUMBER($AB1182),$AB1182&lt;&gt;0))),IF(ROUND($AC1182,3)=ROUND(significance_bar,3),TEXT($AC1182,"0.0000"),TEXT($AC1182,"0.000")),""),"")</f>
        <v/>
      </c>
      <c r="AN1182">
        <f>IF(AND(ISNUMBER($AC1182),ISNUMBER(IF($V1182,IF($AL1182="","",$AL1182),IF($AK1182="","",$AK1182)))),IF(AND(ABS($AC1182-significance_bar)&lt;=2.0*IF($V1182,IF($AL1182="","",$AL1182),IF($AK1182="","",$AK1182)),OR($Y1182="worse",$Y1182="worse, not significant",AND(profit_kind="test",$Y1182="in line",ISNUMBER($AB1182),$AB1182&lt;0))),IF(ROUND($AC1182,3)=ROUND(significance_bar,3),TEXT($AC1182,"0.0000"),TEXT($AC1182,"0.000")),""),"")</f>
        <v/>
      </c>
      <c r="AO1182">
        <f>IF(OR($AI1182="",$AN1182=""),$AI1182,$AI1182&amp;" · borderline (p "&amp;$AN1182&amp;")")</f>
        <v/>
      </c>
    </row>
    <row r="1183">
      <c r="A1183" t="inlineStr">
        <is>
          <t>three-way</t>
        </is>
      </c>
      <c r="B1183" t="inlineStr">
        <is>
          <t>ORIG_BAL x ASSET_CLASS / SYS_FLAG</t>
        </is>
      </c>
      <c r="C1183" t="inlineStr">
        <is>
          <t>26,324 - 37,950</t>
        </is>
      </c>
      <c r="D1183" t="inlineStr">
        <is>
          <t>3 / SYS_FLAG N</t>
        </is>
      </c>
      <c r="E1183" t="inlineStr">
        <is>
          <t>contribution_rate</t>
        </is>
      </c>
      <c r="F1183" t="inlineStr">
        <is>
          <t>Contribution before losses per booked dollar</t>
        </is>
      </c>
      <c r="G1183" t="n">
        <v>198</v>
      </c>
      <c r="H1183" t="n">
        <v>6296249.490000001</v>
      </c>
      <c r="I1183" t="b">
        <v>0</v>
      </c>
      <c r="J1183" t="b">
        <v>0</v>
      </c>
      <c r="K1183" t="n">
        <v>-0.007611541960815954</v>
      </c>
      <c r="L1183" t="n">
        <v>0.774705138181834</v>
      </c>
      <c r="M1183" t="n">
        <v>-0.00750332410266269</v>
      </c>
      <c r="N1183" t="n">
        <v>0.8694368658372257</v>
      </c>
      <c r="O1183" t="n">
        <v>47924.1671889011</v>
      </c>
      <c r="P1183" t="n">
        <v>47242.80055469472</v>
      </c>
      <c r="Q1183">
        <f>'_live'!$C$24</f>
        <v/>
      </c>
      <c r="R1183" t="inlineStr">
        <is>
          <t>shuffled: 4,233 of 10,000</t>
        </is>
      </c>
      <c r="S1183" t="inlineStr">
        <is>
          <t>shuffled: 4,118 of 10,000</t>
        </is>
      </c>
      <c r="T1183" t="n">
        <v>0.1697781876157677</v>
      </c>
      <c r="U1183" t="n">
        <v>0.1696699697576144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0.1621666456549517</v>
      </c>
      <c r="AI1183">
        <f>IF($Y1183="worse","Yes",IF($Y1183="worse, not significant","Not sure",IF(OR($Y1183="too few losses to test",$Y1183="too few loans to test"),"Too few losses",IF($Y1183="","","No"))))</f>
        <v/>
      </c>
      <c r="AJ1183">
        <f>IF($AA1183="yes","Yes",IF($AA1183="","","No"))</f>
        <v/>
      </c>
      <c r="AK1183" t="n">
        <v>0.008643756316955952</v>
      </c>
      <c r="AL1183" t="n">
        <v>0.009487622236184769</v>
      </c>
      <c r="AM1183">
        <f>IF(AND(ISNUMBER($AC1183),ISNUMBER(IF($V1183,IF($AL1183="","",$AL1183),IF($AK1183="","",$AK1183)))),IF(AND(ABS($AC1183-significance_bar)&lt;=2.0*IF($V1183,IF($AL1183="","",$AL1183),IF($AK1183="","",$AK1183)),OR($Y1183="worse",$Y1183="better",$Y1183="worse, not significant",$Y1183="better, not significant",AND(profit_kind="test",$Y1183="in line",ISNUMBER($AB1183),$AB1183&lt;&gt;0))),IF(ROUND($AC1183,3)=ROUND(significance_bar,3),TEXT($AC1183,"0.0000"),TEXT($AC1183,"0.000")),""),"")</f>
        <v/>
      </c>
      <c r="AN1183">
        <f>IF(AND(ISNUMBER($AC1183),ISNUMBER(IF($V1183,IF($AL1183="","",$AL1183),IF($AK1183="","",$AK1183)))),IF(AND(ABS($AC1183-significance_bar)&lt;=2.0*IF($V1183,IF($AL1183="","",$AL1183),IF($AK1183="","",$AK1183)),OR($Y1183="worse",$Y1183="worse, not significant",AND(profit_kind="test",$Y1183="in line",ISNUMBER($AB1183),$AB1183&lt;0))),IF(ROUND($AC1183,3)=ROUND(significance_bar,3),TEXT($AC1183,"0.0000"),TEXT($AC1183,"0.000")),""),"")</f>
        <v/>
      </c>
      <c r="AO1183">
        <f>IF(OR($AI1183="",$AN1183=""),$AI1183,$AI1183&amp;" · borderline (p "&amp;$AN1183&amp;")")</f>
        <v/>
      </c>
    </row>
    <row r="1184">
      <c r="A1184" t="inlineStr">
        <is>
          <t>three-way</t>
        </is>
      </c>
      <c r="B1184" t="inlineStr">
        <is>
          <t>ORIG_BAL x ASSET_CLASS / SYS_FLAG</t>
        </is>
      </c>
      <c r="C1184" t="inlineStr">
        <is>
          <t>5,005 - 15,448</t>
        </is>
      </c>
      <c r="D1184" t="inlineStr">
        <is>
          <t>3 / SYS_FLAG Y</t>
        </is>
      </c>
      <c r="E1184" t="inlineStr">
        <is>
          <t>outcome_loans</t>
        </is>
      </c>
      <c r="F1184" t="inlineStr">
        <is>
          <t>Outcome, share of loans</t>
        </is>
      </c>
      <c r="G1184" t="n">
        <v>184</v>
      </c>
      <c r="H1184" t="n">
        <v>184</v>
      </c>
      <c r="I1184" t="b">
        <v>0</v>
      </c>
      <c r="J1184" t="b">
        <v>0</v>
      </c>
      <c r="K1184" t="n">
        <v>1.272064674817333</v>
      </c>
      <c r="L1184" t="n">
        <v>0.5639229556355464</v>
      </c>
      <c r="M1184" t="n">
        <v>1.319254658385093</v>
      </c>
      <c r="N1184" t="n">
        <v>0.57171124817441</v>
      </c>
      <c r="O1184" t="n">
        <v>3.849776071657068</v>
      </c>
      <c r="P1184" t="n">
        <v>4.35593220338983</v>
      </c>
      <c r="Q1184">
        <f>'_live'!$C$20</f>
        <v/>
      </c>
      <c r="R1184" t="inlineStr">
        <is>
          <t>z test</t>
        </is>
      </c>
      <c r="S1184" t="inlineStr">
        <is>
          <t>z test</t>
        </is>
      </c>
      <c r="T1184" t="n">
        <v>0.07690339091490724</v>
      </c>
      <c r="U1184" t="n">
        <v>0.07415254237288135</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0.09782608695652174</v>
      </c>
      <c r="AI1184">
        <f>IF($Y1184="worse","Yes",IF($Y1184="worse, not significant","Not sure",IF(OR($Y1184="too few losses to test",$Y1184="too few loans to test"),"Too few losses",IF($Y1184="","","No"))))</f>
        <v/>
      </c>
      <c r="AJ1184">
        <f>IF($AA1184="yes","Yes",IF($AA1184="","","No"))</f>
        <v/>
      </c>
      <c r="AM1184">
        <f>IF(AND(ISNUMBER($AC1184),ISNUMBER(IF($V1184,IF($AL1184="","",$AL1184),IF($AK1184="","",$AK1184)))),IF(AND(ABS($AC1184-significance_bar)&lt;=2.0*IF($V1184,IF($AL1184="","",$AL1184),IF($AK1184="","",$AK1184)),OR($Y1184="worse",$Y1184="better",$Y1184="worse, not significant",$Y1184="better, not significant")),IF(ROUND($AC1184,3)=ROUND(significance_bar,3),TEXT($AC1184,"0.0000"),TEXT($AC1184,"0.000")),""),"")</f>
        <v/>
      </c>
      <c r="AN1184">
        <f>IF(AND(ISNUMBER($AC1184),ISNUMBER(IF($V1184,IF($AL1184="","",$AL1184),IF($AK1184="","",$AK1184)))),IF(AND(ABS($AC1184-significance_bar)&lt;=2.0*IF($V1184,IF($AL1184="","",$AL1184),IF($AK1184="","",$AK1184)),OR($Y1184="worse",$Y1184="worse, not significant")),IF(ROUND($AC1184,3)=ROUND(significance_bar,3),TEXT($AC1184,"0.0000"),TEXT($AC1184,"0.000")),""),"")</f>
        <v/>
      </c>
      <c r="AO1184">
        <f>IF(OR($AI1184="",$AN1184=""),$AI1184,$AI1184&amp;" · borderline (p "&amp;$AN1184&amp;")")</f>
        <v/>
      </c>
    </row>
    <row r="1185">
      <c r="A1185" t="inlineStr">
        <is>
          <t>three-way</t>
        </is>
      </c>
      <c r="B1185" t="inlineStr">
        <is>
          <t>ORIG_BAL x ASSET_CLASS / SYS_FLAG</t>
        </is>
      </c>
      <c r="C1185" t="inlineStr">
        <is>
          <t>5,005 - 15,448</t>
        </is>
      </c>
      <c r="D1185" t="inlineStr">
        <is>
          <t>3 / SYS_FLAG Y</t>
        </is>
      </c>
      <c r="E1185" t="inlineStr">
        <is>
          <t>outcome_booked</t>
        </is>
      </c>
      <c r="F1185" t="inlineStr">
        <is>
          <t>Outcome, share of booked dollars</t>
        </is>
      </c>
      <c r="G1185" t="n">
        <v>184</v>
      </c>
      <c r="H1185" t="n">
        <v>1825047.829999999</v>
      </c>
      <c r="I1185" t="b">
        <v>0</v>
      </c>
      <c r="J1185" t="b">
        <v>0</v>
      </c>
      <c r="K1185" t="n">
        <v>1.271107987071959</v>
      </c>
      <c r="L1185" t="n">
        <v>0.7069410705988224</v>
      </c>
      <c r="M1185" t="n">
        <v>1.298283363417781</v>
      </c>
      <c r="N1185" t="n">
        <v>0.6170582941705829</v>
      </c>
      <c r="O1185" t="n">
        <v>36953.34555975153</v>
      </c>
      <c r="P1185" t="n">
        <v>39806.44905669548</v>
      </c>
      <c r="Q1185">
        <f>'_live'!$C$21</f>
        <v/>
      </c>
      <c r="R1185" t="inlineStr">
        <is>
          <t>shuffled: 3,487 of 10,000</t>
        </is>
      </c>
      <c r="S1185" t="inlineStr">
        <is>
          <t>shuffled: 3,184 of 10,000</t>
        </is>
      </c>
      <c r="T1185" t="n">
        <v>0.07468565601387472</v>
      </c>
      <c r="U1185" t="n">
        <v>0.07312235260338605</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0.09493353387894501</v>
      </c>
      <c r="AI1185">
        <f>IF($Y1185="worse","Yes",IF($Y1185="worse, not significant","Not sure",IF(OR($Y1185="too few losses to test",$Y1185="too few loans to test"),"Too few losses",IF($Y1185="","","No"))))</f>
        <v/>
      </c>
      <c r="AJ1185">
        <f>IF($AA1185="yes","Yes",IF($AA1185="","","No"))</f>
        <v/>
      </c>
      <c r="AK1185" t="n">
        <v>0.009115629030301348</v>
      </c>
      <c r="AL1185" t="n">
        <v>0.007788018568726085</v>
      </c>
      <c r="AM1185">
        <f>IF(AND(ISNUMBER($AC1185),ISNUMBER(IF($V1185,IF($AL1185="","",$AL1185),IF($AK1185="","",$AK1185)))),IF(AND(ABS($AC1185-significance_bar)&lt;=2.0*IF($V1185,IF($AL1185="","",$AL1185),IF($AK1185="","",$AK1185)),OR($Y1185="worse",$Y1185="better",$Y1185="worse, not significant",$Y1185="better, not significant")),IF(ROUND($AC1185,3)=ROUND(significance_bar,3),TEXT($AC1185,"0.0000"),TEXT($AC1185,"0.000")),""),"")</f>
        <v/>
      </c>
      <c r="AN1185">
        <f>IF(AND(ISNUMBER($AC1185),ISNUMBER(IF($V1185,IF($AL1185="","",$AL1185),IF($AK1185="","",$AK1185)))),IF(AND(ABS($AC1185-significance_bar)&lt;=2.0*IF($V1185,IF($AL1185="","",$AL1185),IF($AK1185="","",$AK1185)),OR($Y1185="worse",$Y1185="worse, not significant")),IF(ROUND($AC1185,3)=ROUND(significance_bar,3),TEXT($AC1185,"0.0000"),TEXT($AC1185,"0.000")),""),"")</f>
        <v/>
      </c>
      <c r="AO1185">
        <f>IF(OR($AI1185="",$AN1185=""),$AI1185,$AI1185&amp;" · borderline (p "&amp;$AN1185&amp;")")</f>
        <v/>
      </c>
    </row>
    <row r="1186">
      <c r="A1186" t="inlineStr">
        <is>
          <t>three-way</t>
        </is>
      </c>
      <c r="B1186" t="inlineStr">
        <is>
          <t>ORIG_BAL x ASSET_CLASS / SYS_FLAG</t>
        </is>
      </c>
      <c r="C1186" t="inlineStr">
        <is>
          <t>5,005 - 15,448</t>
        </is>
      </c>
      <c r="D1186" t="inlineStr">
        <is>
          <t>3 / SYS_FLAG Y</t>
        </is>
      </c>
      <c r="E1186" t="inlineStr">
        <is>
          <t>gco_rate</t>
        </is>
      </c>
      <c r="F1186" t="inlineStr">
        <is>
          <t>GCO per booked dollar</t>
        </is>
      </c>
      <c r="G1186" t="n">
        <v>184</v>
      </c>
      <c r="H1186" t="n">
        <v>1825047.829999999</v>
      </c>
      <c r="I1186" t="b">
        <v>0</v>
      </c>
      <c r="J1186" t="b">
        <v>0</v>
      </c>
      <c r="K1186" t="n">
        <v>1.387037421592899</v>
      </c>
      <c r="L1186" t="n">
        <v>0.5204812852048128</v>
      </c>
      <c r="M1186" t="n">
        <v>1.462478285089994</v>
      </c>
      <c r="N1186" t="n">
        <v>0.4877734448777344</v>
      </c>
      <c r="O1186" t="n">
        <v>29308.13843113615</v>
      </c>
      <c r="P1186" t="n">
        <v>33214.32066735173</v>
      </c>
      <c r="Q1186">
        <f>'_live'!$C$22</f>
        <v/>
      </c>
      <c r="R1186" t="inlineStr">
        <is>
          <t>shuffled: 1,951 of 10,000</t>
        </is>
      </c>
      <c r="S1186" t="inlineStr">
        <is>
          <t>shuffled: 1,371 of 10,000</t>
        </is>
      </c>
      <c r="T1186" t="n">
        <v>0.04149168055988094</v>
      </c>
      <c r="U1186" t="n">
        <v>0.03935136282573389</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0.05755051362133345</v>
      </c>
      <c r="AI1186">
        <f>IF($Y1186="worse","Yes",IF($Y1186="worse, not significant","Not sure",IF(OR($Y1186="too few losses to test",$Y1186="too few loans to test"),"Too few losses",IF($Y1186="","","No"))))</f>
        <v/>
      </c>
      <c r="AJ1186">
        <f>IF($AA1186="yes","Yes",IF($AA1186="","","No"))</f>
        <v/>
      </c>
      <c r="AK1186" t="n">
        <v>0.0105690554243558</v>
      </c>
      <c r="AL1186" t="n">
        <v>0.01223267202315017</v>
      </c>
      <c r="AM1186">
        <f>IF(AND(ISNUMBER($AC1186),ISNUMBER(IF($V1186,IF($AL1186="","",$AL1186),IF($AK1186="","",$AK1186)))),IF(AND(ABS($AC1186-significance_bar)&lt;=2.0*IF($V1186,IF($AL1186="","",$AL1186),IF($AK1186="","",$AK1186)),OR($Y1186="worse",$Y1186="better",$Y1186="worse, not significant",$Y1186="better, not significant")),IF(ROUND($AC1186,3)=ROUND(significance_bar,3),TEXT($AC1186,"0.0000"),TEXT($AC1186,"0.000")),""),"")</f>
        <v/>
      </c>
      <c r="AN1186">
        <f>IF(AND(ISNUMBER($AC1186),ISNUMBER(IF($V1186,IF($AL1186="","",$AL1186),IF($AK1186="","",$AK1186)))),IF(AND(ABS($AC1186-significance_bar)&lt;=2.0*IF($V1186,IF($AL1186="","",$AL1186),IF($AK1186="","",$AK1186)),OR($Y1186="worse",$Y1186="worse, not significant")),IF(ROUND($AC1186,3)=ROUND(significance_bar,3),TEXT($AC1186,"0.0000"),TEXT($AC1186,"0.000")),""),"")</f>
        <v/>
      </c>
      <c r="AO1186">
        <f>IF(OR($AI1186="",$AN1186=""),$AI1186,$AI1186&amp;" · borderline (p "&amp;$AN1186&amp;")")</f>
        <v/>
      </c>
    </row>
    <row r="1187">
      <c r="A1187" t="inlineStr">
        <is>
          <t>three-way</t>
        </is>
      </c>
      <c r="B1187" t="inlineStr">
        <is>
          <t>ORIG_BAL x ASSET_CLASS / SYS_FLAG</t>
        </is>
      </c>
      <c r="C1187" t="inlineStr">
        <is>
          <t>5,005 - 15,448</t>
        </is>
      </c>
      <c r="D1187" t="inlineStr">
        <is>
          <t>3 / SYS_FLAG Y</t>
        </is>
      </c>
      <c r="E1187" t="inlineStr">
        <is>
          <t>ranr_rate</t>
        </is>
      </c>
      <c r="F1187" t="inlineStr">
        <is>
          <t>Profit after losses: RANR per booked dollar</t>
        </is>
      </c>
      <c r="G1187" t="n">
        <v>184</v>
      </c>
      <c r="H1187" t="n">
        <v>1825047.829999999</v>
      </c>
      <c r="I1187" t="b">
        <v>0</v>
      </c>
      <c r="J1187" t="b">
        <v>0</v>
      </c>
      <c r="K1187" t="n">
        <v>0.00623136197339344</v>
      </c>
      <c r="L1187" t="n">
        <v>0.8799120087991201</v>
      </c>
      <c r="M1187" t="n">
        <v>-0.01408623643077561</v>
      </c>
      <c r="N1187" t="n">
        <v>0.6513634350850629</v>
      </c>
      <c r="O1187" t="n">
        <v>-11372.53364748618</v>
      </c>
      <c r="P1187" t="n">
        <v>25708.05523085396</v>
      </c>
      <c r="Q1187">
        <f>'_live'!$C$23</f>
        <v/>
      </c>
      <c r="R1187" t="inlineStr">
        <is>
          <t>shuffled: 6,805 of 10,000</t>
        </is>
      </c>
      <c r="S1187" t="inlineStr">
        <is>
          <t>shuffled: 3,419 of 10,000</t>
        </is>
      </c>
      <c r="T1187" t="n">
        <v>0.1279459817513462</v>
      </c>
      <c r="U1187" t="n">
        <v>0.1482635801555152</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0.1341773437247396</v>
      </c>
      <c r="AI1187">
        <f>IF($Y1187="worse","Yes",IF($Y1187="worse, not significant","Not sure",IF(OR($Y1187="too few losses to test",$Y1187="too few loans to test"),"Too few losses",IF($Y1187="","","No"))))</f>
        <v/>
      </c>
      <c r="AJ1187">
        <f>IF($AA1187="yes","Yes",IF($AA1187="","","No"))</f>
        <v/>
      </c>
      <c r="AK1187" t="n">
        <v>0.006009369273937538</v>
      </c>
      <c r="AL1187" t="n">
        <v>0.009035584832976052</v>
      </c>
      <c r="AM1187">
        <f>IF(AND(ISNUMBER($AC1187),ISNUMBER(IF($V1187,IF($AL1187="","",$AL1187),IF($AK1187="","",$AK1187)))),IF(AND(ABS($AC1187-significance_bar)&lt;=2.0*IF($V1187,IF($AL1187="","",$AL1187),IF($AK1187="","",$AK1187)),OR($Y1187="worse",$Y1187="better",$Y1187="worse, not significant",$Y1187="better, not significant",AND(profit_kind="test",$Y1187="in line",ISNUMBER($AB1187),$AB1187&lt;&gt;0))),IF(ROUND($AC1187,3)=ROUND(significance_bar,3),TEXT($AC1187,"0.0000"),TEXT($AC1187,"0.000")),""),"")</f>
        <v/>
      </c>
      <c r="AN1187">
        <f>IF(AND(ISNUMBER($AC1187),ISNUMBER(IF($V1187,IF($AL1187="","",$AL1187),IF($AK1187="","",$AK1187)))),IF(AND(ABS($AC1187-significance_bar)&lt;=2.0*IF($V1187,IF($AL1187="","",$AL1187),IF($AK1187="","",$AK1187)),OR($Y1187="worse",$Y1187="worse, not significant",AND(profit_kind="test",$Y1187="in line",ISNUMBER($AB1187),$AB1187&lt;0))),IF(ROUND($AC1187,3)=ROUND(significance_bar,3),TEXT($AC1187,"0.0000"),TEXT($AC1187,"0.000")),""),"")</f>
        <v/>
      </c>
      <c r="AO1187">
        <f>IF(OR($AI1187="",$AN1187=""),$AI1187,$AI1187&amp;" · borderline (p "&amp;$AN1187&amp;")")</f>
        <v/>
      </c>
    </row>
    <row r="1188">
      <c r="A1188" t="inlineStr">
        <is>
          <t>three-way</t>
        </is>
      </c>
      <c r="B1188" t="inlineStr">
        <is>
          <t>ORIG_BAL x ASSET_CLASS / SYS_FLAG</t>
        </is>
      </c>
      <c r="C1188" t="inlineStr">
        <is>
          <t>5,005 - 15,448</t>
        </is>
      </c>
      <c r="D1188" t="inlineStr">
        <is>
          <t>3 / SYS_FLAG Y</t>
        </is>
      </c>
      <c r="E1188" t="inlineStr">
        <is>
          <t>contribution_rate</t>
        </is>
      </c>
      <c r="F1188" t="inlineStr">
        <is>
          <t>Contribution before losses per booked dollar</t>
        </is>
      </c>
      <c r="G1188" t="n">
        <v>184</v>
      </c>
      <c r="H1188" t="n">
        <v>1825047.829999999</v>
      </c>
      <c r="I1188" t="b">
        <v>0</v>
      </c>
      <c r="J1188" t="b">
        <v>0</v>
      </c>
      <c r="K1188" t="n">
        <v>0.02229308147482975</v>
      </c>
      <c r="L1188" t="n">
        <v>0.168649801686498</v>
      </c>
      <c r="M1188" t="n">
        <v>0.004112914364823889</v>
      </c>
      <c r="N1188" t="n">
        <v>0.892759208927592</v>
      </c>
      <c r="O1188" t="n">
        <v>-40685.93996965123</v>
      </c>
      <c r="P1188" t="n">
        <v>-7506.265436497692</v>
      </c>
      <c r="Q1188">
        <f>'_live'!$C$24</f>
        <v/>
      </c>
      <c r="R1188" t="inlineStr">
        <is>
          <t>shuffled: 252 of 10,000</t>
        </is>
      </c>
      <c r="S1188" t="inlineStr">
        <is>
          <t>shuffled: 6,805 of 10,000</t>
        </is>
      </c>
      <c r="T1188" t="n">
        <v>0.1694347758712432</v>
      </c>
      <c r="U1188" t="n">
        <v>0.1876149429812491</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0.1917278573460729</v>
      </c>
      <c r="AI1188">
        <f>IF($Y1188="worse","Yes",IF($Y1188="worse, not significant","Not sure",IF(OR($Y1188="too few losses to test",$Y1188="too few loans to test"),"Too few losses",IF($Y1188="","","No"))))</f>
        <v/>
      </c>
      <c r="AJ1188">
        <f>IF($AA1188="yes","Yes",IF($AA1188="","","No"))</f>
        <v/>
      </c>
      <c r="AK1188" t="n">
        <v>0.01046847293369202</v>
      </c>
      <c r="AL1188" t="n">
        <v>0.005339600821528397</v>
      </c>
      <c r="AM1188">
        <f>IF(AND(ISNUMBER($AC1188),ISNUMBER(IF($V1188,IF($AL1188="","",$AL1188),IF($AK1188="","",$AK1188)))),IF(AND(ABS($AC1188-significance_bar)&lt;=2.0*IF($V1188,IF($AL1188="","",$AL1188),IF($AK1188="","",$AK1188)),OR($Y1188="worse",$Y1188="better",$Y1188="worse, not significant",$Y1188="better, not significant",AND(profit_kind="test",$Y1188="in line",ISNUMBER($AB1188),$AB1188&lt;&gt;0))),IF(ROUND($AC1188,3)=ROUND(significance_bar,3),TEXT($AC1188,"0.0000"),TEXT($AC1188,"0.000")),""),"")</f>
        <v/>
      </c>
      <c r="AN1188">
        <f>IF(AND(ISNUMBER($AC1188),ISNUMBER(IF($V1188,IF($AL1188="","",$AL1188),IF($AK1188="","",$AK1188)))),IF(AND(ABS($AC1188-significance_bar)&lt;=2.0*IF($V1188,IF($AL1188="","",$AL1188),IF($AK1188="","",$AK1188)),OR($Y1188="worse",$Y1188="worse, not significant",AND(profit_kind="test",$Y1188="in line",ISNUMBER($AB1188),$AB1188&lt;0))),IF(ROUND($AC1188,3)=ROUND(significance_bar,3),TEXT($AC1188,"0.0000"),TEXT($AC1188,"0.000")),""),"")</f>
        <v/>
      </c>
      <c r="AO1188">
        <f>IF(OR($AI1188="",$AN1188=""),$AI1188,$AI1188&amp;" · borderline (p "&amp;$AN1188&amp;")")</f>
        <v/>
      </c>
    </row>
    <row r="1189">
      <c r="A1189" t="inlineStr">
        <is>
          <t>three-way</t>
        </is>
      </c>
      <c r="B1189" t="inlineStr">
        <is>
          <t>ORIG_BAL x ASSET_CLASS / SYS_FLAG</t>
        </is>
      </c>
      <c r="C1189" t="inlineStr">
        <is>
          <t>26,324 - 37,950</t>
        </is>
      </c>
      <c r="D1189" t="inlineStr">
        <is>
          <t>4 / SYS_FLAG N</t>
        </is>
      </c>
      <c r="E1189" t="inlineStr">
        <is>
          <t>outcome_loans</t>
        </is>
      </c>
      <c r="F1189" t="inlineStr">
        <is>
          <t>Outcome, share of loans</t>
        </is>
      </c>
      <c r="G1189" t="n">
        <v>218</v>
      </c>
      <c r="H1189" t="n">
        <v>218</v>
      </c>
      <c r="I1189" t="b">
        <v>0</v>
      </c>
      <c r="J1189" t="b">
        <v>0</v>
      </c>
      <c r="K1189" t="n">
        <v>1.007932274680728</v>
      </c>
      <c r="L1189" t="n">
        <v>0.9733186245437661</v>
      </c>
      <c r="M1189" t="n">
        <v>1.157147084936372</v>
      </c>
      <c r="N1189" t="n">
        <v>0.6966234522943614</v>
      </c>
      <c r="O1189" t="n">
        <v>0.1337874309214762</v>
      </c>
      <c r="P1189" t="n">
        <v>2.308695652173913</v>
      </c>
      <c r="Q1189">
        <f>'_live'!$C$20</f>
        <v/>
      </c>
      <c r="R1189" t="inlineStr">
        <is>
          <t>z test</t>
        </is>
      </c>
      <c r="S1189" t="inlineStr">
        <is>
          <t>z test</t>
        </is>
      </c>
      <c r="T1189" t="n">
        <v>0.07736794756458039</v>
      </c>
      <c r="U1189" t="n">
        <v>0.06739130434782609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0.07798165137614679</v>
      </c>
      <c r="AI1189">
        <f>IF($Y1189="worse","Yes",IF($Y1189="worse, not significant","Not sure",IF(OR($Y1189="too few losses to test",$Y1189="too few loans to test"),"Too few losses",IF($Y1189="","","No"))))</f>
        <v/>
      </c>
      <c r="AJ1189">
        <f>IF($AA1189="yes","Yes",IF($AA1189="","","No"))</f>
        <v/>
      </c>
      <c r="AM1189">
        <f>IF(AND(ISNUMBER($AC1189),ISNUMBER(IF($V1189,IF($AL1189="","",$AL1189),IF($AK1189="","",$AK1189)))),IF(AND(ABS($AC1189-significance_bar)&lt;=2.0*IF($V1189,IF($AL1189="","",$AL1189),IF($AK1189="","",$AK1189)),OR($Y1189="worse",$Y1189="better",$Y1189="worse, not significant",$Y1189="better, not significant")),IF(ROUND($AC1189,3)=ROUND(significance_bar,3),TEXT($AC1189,"0.0000"),TEXT($AC1189,"0.000")),""),"")</f>
        <v/>
      </c>
      <c r="AN1189">
        <f>IF(AND(ISNUMBER($AC1189),ISNUMBER(IF($V1189,IF($AL1189="","",$AL1189),IF($AK1189="","",$AK1189)))),IF(AND(ABS($AC1189-significance_bar)&lt;=2.0*IF($V1189,IF($AL1189="","",$AL1189),IF($AK1189="","",$AK1189)),OR($Y1189="worse",$Y1189="worse, not significant")),IF(ROUND($AC1189,3)=ROUND(significance_bar,3),TEXT($AC1189,"0.0000"),TEXT($AC1189,"0.000")),""),"")</f>
        <v/>
      </c>
      <c r="AO1189">
        <f>IF(OR($AI1189="",$AN1189=""),$AI1189,$AI1189&amp;" · borderline (p "&amp;$AN1189&amp;")")</f>
        <v/>
      </c>
    </row>
    <row r="1190">
      <c r="A1190" t="inlineStr">
        <is>
          <t>three-way</t>
        </is>
      </c>
      <c r="B1190" t="inlineStr">
        <is>
          <t>ORIG_BAL x ASSET_CLASS / SYS_FLAG</t>
        </is>
      </c>
      <c r="C1190" t="inlineStr">
        <is>
          <t>26,324 - 37,950</t>
        </is>
      </c>
      <c r="D1190" t="inlineStr">
        <is>
          <t>4 / SYS_FLAG N</t>
        </is>
      </c>
      <c r="E1190" t="inlineStr">
        <is>
          <t>outcome_booked</t>
        </is>
      </c>
      <c r="F1190" t="inlineStr">
        <is>
          <t>Outcome, share of booked dollars</t>
        </is>
      </c>
      <c r="G1190" t="n">
        <v>218</v>
      </c>
      <c r="H1190" t="n">
        <v>6945678.99</v>
      </c>
      <c r="I1190" t="b">
        <v>0</v>
      </c>
      <c r="J1190" t="b">
        <v>0</v>
      </c>
      <c r="K1190" t="n">
        <v>1.073691745953733</v>
      </c>
      <c r="L1190" t="n">
        <v>0.8704233024973365</v>
      </c>
      <c r="M1190" t="n">
        <v>1.208540667839056</v>
      </c>
      <c r="N1190" t="n">
        <v>0.6326407359264073</v>
      </c>
      <c r="O1190" t="n">
        <v>38224.52574003889</v>
      </c>
      <c r="P1190" t="n">
        <v>96101.98646869959</v>
      </c>
      <c r="Q1190">
        <f>'_live'!$C$21</f>
        <v/>
      </c>
      <c r="R1190" t="inlineStr">
        <is>
          <t>shuffled: 7,888 of 10,000</t>
        </is>
      </c>
      <c r="S1190" t="inlineStr">
        <is>
          <t>shuffled: 4,512 of 10,000</t>
        </is>
      </c>
      <c r="T1190" t="n">
        <v>0.07468072955959647</v>
      </c>
      <c r="U1190" t="n">
        <v>0.06634785658749548</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0.08018408290994168</v>
      </c>
      <c r="AI1190">
        <f>IF($Y1190="worse","Yes",IF($Y1190="worse, not significant","Not sure",IF(OR($Y1190="too few losses to test",$Y1190="too few loans to test"),"Too few losses",IF($Y1190="","","No"))))</f>
        <v/>
      </c>
      <c r="AJ1190">
        <f>IF($AA1190="yes","Yes",IF($AA1190="","","No"))</f>
        <v/>
      </c>
      <c r="AK1190" t="n">
        <v>0.004503669247185947</v>
      </c>
      <c r="AL1190" t="n">
        <v>0.006399576870639927</v>
      </c>
      <c r="AM1190">
        <f>IF(AND(ISNUMBER($AC1190),ISNUMBER(IF($V1190,IF($AL1190="","",$AL1190),IF($AK1190="","",$AK1190)))),IF(AND(ABS($AC1190-significance_bar)&lt;=2.0*IF($V1190,IF($AL1190="","",$AL1190),IF($AK1190="","",$AK1190)),OR($Y1190="worse",$Y1190="better",$Y1190="worse, not significant",$Y1190="better, not significant")),IF(ROUND($AC1190,3)=ROUND(significance_bar,3),TEXT($AC1190,"0.0000"),TEXT($AC1190,"0.000")),""),"")</f>
        <v/>
      </c>
      <c r="AN1190">
        <f>IF(AND(ISNUMBER($AC1190),ISNUMBER(IF($V1190,IF($AL1190="","",$AL1190),IF($AK1190="","",$AK1190)))),IF(AND(ABS($AC1190-significance_bar)&lt;=2.0*IF($V1190,IF($AL1190="","",$AL1190),IF($AK1190="","",$AK1190)),OR($Y1190="worse",$Y1190="worse, not significant")),IF(ROUND($AC1190,3)=ROUND(significance_bar,3),TEXT($AC1190,"0.0000"),TEXT($AC1190,"0.000")),""),"")</f>
        <v/>
      </c>
      <c r="AO1190">
        <f>IF(OR($AI1190="",$AN1190=""),$AI1190,$AI1190&amp;" · borderline (p "&amp;$AN1190&amp;")")</f>
        <v/>
      </c>
    </row>
    <row r="1191">
      <c r="A1191" t="inlineStr">
        <is>
          <t>three-way</t>
        </is>
      </c>
      <c r="B1191" t="inlineStr">
        <is>
          <t>ORIG_BAL x ASSET_CLASS / SYS_FLAG</t>
        </is>
      </c>
      <c r="C1191" t="inlineStr">
        <is>
          <t>26,324 - 37,950</t>
        </is>
      </c>
      <c r="D1191" t="inlineStr">
        <is>
          <t>4 / SYS_FLAG N</t>
        </is>
      </c>
      <c r="E1191" t="inlineStr">
        <is>
          <t>gco_rate</t>
        </is>
      </c>
      <c r="F1191" t="inlineStr">
        <is>
          <t>GCO per booked dollar</t>
        </is>
      </c>
      <c r="G1191" t="n">
        <v>218</v>
      </c>
      <c r="H1191" t="n">
        <v>6945678.99</v>
      </c>
      <c r="I1191" t="b">
        <v>0</v>
      </c>
      <c r="J1191" t="b">
        <v>0</v>
      </c>
      <c r="K1191" t="n">
        <v>1.052947848932813</v>
      </c>
      <c r="L1191" t="n">
        <v>0.9412575983780932</v>
      </c>
      <c r="M1191" t="n">
        <v>1.199622395593157</v>
      </c>
      <c r="N1191" t="n">
        <v>0.7733044877330449</v>
      </c>
      <c r="O1191" t="n">
        <v>15278.92438686074</v>
      </c>
      <c r="P1191" t="n">
        <v>50561.0425544937</v>
      </c>
      <c r="Q1191">
        <f>'_live'!$C$22</f>
        <v/>
      </c>
      <c r="R1191" t="inlineStr">
        <is>
          <t>shuffled: 8,490 of 10,000</t>
        </is>
      </c>
      <c r="S1191" t="inlineStr">
        <is>
          <t>shuffled: 4,810 of 10,000</t>
        </is>
      </c>
      <c r="T1191" t="n">
        <v>0.04154605129730293</v>
      </c>
      <c r="U1191" t="n">
        <v>0.03646632932650207</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0.04374582534514742</v>
      </c>
      <c r="AI1191">
        <f>IF($Y1191="worse","Yes",IF($Y1191="worse, not significant","Not sure",IF(OR($Y1191="too few losses to test",$Y1191="too few loans to test"),"Too few losses",IF($Y1191="","","No"))))</f>
        <v/>
      </c>
      <c r="AJ1191">
        <f>IF($AA1191="yes","Yes",IF($AA1191="","","No"))</f>
        <v/>
      </c>
      <c r="AK1191" t="n">
        <v>0.003907213937934329</v>
      </c>
      <c r="AL1191" t="n">
        <v>0.007258145058233783</v>
      </c>
      <c r="AM1191">
        <f>IF(AND(ISNUMBER($AC1191),ISNUMBER(IF($V1191,IF($AL1191="","",$AL1191),IF($AK1191="","",$AK1191)))),IF(AND(ABS($AC1191-significance_bar)&lt;=2.0*IF($V1191,IF($AL1191="","",$AL1191),IF($AK1191="","",$AK1191)),OR($Y1191="worse",$Y1191="better",$Y1191="worse, not significant",$Y1191="better, not significant")),IF(ROUND($AC1191,3)=ROUND(significance_bar,3),TEXT($AC1191,"0.0000"),TEXT($AC1191,"0.000")),""),"")</f>
        <v/>
      </c>
      <c r="AN1191">
        <f>IF(AND(ISNUMBER($AC1191),ISNUMBER(IF($V1191,IF($AL1191="","",$AL1191),IF($AK1191="","",$AK1191)))),IF(AND(ABS($AC1191-significance_bar)&lt;=2.0*IF($V1191,IF($AL1191="","",$AL1191),IF($AK1191="","",$AK1191)),OR($Y1191="worse",$Y1191="worse, not significant")),IF(ROUND($AC1191,3)=ROUND(significance_bar,3),TEXT($AC1191,"0.0000"),TEXT($AC1191,"0.000")),""),"")</f>
        <v/>
      </c>
      <c r="AO1191">
        <f>IF(OR($AI1191="",$AN1191=""),$AI1191,$AI1191&amp;" · borderline (p "&amp;$AN1191&amp;")")</f>
        <v/>
      </c>
    </row>
    <row r="1192">
      <c r="A1192" t="inlineStr">
        <is>
          <t>three-way</t>
        </is>
      </c>
      <c r="B1192" t="inlineStr">
        <is>
          <t>ORIG_BAL x ASSET_CLASS / SYS_FLAG</t>
        </is>
      </c>
      <c r="C1192" t="inlineStr">
        <is>
          <t>26,324 - 37,950</t>
        </is>
      </c>
      <c r="D1192" t="inlineStr">
        <is>
          <t>4 / SYS_FLAG N</t>
        </is>
      </c>
      <c r="E1192" t="inlineStr">
        <is>
          <t>ranr_rate</t>
        </is>
      </c>
      <c r="F1192" t="inlineStr">
        <is>
          <t>Profit after losses: RANR per booked dollar</t>
        </is>
      </c>
      <c r="G1192" t="n">
        <v>218</v>
      </c>
      <c r="H1192" t="n">
        <v>6945678.99</v>
      </c>
      <c r="I1192" t="b">
        <v>0</v>
      </c>
      <c r="J1192" t="b">
        <v>0</v>
      </c>
      <c r="K1192" t="n">
        <v>0.005776376638879033</v>
      </c>
      <c r="L1192" t="n">
        <v>0.8799120087991201</v>
      </c>
      <c r="M1192" t="n">
        <v>0.002672981432172122</v>
      </c>
      <c r="N1192" t="n">
        <v>0.9519048095190481</v>
      </c>
      <c r="O1192" t="n">
        <v>-40120.85785898904</v>
      </c>
      <c r="P1192" t="n">
        <v>-18565.67097409815</v>
      </c>
      <c r="Q1192">
        <f>'_live'!$C$23</f>
        <v/>
      </c>
      <c r="R1192" t="inlineStr">
        <is>
          <t>shuffled: 6,819 of 10,000</t>
        </is>
      </c>
      <c r="S1192" t="inlineStr">
        <is>
          <t>shuffled: 8,357 of 10,000</t>
        </is>
      </c>
      <c r="T1192" t="n">
        <v>0.127834583691437</v>
      </c>
      <c r="U1192" t="n">
        <v>0.130937978898144</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0.1336109603303161</v>
      </c>
      <c r="AI1192">
        <f>IF($Y1192="worse","Yes",IF($Y1192="worse, not significant","Not sure",IF(OR($Y1192="too few losses to test",$Y1192="too few loans to test"),"Too few losses",IF($Y1192="","","No"))))</f>
        <v/>
      </c>
      <c r="AJ1192">
        <f>IF($AA1192="yes","Yes",IF($AA1192="","","No"))</f>
        <v/>
      </c>
      <c r="AK1192" t="n">
        <v>0.006009369273937538</v>
      </c>
      <c r="AL1192" t="n">
        <v>0.002649336874809362</v>
      </c>
      <c r="AM1192">
        <f>IF(AND(ISNUMBER($AC1192),ISNUMBER(IF($V1192,IF($AL1192="","",$AL1192),IF($AK1192="","",$AK1192)))),IF(AND(ABS($AC1192-significance_bar)&lt;=2.0*IF($V1192,IF($AL1192="","",$AL1192),IF($AK1192="","",$AK1192)),OR($Y1192="worse",$Y1192="better",$Y1192="worse, not significant",$Y1192="better, not significant",AND(profit_kind="test",$Y1192="in line",ISNUMBER($AB1192),$AB1192&lt;&gt;0))),IF(ROUND($AC1192,3)=ROUND(significance_bar,3),TEXT($AC1192,"0.0000"),TEXT($AC1192,"0.000")),""),"")</f>
        <v/>
      </c>
      <c r="AN1192">
        <f>IF(AND(ISNUMBER($AC1192),ISNUMBER(IF($V1192,IF($AL1192="","",$AL1192),IF($AK1192="","",$AK1192)))),IF(AND(ABS($AC1192-significance_bar)&lt;=2.0*IF($V1192,IF($AL1192="","",$AL1192),IF($AK1192="","",$AK1192)),OR($Y1192="worse",$Y1192="worse, not significant",AND(profit_kind="test",$Y1192="in line",ISNUMBER($AB1192),$AB1192&lt;0))),IF(ROUND($AC1192,3)=ROUND(significance_bar,3),TEXT($AC1192,"0.0000"),TEXT($AC1192,"0.000")),""),"")</f>
        <v/>
      </c>
      <c r="AO1192">
        <f>IF(OR($AI1192="",$AN1192=""),$AI1192,$AI1192&amp;" · borderline (p "&amp;$AN1192&amp;")")</f>
        <v/>
      </c>
    </row>
    <row r="1193">
      <c r="A1193" t="inlineStr">
        <is>
          <t>three-way</t>
        </is>
      </c>
      <c r="B1193" t="inlineStr">
        <is>
          <t>ORIG_BAL x ASSET_CLASS / SYS_FLAG</t>
        </is>
      </c>
      <c r="C1193" t="inlineStr">
        <is>
          <t>26,324 - 37,950</t>
        </is>
      </c>
      <c r="D1193" t="inlineStr">
        <is>
          <t>4 / SYS_FLAG N</t>
        </is>
      </c>
      <c r="E1193" t="inlineStr">
        <is>
          <t>contribution_rate</t>
        </is>
      </c>
      <c r="F1193" t="inlineStr">
        <is>
          <t>Contribution before losses per booked dollar</t>
        </is>
      </c>
      <c r="G1193" t="n">
        <v>218</v>
      </c>
      <c r="H1193" t="n">
        <v>6945678.99</v>
      </c>
      <c r="I1193" t="b">
        <v>0</v>
      </c>
      <c r="J1193" t="b">
        <v>0</v>
      </c>
      <c r="K1193" t="n">
        <v>0.007979113600051824</v>
      </c>
      <c r="L1193" t="n">
        <v>0.774705138181834</v>
      </c>
      <c r="M1193" t="n">
        <v>0.00995247745081751</v>
      </c>
      <c r="N1193" t="n">
        <v>0.798978925636848</v>
      </c>
      <c r="O1193" t="n">
        <v>-55420.36169070331</v>
      </c>
      <c r="P1193" t="n">
        <v>-69126.71352859191</v>
      </c>
      <c r="Q1193">
        <f>'_live'!$C$24</f>
        <v/>
      </c>
      <c r="R1193" t="inlineStr">
        <is>
          <t>shuffled: 3,769 of 10,000</t>
        </is>
      </c>
      <c r="S1193" t="inlineStr">
        <is>
          <t>shuffled: 2,652 of 10,000</t>
        </is>
      </c>
      <c r="T1193" t="n">
        <v>0.1693776720754117</v>
      </c>
      <c r="U1193" t="n">
        <v>0.1674043082246461</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0.1773567856754636</v>
      </c>
      <c r="AI1193">
        <f>IF($Y1193="worse","Yes",IF($Y1193="worse, not significant","Not sure",IF(OR($Y1193="too few losses to test",$Y1193="too few loans to test"),"Too few losses",IF($Y1193="","","No"))))</f>
        <v/>
      </c>
      <c r="AJ1193">
        <f>IF($AA1193="yes","Yes",IF($AA1193="","","No"))</f>
        <v/>
      </c>
      <c r="AK1193" t="n">
        <v>0.008643756316955952</v>
      </c>
      <c r="AL1193" t="n">
        <v>0.0111426347407216</v>
      </c>
      <c r="AM1193">
        <f>IF(AND(ISNUMBER($AC1193),ISNUMBER(IF($V1193,IF($AL1193="","",$AL1193),IF($AK1193="","",$AK1193)))),IF(AND(ABS($AC1193-significance_bar)&lt;=2.0*IF($V1193,IF($AL1193="","",$AL1193),IF($AK1193="","",$AK1193)),OR($Y1193="worse",$Y1193="better",$Y1193="worse, not significant",$Y1193="better, not significant",AND(profit_kind="test",$Y1193="in line",ISNUMBER($AB1193),$AB1193&lt;&gt;0))),IF(ROUND($AC1193,3)=ROUND(significance_bar,3),TEXT($AC1193,"0.0000"),TEXT($AC1193,"0.000")),""),"")</f>
        <v/>
      </c>
      <c r="AN1193">
        <f>IF(AND(ISNUMBER($AC1193),ISNUMBER(IF($V1193,IF($AL1193="","",$AL1193),IF($AK1193="","",$AK1193)))),IF(AND(ABS($AC1193-significance_bar)&lt;=2.0*IF($V1193,IF($AL1193="","",$AL1193),IF($AK1193="","",$AK1193)),OR($Y1193="worse",$Y1193="worse, not significant",AND(profit_kind="test",$Y1193="in line",ISNUMBER($AB1193),$AB1193&lt;0))),IF(ROUND($AC1193,3)=ROUND(significance_bar,3),TEXT($AC1193,"0.0000"),TEXT($AC1193,"0.000")),""),"")</f>
        <v/>
      </c>
      <c r="AO1193">
        <f>IF(OR($AI1193="",$AN1193=""),$AI1193,$AI1193&amp;" · borderline (p "&amp;$AN1193&amp;")")</f>
        <v/>
      </c>
    </row>
    <row r="1194">
      <c r="A1194" t="inlineStr">
        <is>
          <t>three-way</t>
        </is>
      </c>
      <c r="B1194" t="inlineStr">
        <is>
          <t>ORIG_BAL x ASSET_CLASS / SYS_FLAG</t>
        </is>
      </c>
      <c r="C1194" t="inlineStr">
        <is>
          <t>26,324 - 37,950</t>
        </is>
      </c>
      <c r="D1194" t="inlineStr">
        <is>
          <t>3 / SYS_FLAG Y</t>
        </is>
      </c>
      <c r="E1194" t="inlineStr">
        <is>
          <t>outcome_loans</t>
        </is>
      </c>
      <c r="F1194" t="inlineStr">
        <is>
          <t>Outcome, share of loans</t>
        </is>
      </c>
      <c r="G1194" t="n">
        <v>169</v>
      </c>
      <c r="H1194" t="n">
        <v>169</v>
      </c>
      <c r="I1194" t="b">
        <v>0</v>
      </c>
      <c r="J1194" t="b">
        <v>0</v>
      </c>
      <c r="K1194" t="n">
        <v>0.8382318592338835</v>
      </c>
      <c r="L1194" t="n">
        <v>0.7933268312298792</v>
      </c>
      <c r="M1194" t="n">
        <v>0.9395134779750164</v>
      </c>
      <c r="N1194" t="n">
        <v>0.8946811478392365</v>
      </c>
      <c r="O1194" t="n">
        <v>-2.122860791826309</v>
      </c>
      <c r="P1194" t="n">
        <v>-0.7081875437368783</v>
      </c>
      <c r="Q1194">
        <f>'_live'!$C$20</f>
        <v/>
      </c>
      <c r="R1194" t="inlineStr">
        <is>
          <t>z test</t>
        </is>
      </c>
      <c r="S1194" t="inlineStr">
        <is>
          <t>z test</t>
        </is>
      </c>
      <c r="T1194" t="n">
        <v>0.07765006385696041</v>
      </c>
      <c r="U1194" t="n">
        <v>0.06927921623512946</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0.0650887573964497</v>
      </c>
      <c r="AI1194">
        <f>IF($Y1194="worse","Yes",IF($Y1194="worse, not significant","Not sure",IF(OR($Y1194="too few losses to test",$Y1194="too few loans to test"),"Too few losses",IF($Y1194="","","No"))))</f>
        <v/>
      </c>
      <c r="AJ1194">
        <f>IF($AA1194="yes","Yes",IF($AA1194="","","No"))</f>
        <v/>
      </c>
      <c r="AM1194">
        <f>IF(AND(ISNUMBER($AC1194),ISNUMBER(IF($V1194,IF($AL1194="","",$AL1194),IF($AK1194="","",$AK1194)))),IF(AND(ABS($AC1194-significance_bar)&lt;=2.0*IF($V1194,IF($AL1194="","",$AL1194),IF($AK1194="","",$AK1194)),OR($Y1194="worse",$Y1194="better",$Y1194="worse, not significant",$Y1194="better, not significant")),IF(ROUND($AC1194,3)=ROUND(significance_bar,3),TEXT($AC1194,"0.0000"),TEXT($AC1194,"0.000")),""),"")</f>
        <v/>
      </c>
      <c r="AN1194">
        <f>IF(AND(ISNUMBER($AC1194),ISNUMBER(IF($V1194,IF($AL1194="","",$AL1194),IF($AK1194="","",$AK1194)))),IF(AND(ABS($AC1194-significance_bar)&lt;=2.0*IF($V1194,IF($AL1194="","",$AL1194),IF($AK1194="","",$AK1194)),OR($Y1194="worse",$Y1194="worse, not significant")),IF(ROUND($AC1194,3)=ROUND(significance_bar,3),TEXT($AC1194,"0.0000"),TEXT($AC1194,"0.000")),""),"")</f>
        <v/>
      </c>
      <c r="AO1194">
        <f>IF(OR($AI1194="",$AN1194=""),$AI1194,$AI1194&amp;" · borderline (p "&amp;$AN1194&amp;")")</f>
        <v/>
      </c>
    </row>
    <row r="1195">
      <c r="A1195" t="inlineStr">
        <is>
          <t>three-way</t>
        </is>
      </c>
      <c r="B1195" t="inlineStr">
        <is>
          <t>ORIG_BAL x ASSET_CLASS / SYS_FLAG</t>
        </is>
      </c>
      <c r="C1195" t="inlineStr">
        <is>
          <t>26,324 - 37,950</t>
        </is>
      </c>
      <c r="D1195" t="inlineStr">
        <is>
          <t>3 / SYS_FLAG Y</t>
        </is>
      </c>
      <c r="E1195" t="inlineStr">
        <is>
          <t>outcome_booked</t>
        </is>
      </c>
      <c r="F1195" t="inlineStr">
        <is>
          <t>Outcome, share of booked dollars</t>
        </is>
      </c>
      <c r="G1195" t="n">
        <v>169</v>
      </c>
      <c r="H1195" t="n">
        <v>5441729.010000002</v>
      </c>
      <c r="I1195" t="b">
        <v>0</v>
      </c>
      <c r="J1195" t="b">
        <v>0</v>
      </c>
      <c r="K1195" t="n">
        <v>0.8680035947888476</v>
      </c>
      <c r="L1195" t="n">
        <v>0.8613995743282814</v>
      </c>
      <c r="M1195" t="n">
        <v>0.9496493720400172</v>
      </c>
      <c r="N1195" t="n">
        <v>0.9301469853014698</v>
      </c>
      <c r="O1195" t="n">
        <v>-53898.76765146659</v>
      </c>
      <c r="P1195" t="n">
        <v>-18792.29673580226</v>
      </c>
      <c r="Q1195">
        <f>'_live'!$C$21</f>
        <v/>
      </c>
      <c r="R1195" t="inlineStr">
        <is>
          <t>shuffled: 6,657 of 10,000</t>
        </is>
      </c>
      <c r="S1195" t="inlineStr">
        <is>
          <t>shuffled: 8,720 of 10,000</t>
        </is>
      </c>
      <c r="T1195" t="n">
        <v>0.07503775305626005</v>
      </c>
      <c r="U1195" t="n">
        <v>0.06858640811586503</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0.06513303939771156</v>
      </c>
      <c r="AI1195">
        <f>IF($Y1195="worse","Yes",IF($Y1195="worse, not significant","Not sure",IF(OR($Y1195="too few losses to test",$Y1195="too few loans to test"),"Too few losses",IF($Y1195="","","No"))))</f>
        <v/>
      </c>
      <c r="AJ1195">
        <f>IF($AA1195="yes","Yes",IF($AA1195="","","No"))</f>
        <v/>
      </c>
      <c r="AK1195" t="n">
        <v>0.004923895101667321</v>
      </c>
      <c r="AL1195" t="n">
        <v>0.0035634726048639</v>
      </c>
      <c r="AM1195">
        <f>IF(AND(ISNUMBER($AC1195),ISNUMBER(IF($V1195,IF($AL1195="","",$AL1195),IF($AK1195="","",$AK1195)))),IF(AND(ABS($AC1195-significance_bar)&lt;=2.0*IF($V1195,IF($AL1195="","",$AL1195),IF($AK1195="","",$AK1195)),OR($Y1195="worse",$Y1195="better",$Y1195="worse, not significant",$Y1195="better, not significant")),IF(ROUND($AC1195,3)=ROUND(significance_bar,3),TEXT($AC1195,"0.0000"),TEXT($AC1195,"0.000")),""),"")</f>
        <v/>
      </c>
      <c r="AN1195">
        <f>IF(AND(ISNUMBER($AC1195),ISNUMBER(IF($V1195,IF($AL1195="","",$AL1195),IF($AK1195="","",$AK1195)))),IF(AND(ABS($AC1195-significance_bar)&lt;=2.0*IF($V1195,IF($AL1195="","",$AL1195),IF($AK1195="","",$AK1195)),OR($Y1195="worse",$Y1195="worse, not significant")),IF(ROUND($AC1195,3)=ROUND(significance_bar,3),TEXT($AC1195,"0.0000"),TEXT($AC1195,"0.000")),""),"")</f>
        <v/>
      </c>
      <c r="AO1195">
        <f>IF(OR($AI1195="",$AN1195=""),$AI1195,$AI1195&amp;" · borderline (p "&amp;$AN1195&amp;")")</f>
        <v/>
      </c>
    </row>
    <row r="1196">
      <c r="A1196" t="inlineStr">
        <is>
          <t>three-way</t>
        </is>
      </c>
      <c r="B1196" t="inlineStr">
        <is>
          <t>ORIG_BAL x ASSET_CLASS / SYS_FLAG</t>
        </is>
      </c>
      <c r="C1196" t="inlineStr">
        <is>
          <t>26,324 - 37,950</t>
        </is>
      </c>
      <c r="D1196" t="inlineStr">
        <is>
          <t>3 / SYS_FLAG Y</t>
        </is>
      </c>
      <c r="E1196" t="inlineStr">
        <is>
          <t>gco_rate</t>
        </is>
      </c>
      <c r="F1196" t="inlineStr">
        <is>
          <t>GCO per booked dollar</t>
        </is>
      </c>
      <c r="G1196" t="n">
        <v>169</v>
      </c>
      <c r="H1196" t="n">
        <v>5441729.010000002</v>
      </c>
      <c r="I1196" t="b">
        <v>0</v>
      </c>
      <c r="J1196" t="b">
        <v>0</v>
      </c>
      <c r="K1196" t="n">
        <v>0.8439358228624835</v>
      </c>
      <c r="L1196" t="n">
        <v>0.9412575983780932</v>
      </c>
      <c r="M1196" t="n">
        <v>0.9340831797332976</v>
      </c>
      <c r="N1196" t="n">
        <v>0.8843115688431157</v>
      </c>
      <c r="O1196" t="n">
        <v>-35450.32324505522</v>
      </c>
      <c r="P1196" t="n">
        <v>-13528.10895441359</v>
      </c>
      <c r="Q1196">
        <f>'_live'!$C$22</f>
        <v/>
      </c>
      <c r="R1196" t="inlineStr">
        <is>
          <t>shuffled: 6,180 of 10,000</t>
        </is>
      </c>
      <c r="S1196" t="inlineStr">
        <is>
          <t>shuffled: 8,346 of 10,000</t>
        </is>
      </c>
      <c r="T1196" t="n">
        <v>0.04174265437099654</v>
      </c>
      <c r="U1196" t="n">
        <v>0.03771411596889011</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0.03522812136505121</v>
      </c>
      <c r="AI1196">
        <f>IF($Y1196="worse","Yes",IF($Y1196="worse, not significant","Not sure",IF(OR($Y1196="too few losses to test",$Y1196="too few loans to test"),"Too few losses",IF($Y1196="","","No"))))</f>
        <v/>
      </c>
      <c r="AJ1196">
        <f>IF($AA1196="yes","Yes",IF($AA1196="","","No"))</f>
        <v/>
      </c>
      <c r="AK1196" t="n">
        <v>0.003907213937934329</v>
      </c>
      <c r="AL1196" t="n">
        <v>0.003198509309871446</v>
      </c>
      <c r="AM1196">
        <f>IF(AND(ISNUMBER($AC1196),ISNUMBER(IF($V1196,IF($AL1196="","",$AL1196),IF($AK1196="","",$AK1196)))),IF(AND(ABS($AC1196-significance_bar)&lt;=2.0*IF($V1196,IF($AL1196="","",$AL1196),IF($AK1196="","",$AK1196)),OR($Y1196="worse",$Y1196="better",$Y1196="worse, not significant",$Y1196="better, not significant")),IF(ROUND($AC1196,3)=ROUND(significance_bar,3),TEXT($AC1196,"0.0000"),TEXT($AC1196,"0.000")),""),"")</f>
        <v/>
      </c>
      <c r="AN1196">
        <f>IF(AND(ISNUMBER($AC1196),ISNUMBER(IF($V1196,IF($AL1196="","",$AL1196),IF($AK1196="","",$AK1196)))),IF(AND(ABS($AC1196-significance_bar)&lt;=2.0*IF($V1196,IF($AL1196="","",$AL1196),IF($AK1196="","",$AK1196)),OR($Y1196="worse",$Y1196="worse, not significant")),IF(ROUND($AC1196,3)=ROUND(significance_bar,3),TEXT($AC1196,"0.0000"),TEXT($AC1196,"0.000")),""),"")</f>
        <v/>
      </c>
      <c r="AO1196">
        <f>IF(OR($AI1196="",$AN1196=""),$AI1196,$AI1196&amp;" · borderline (p "&amp;$AN1196&amp;")")</f>
        <v/>
      </c>
    </row>
    <row r="1197">
      <c r="A1197" t="inlineStr">
        <is>
          <t>three-way</t>
        </is>
      </c>
      <c r="B1197" t="inlineStr">
        <is>
          <t>ORIG_BAL x ASSET_CLASS / SYS_FLAG</t>
        </is>
      </c>
      <c r="C1197" t="inlineStr">
        <is>
          <t>26,324 - 37,950</t>
        </is>
      </c>
      <c r="D1197" t="inlineStr">
        <is>
          <t>3 / SYS_FLAG Y</t>
        </is>
      </c>
      <c r="E1197" t="inlineStr">
        <is>
          <t>ranr_rate</t>
        </is>
      </c>
      <c r="F1197" t="inlineStr">
        <is>
          <t>Profit after losses: RANR per booked dollar</t>
        </is>
      </c>
      <c r="G1197" t="n">
        <v>169</v>
      </c>
      <c r="H1197" t="n">
        <v>5441729.010000002</v>
      </c>
      <c r="I1197" t="b">
        <v>0</v>
      </c>
      <c r="J1197" t="b">
        <v>0</v>
      </c>
      <c r="K1197" t="n">
        <v>0.008802779530678012</v>
      </c>
      <c r="L1197" t="n">
        <v>0.8120616509777595</v>
      </c>
      <c r="M1197" t="n">
        <v>0.00593675345868111</v>
      </c>
      <c r="N1197" t="n">
        <v>0.826220408262204</v>
      </c>
      <c r="O1197" t="n">
        <v>-47902.3407407247</v>
      </c>
      <c r="P1197" t="n">
        <v>-32306.20352132281</v>
      </c>
      <c r="Q1197">
        <f>'_live'!$C$23</f>
        <v/>
      </c>
      <c r="R1197" t="inlineStr">
        <is>
          <t>shuffled: 5,684 of 10,000</t>
        </is>
      </c>
      <c r="S1197" t="inlineStr">
        <is>
          <t>shuffled: 6,816 of 10,000</t>
        </is>
      </c>
      <c r="T1197" t="n">
        <v>0.127804430904448</v>
      </c>
      <c r="U1197" t="n">
        <v>0.1306704569764449</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0.136607210435126</v>
      </c>
      <c r="AI1197">
        <f>IF($Y1197="worse","Yes",IF($Y1197="worse, not significant","Not sure",IF(OR($Y1197="too few losses to test",$Y1197="too few loans to test"),"Too few losses",IF($Y1197="","","No"))))</f>
        <v/>
      </c>
      <c r="AJ1197">
        <f>IF($AA1197="yes","Yes",IF($AA1197="","","No"))</f>
        <v/>
      </c>
      <c r="AK1197" t="n">
        <v>0.007075619745553362</v>
      </c>
      <c r="AL1197" t="n">
        <v>0.005646584097603634</v>
      </c>
      <c r="AM1197">
        <f>IF(AND(ISNUMBER($AC1197),ISNUMBER(IF($V1197,IF($AL1197="","",$AL1197),IF($AK1197="","",$AK1197)))),IF(AND(ABS($AC1197-significance_bar)&lt;=2.0*IF($V1197,IF($AL1197="","",$AL1197),IF($AK1197="","",$AK1197)),OR($Y1197="worse",$Y1197="better",$Y1197="worse, not significant",$Y1197="better, not significant",AND(profit_kind="test",$Y1197="in line",ISNUMBER($AB1197),$AB1197&lt;&gt;0))),IF(ROUND($AC1197,3)=ROUND(significance_bar,3),TEXT($AC1197,"0.0000"),TEXT($AC1197,"0.000")),""),"")</f>
        <v/>
      </c>
      <c r="AN1197">
        <f>IF(AND(ISNUMBER($AC1197),ISNUMBER(IF($V1197,IF($AL1197="","",$AL1197),IF($AK1197="","",$AK1197)))),IF(AND(ABS($AC1197-significance_bar)&lt;=2.0*IF($V1197,IF($AL1197="","",$AL1197),IF($AK1197="","",$AK1197)),OR($Y1197="worse",$Y1197="worse, not significant",AND(profit_kind="test",$Y1197="in line",ISNUMBER($AB1197),$AB1197&lt;0))),IF(ROUND($AC1197,3)=ROUND(significance_bar,3),TEXT($AC1197,"0.0000"),TEXT($AC1197,"0.000")),""),"")</f>
        <v/>
      </c>
      <c r="AO1197">
        <f>IF(OR($AI1197="",$AN1197=""),$AI1197,$AI1197&amp;" · borderline (p "&amp;$AN1197&amp;")")</f>
        <v/>
      </c>
    </row>
    <row r="1198">
      <c r="A1198" t="inlineStr">
        <is>
          <t>three-way</t>
        </is>
      </c>
      <c r="B1198" t="inlineStr">
        <is>
          <t>ORIG_BAL x ASSET_CLASS / SYS_FLAG</t>
        </is>
      </c>
      <c r="C1198" t="inlineStr">
        <is>
          <t>26,324 - 37,950</t>
        </is>
      </c>
      <c r="D1198" t="inlineStr">
        <is>
          <t>3 / SYS_FLAG Y</t>
        </is>
      </c>
      <c r="E1198" t="inlineStr">
        <is>
          <t>contribution_rate</t>
        </is>
      </c>
      <c r="F1198" t="inlineStr">
        <is>
          <t>Contribution before losses per booked dollar</t>
        </is>
      </c>
      <c r="G1198" t="n">
        <v>169</v>
      </c>
      <c r="H1198" t="n">
        <v>5441729.010000002</v>
      </c>
      <c r="I1198" t="b">
        <v>0</v>
      </c>
      <c r="J1198" t="b">
        <v>0</v>
      </c>
      <c r="K1198" t="n">
        <v>0.002291196533687978</v>
      </c>
      <c r="L1198" t="n">
        <v>0.9955004499550044</v>
      </c>
      <c r="M1198" t="n">
        <v>0.003450758854842195</v>
      </c>
      <c r="N1198" t="n">
        <v>0.892759208927592</v>
      </c>
      <c r="O1198" t="n">
        <v>-12468.07064498134</v>
      </c>
      <c r="P1198" t="n">
        <v>-18778.09456690913</v>
      </c>
      <c r="Q1198">
        <f>'_live'!$C$24</f>
        <v/>
      </c>
      <c r="R1198" t="inlineStr">
        <is>
          <t>shuffled: 8,214 of 10,000</t>
        </is>
      </c>
      <c r="S1198" t="inlineStr">
        <is>
          <t>shuffled: 7,255 of 10,000</t>
        </is>
      </c>
      <c r="T1198" t="n">
        <v>0.1695441352664893</v>
      </c>
      <c r="U1198" t="n">
        <v>0.168384572945335</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0.1718353318001772</v>
      </c>
      <c r="AI1198">
        <f>IF($Y1198="worse","Yes",IF($Y1198="worse, not significant","Not sure",IF(OR($Y1198="too few losses to test",$Y1198="too few loans to test"),"Too few losses",IF($Y1198="","","No"))))</f>
        <v/>
      </c>
      <c r="AJ1198">
        <f>IF($AA1198="yes","Yes",IF($AA1198="","","No"))</f>
        <v/>
      </c>
      <c r="AK1198" t="n">
        <v>0.0006692760338147521</v>
      </c>
      <c r="AL1198" t="n">
        <v>0.005339600821528397</v>
      </c>
      <c r="AM1198">
        <f>IF(AND(ISNUMBER($AC1198),ISNUMBER(IF($V1198,IF($AL1198="","",$AL1198),IF($AK1198="","",$AK1198)))),IF(AND(ABS($AC1198-significance_bar)&lt;=2.0*IF($V1198,IF($AL1198="","",$AL1198),IF($AK1198="","",$AK1198)),OR($Y1198="worse",$Y1198="better",$Y1198="worse, not significant",$Y1198="better, not significant",AND(profit_kind="test",$Y1198="in line",ISNUMBER($AB1198),$AB1198&lt;&gt;0))),IF(ROUND($AC1198,3)=ROUND(significance_bar,3),TEXT($AC1198,"0.0000"),TEXT($AC1198,"0.000")),""),"")</f>
        <v/>
      </c>
      <c r="AN1198">
        <f>IF(AND(ISNUMBER($AC1198),ISNUMBER(IF($V1198,IF($AL1198="","",$AL1198),IF($AK1198="","",$AK1198)))),IF(AND(ABS($AC1198-significance_bar)&lt;=2.0*IF($V1198,IF($AL1198="","",$AL1198),IF($AK1198="","",$AK1198)),OR($Y1198="worse",$Y1198="worse, not significant",AND(profit_kind="test",$Y1198="in line",ISNUMBER($AB1198),$AB1198&lt;0))),IF(ROUND($AC1198,3)=ROUND(significance_bar,3),TEXT($AC1198,"0.0000"),TEXT($AC1198,"0.000")),""),"")</f>
        <v/>
      </c>
      <c r="AO1198">
        <f>IF(OR($AI1198="",$AN1198=""),$AI1198,$AI1198&amp;" · borderline (p "&amp;$AN1198&amp;")")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676"/>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IF(AND($A2='Pockets'!$D$17,$B2='Pockets'!$C$17,OR('Pockets'!$E$17="All",AND('Pockets'!$E$17="Worse and material",$K2="Yes",$L2="Yes"),AND('Pockets'!$E$17="Worse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IF(AND($A3='Pockets'!$D$17,$B3='Pockets'!$C$17,OR('Pockets'!$E$17="All",AND('Pockets'!$E$17="Worse and material",$K3="Yes",$L3="Yes"),AND('Pockets'!$E$17="Worse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IF(AND($A4='Pockets'!$D$17,$B4='Pockets'!$C$17,OR('Pockets'!$E$17="All",AND('Pockets'!$E$17="Worse and material",$K4="Yes",$L4="Yes"),AND('Pockets'!$E$17="Worse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IF(AND($A5='Pockets'!$D$17,$B5='Pockets'!$C$17,OR('Pockets'!$E$17="All",AND('Pockets'!$E$17="Worse and material",$K5="Yes",$L5="Yes"),AND('Pockets'!$E$17="Worse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IF(AND($A6='Pockets'!$D$17,$B6='Pockets'!$C$17,OR('Pockets'!$E$17="All",AND('Pockets'!$E$17="Worse and material",$K6="Yes",$L6="Yes"),AND('Pockets'!$E$17="Worse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IF(AND($A7='Pockets'!$D$17,$B7='Pockets'!$C$17,OR('Pockets'!$E$17="All",AND('Pockets'!$E$17="Worse and material",$K7="Yes",$L7="Yes"),AND('Pockets'!$E$17="Worse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IF(AND($A8='Pockets'!$D$17,$B8='Pockets'!$C$17,OR('Pockets'!$E$17="All",AND('Pockets'!$E$17="Worse and material",$K8="Yes",$L8="Yes"),AND('Pockets'!$E$17="Worse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IF(AND($A9='Pockets'!$D$17,$B9='Pockets'!$C$17,OR('Pockets'!$E$17="All",AND('Pockets'!$E$17="Worse and material",$K9="Yes",$L9="Yes"),AND('Pockets'!$E$17="Worse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IF(AND($A10='Pockets'!$D$17,$B10='Pockets'!$C$17,OR('Pockets'!$E$17="All",AND('Pockets'!$E$17="Worse and material",$K10="Yes",$L10="Yes"),AND('Pockets'!$E$17="Worse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IF(AND($A11='Pockets'!$D$17,$B11='Pockets'!$C$17,OR('Pockets'!$E$17="All",AND('Pockets'!$E$17="Worse and material",$K11="Yes",$L11="Yes"),AND('Pockets'!$E$17="Worse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IF(AND($A12='Pockets'!$D$17,$B12='Pockets'!$C$17,OR('Pockets'!$E$17="All",AND('Pockets'!$E$17="Worse and material",$K12="Yes",$L12="Yes"),AND('Pockets'!$E$17="Worse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IF(AND($A13='Pockets'!$D$17,$B13='Pockets'!$C$17,OR('Pockets'!$E$17="All",AND('Pockets'!$E$17="Worse and material",$K13="Yes",$L13="Yes"),AND('Pockets'!$E$17="Worse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IF(AND($A14='Pockets'!$D$17,$B14='Pockets'!$C$17,OR('Pockets'!$E$17="All",AND('Pockets'!$E$17="Worse and material",$K14="Yes",$L14="Yes"),AND('Pockets'!$E$17="Worse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IF(AND($A15='Pockets'!$D$17,$B15='Pockets'!$C$17,OR('Pockets'!$E$17="All",AND('Pockets'!$E$17="Worse and material",$K15="Yes",$L15="Yes"),AND('Pockets'!$E$17="Worse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IF(AND($A16='Pockets'!$D$17,$B16='Pockets'!$C$17,OR('Pockets'!$E$17="All",AND('Pockets'!$E$17="Worse and material",$K16="Yes",$L16="Yes"),AND('Pockets'!$E$17="Worse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IF(AND($A17='Pockets'!$D$17,$B17='Pockets'!$C$17,OR('Pockets'!$E$17="All",AND('Pockets'!$E$17="Worse and material",$K17="Yes",$L17="Yes"),AND('Pockets'!$E$17="Worse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IF(AND($A18='Pockets'!$D$17,$B18='Pockets'!$C$17,OR('Pockets'!$E$17="All",AND('Pockets'!$E$17="Worse and material",$K18="Yes",$L18="Yes"),AND('Pockets'!$E$17="Worse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IF(AND($A19='Pockets'!$D$17,$B19='Pockets'!$C$17,OR('Pockets'!$E$17="All",AND('Pockets'!$E$17="Worse and material",$K19="Yes",$L19="Yes"),AND('Pockets'!$E$17="Worse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IF(AND($A20='Pockets'!$D$17,$B20='Pockets'!$C$17,OR('Pockets'!$E$17="All",AND('Pockets'!$E$17="Worse and material",$K20="Yes",$L20="Yes"),AND('Pockets'!$E$17="Worse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IF(AND($A21='Pockets'!$D$17,$B21='Pockets'!$C$17,OR('Pockets'!$E$17="All",AND('Pockets'!$E$17="Worse and material",$K21="Yes",$L21="Yes"),AND('Pockets'!$E$17="Worse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IF(AND($A22='Pockets'!$D$17,$B22='Pockets'!$C$17,OR('Pockets'!$E$17="All",AND('Pockets'!$E$17="Worse and material",$K22="Yes",$L22="Yes"),AND('Pockets'!$E$17="Worse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IF(AND($A23='Pockets'!$D$17,$B23='Pockets'!$C$17,OR('Pockets'!$E$17="All",AND('Pockets'!$E$17="Worse and material",$K23="Yes",$L23="Yes"),AND('Pockets'!$E$17="Worse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IF(AND($A24='Pockets'!$D$17,$B24='Pockets'!$C$17,OR('Pockets'!$E$17="All",AND('Pockets'!$E$17="Worse and material",$K24="Yes",$L24="Yes"),AND('Pockets'!$E$17="Worse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IF(AND($A25='Pockets'!$D$17,$B25='Pockets'!$C$17,OR('Pockets'!$E$17="All",AND('Pockets'!$E$17="Worse and material",$K25="Yes",$L25="Yes"),AND('Pockets'!$E$17="Worse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IF(AND($A26='Pockets'!$D$17,$B26='Pockets'!$C$17,OR('Pockets'!$E$17="All",AND('Pockets'!$E$17="Worse and material",$K26="Yes",$L26="Yes"),AND('Pockets'!$E$17="Worse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IF(AND($A27='Pockets'!$D$17,$B27='Pockets'!$C$17,OR('Pockets'!$E$17="All",AND('Pockets'!$E$17="Worse and material",$K27="Yes",$L27="Yes"),AND('Pockets'!$E$17="Worse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IF(AND($A28='Pockets'!$D$17,$B28='Pockets'!$C$17,OR('Pockets'!$E$17="All",AND('Pockets'!$E$17="Worse and material",$K28="Yes",$L28="Yes"),AND('Pockets'!$E$17="Worse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IF(AND($A29='Pockets'!$D$17,$B29='Pockets'!$C$17,OR('Pockets'!$E$17="All",AND('Pockets'!$E$17="Worse and material",$K29="Yes",$L29="Yes"),AND('Pockets'!$E$17="Worse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IF(AND($A30='Pockets'!$D$17,$B30='Pockets'!$C$17,OR('Pockets'!$E$17="All",AND('Pockets'!$E$17="Worse and material",$K30="Yes",$L30="Yes"),AND('Pockets'!$E$17="Worse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IF(AND($A31='Pockets'!$D$17,$B31='Pockets'!$C$17,OR('Pockets'!$E$17="All",AND('Pockets'!$E$17="Worse and material",$K31="Yes",$L31="Yes"),AND('Pockets'!$E$17="Worse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IF(AND($A32='Pockets'!$D$17,$B32='Pockets'!$C$17,OR('Pockets'!$E$17="All",AND('Pockets'!$E$17="Worse and material",$K32="Yes",$L32="Yes"),AND('Pockets'!$E$17="Worse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IF(AND($A33='Pockets'!$D$17,$B33='Pockets'!$C$17,OR('Pockets'!$E$17="All",AND('Pockets'!$E$17="Worse and material",$K33="Yes",$L33="Yes"),AND('Pockets'!$E$17="Worse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IF(AND($A34='Pockets'!$D$17,$B34='Pockets'!$C$17,OR('Pockets'!$E$17="All",AND('Pockets'!$E$17="Worse and material",$K34="Yes",$L34="Yes"),AND('Pockets'!$E$17="Worse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IF(AND($A35='Pockets'!$D$17,$B35='Pockets'!$C$17,OR('Pockets'!$E$17="All",AND('Pockets'!$E$17="Worse and material",$K35="Yes",$L35="Yes"),AND('Pockets'!$E$17="Worse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IF(AND($A36='Pockets'!$D$17,$B36='Pockets'!$C$17,OR('Pockets'!$E$17="All",AND('Pockets'!$E$17="Worse and material",$K36="Yes",$L36="Yes"),AND('Pockets'!$E$17="Worse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IF(AND($A37='Pockets'!$D$17,$B37='Pockets'!$C$17,OR('Pockets'!$E$17="All",AND('Pockets'!$E$17="Worse and material",$K37="Yes",$L37="Yes"),AND('Pockets'!$E$17="Worse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IF(AND($A38='Pockets'!$D$17,$B38='Pockets'!$C$17,OR('Pockets'!$E$17="All",AND('Pockets'!$E$17="Worse and material",$K38="Yes",$L38="Yes"),AND('Pockets'!$E$17="Worse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IF(AND($A39='Pockets'!$D$17,$B39='Pockets'!$C$17,OR('Pockets'!$E$17="All",AND('Pockets'!$E$17="Worse and material",$K39="Yes",$L39="Yes"),AND('Pockets'!$E$17="Worse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IF(AND($A40='Pockets'!$D$17,$B40='Pockets'!$C$17,OR('Pockets'!$E$17="All",AND('Pockets'!$E$17="Worse and material",$K40="Yes",$L40="Yes"),AND('Pockets'!$E$17="Worse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IF(AND($A41='Pockets'!$D$17,$B41='Pockets'!$C$17,OR('Pockets'!$E$17="All",AND('Pockets'!$E$17="Worse and material",$K41="Yes",$L41="Yes"),AND('Pockets'!$E$17="Worse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IF(AND($A42='Pockets'!$D$17,$B42='Pockets'!$C$17,OR('Pockets'!$E$17="All",AND('Pockets'!$E$17="Worse and material",$K42="Yes",$L42="Yes"),AND('Pockets'!$E$17="Worse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IF(AND($A43='Pockets'!$D$17,$B43='Pockets'!$C$17,OR('Pockets'!$E$17="All",AND('Pockets'!$E$17="Worse and material",$K43="Yes",$L43="Yes"),AND('Pockets'!$E$17="Worse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IF(AND($A44='Pockets'!$D$17,$B44='Pockets'!$C$17,OR('Pockets'!$E$17="All",AND('Pockets'!$E$17="Worse and material",$K44="Yes",$L44="Yes"),AND('Pockets'!$E$17="Worse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IF(AND($A45='Pockets'!$D$17,$B45='Pockets'!$C$17,OR('Pockets'!$E$17="All",AND('Pockets'!$E$17="Worse and material",$K45="Yes",$L45="Yes"),AND('Pockets'!$E$17="Worse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IF(AND($A46='Pockets'!$D$17,$B46='Pockets'!$C$17,OR('Pockets'!$E$17="All",AND('Pockets'!$E$17="Worse and material",$K46="Yes",$L46="Yes"),AND('Pockets'!$E$17="Worse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IF(AND($A47='Pockets'!$D$17,$B47='Pockets'!$C$17,OR('Pockets'!$E$17="All",AND('Pockets'!$E$17="Worse and material",$K47="Yes",$L47="Yes"),AND('Pockets'!$E$17="Worse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IF(AND($A48='Pockets'!$D$17,$B48='Pockets'!$C$17,OR('Pockets'!$E$17="All",AND('Pockets'!$E$17="Worse and material",$K48="Yes",$L48="Yes"),AND('Pockets'!$E$17="Worse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IF(AND($A49='Pockets'!$D$17,$B49='Pockets'!$C$17,OR('Pockets'!$E$17="All",AND('Pockets'!$E$17="Worse and material",$K49="Yes",$L49="Yes"),AND('Pockets'!$E$17="Worse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IF(AND($A50='Pockets'!$D$17,$B50='Pockets'!$C$17,OR('Pockets'!$E$17="All",AND('Pockets'!$E$17="Worse and material",$K50="Yes",$L50="Yes"),AND('Pockets'!$E$17="Worse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IF(AND($A51='Pockets'!$D$17,$B51='Pockets'!$C$17,OR('Pockets'!$E$17="All",AND('Pockets'!$E$17="Worse and material",$K51="Yes",$L51="Yes"),AND('Pockets'!$E$17="Worse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IF(AND($A52='Pockets'!$D$17,$B52='Pockets'!$C$17,OR('Pockets'!$E$17="All",AND('Pockets'!$E$17="Worse and material",$K52="Yes",$L52="Yes"),AND('Pockets'!$E$17="Worse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IF(AND($A53='Pockets'!$D$17,$B53='Pockets'!$C$17,OR('Pockets'!$E$17="All",AND('Pockets'!$E$17="Worse and material",$K53="Yes",$L53="Yes"),AND('Pockets'!$E$17="Worse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IF(AND($A54='Pockets'!$D$17,$B54='Pockets'!$C$17,OR('Pockets'!$E$17="All",AND('Pockets'!$E$17="Worse and material",$K54="Yes",$L54="Yes"),AND('Pockets'!$E$17="Worse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IF(AND($A55='Pockets'!$D$17,$B55='Pockets'!$C$17,OR('Pockets'!$E$17="All",AND('Pockets'!$E$17="Worse and material",$K55="Yes",$L55="Yes"),AND('Pockets'!$E$17="Worse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IF(AND($A56='Pockets'!$D$17,$B56='Pockets'!$C$17,OR('Pockets'!$E$17="All",AND('Pockets'!$E$17="Worse and material",$K56="Yes",$L56="Yes"),AND('Pockets'!$E$17="Worse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IF(AND($A57='Pockets'!$D$17,$B57='Pockets'!$C$17,OR('Pockets'!$E$17="All",AND('Pockets'!$E$17="Worse and material",$K57="Yes",$L57="Yes"),AND('Pockets'!$E$17="Worse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IF(AND($A58='Pockets'!$D$17,$B58='Pockets'!$C$17,OR('Pockets'!$E$17="All",AND('Pockets'!$E$17="Worse and material",$K58="Yes",$L58="Yes"),AND('Pockets'!$E$17="Worse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IF(AND($A59='Pockets'!$D$17,$B59='Pockets'!$C$17,OR('Pockets'!$E$17="All",AND('Pockets'!$E$17="Worse and material",$K59="Yes",$L59="Yes"),AND('Pockets'!$E$17="Worse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IF(AND($A60='Pockets'!$D$17,$B60='Pockets'!$C$17,OR('Pockets'!$E$17="All",AND('Pockets'!$E$17="Worse and material",$K60="Yes",$L60="Yes"),AND('Pockets'!$E$17="Worse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IF(AND($A61='Pockets'!$D$17,$B61='Pockets'!$C$17,OR('Pockets'!$E$17="All",AND('Pockets'!$E$17="Worse and material",$K61="Yes",$L61="Yes"),AND('Pockets'!$E$17="Worse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IF(AND($A62='Pockets'!$D$17,$B62='Pockets'!$C$17,OR('Pockets'!$E$17="All",AND('Pockets'!$E$17="Worse and material",$K62="Yes",$L62="Yes"),AND('Pockets'!$E$17="Worse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IF(AND($A63='Pockets'!$D$17,$B63='Pockets'!$C$17,OR('Pockets'!$E$17="All",AND('Pockets'!$E$17="Worse and material",$K63="Yes",$L63="Yes"),AND('Pockets'!$E$17="Worse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IF(AND($A64='Pockets'!$D$17,$B64='Pockets'!$C$17,OR('Pockets'!$E$17="All",AND('Pockets'!$E$17="Worse and material",$K64="Yes",$L64="Yes"),AND('Pockets'!$E$17="Worse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IF(AND($A65='Pockets'!$D$17,$B65='Pockets'!$C$17,OR('Pockets'!$E$17="All",AND('Pockets'!$E$17="Worse and material",$K65="Yes",$L65="Yes"),AND('Pockets'!$E$17="Worse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IF(AND($A66='Pockets'!$D$17,$B66='Pockets'!$C$17,OR('Pockets'!$E$17="All",AND('Pockets'!$E$17="Worse and material",$K66="Yes",$L66="Yes"),AND('Pockets'!$E$17="Worse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IF(AND($A67='Pockets'!$D$17,$B67='Pockets'!$C$17,OR('Pockets'!$E$17="All",AND('Pockets'!$E$17="Worse and material",$K67="Yes",$L67="Yes"),AND('Pockets'!$E$17="Worse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IF(AND($A68='Pockets'!$D$17,$B68='Pockets'!$C$17,OR('Pockets'!$E$17="All",AND('Pockets'!$E$17="Worse and material",$K68="Yes",$L68="Yes"),AND('Pockets'!$E$17="Worse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IF(AND($A69='Pockets'!$D$17,$B69='Pockets'!$C$17,OR('Pockets'!$E$17="All",AND('Pockets'!$E$17="Worse and material",$K69="Yes",$L69="Yes"),AND('Pockets'!$E$17="Worse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IF(AND($A70='Pockets'!$D$17,$B70='Pockets'!$C$17,OR('Pockets'!$E$17="All",AND('Pockets'!$E$17="Worse and material",$K70="Yes",$L70="Yes"),AND('Pockets'!$E$17="Worse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IF(AND($A71='Pockets'!$D$17,$B71='Pockets'!$C$17,OR('Pockets'!$E$17="All",AND('Pockets'!$E$17="Worse and material",$K71="Yes",$L71="Yes"),AND('Pockets'!$E$17="Worse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IF(AND($A72='Pockets'!$D$17,$B72='Pockets'!$C$17,OR('Pockets'!$E$17="All",AND('Pockets'!$E$17="Worse and material",$K72="Yes",$L72="Yes"),AND('Pockets'!$E$17="Worse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IF(AND($A73='Pockets'!$D$17,$B73='Pockets'!$C$17,OR('Pockets'!$E$17="All",AND('Pockets'!$E$17="Worse and material",$K73="Yes",$L73="Yes"),AND('Pockets'!$E$17="Worse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IF(AND($A74='Pockets'!$D$17,$B74='Pockets'!$C$17,OR('Pockets'!$E$17="All",AND('Pockets'!$E$17="Worse and material",$K74="Yes",$L74="Yes"),AND('Pockets'!$E$17="Worse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IF(AND($A75='Pockets'!$D$17,$B75='Pockets'!$C$17,OR('Pockets'!$E$17="All",AND('Pockets'!$E$17="Worse and material",$K75="Yes",$L75="Yes"),AND('Pockets'!$E$17="Worse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IF(AND($A76='Pockets'!$D$17,$B76='Pockets'!$C$17,OR('Pockets'!$E$17="All",AND('Pockets'!$E$17="Worse and material",$K76="Yes",$L76="Yes"),AND('Pockets'!$E$17="Worse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IF(AND($A77='Pockets'!$D$17,$B77='Pockets'!$C$17,OR('Pockets'!$E$17="All",AND('Pockets'!$E$17="Worse and material",$K77="Yes",$L77="Yes"),AND('Pockets'!$E$17="Worse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IF(AND($A78='Pockets'!$D$17,$B78='Pockets'!$C$17,OR('Pockets'!$E$17="All",AND('Pockets'!$E$17="Worse and material",$K78="Yes",$L78="Yes"),AND('Pockets'!$E$17="Worse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IF(AND($A79='Pockets'!$D$17,$B79='Pockets'!$C$17,OR('Pockets'!$E$17="All",AND('Pockets'!$E$17="Worse and material",$K79="Yes",$L79="Yes"),AND('Pockets'!$E$17="Worse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IF(AND($A80='Pockets'!$D$17,$B80='Pockets'!$C$17,OR('Pockets'!$E$17="All",AND('Pockets'!$E$17="Worse and material",$K80="Yes",$L80="Yes"),AND('Pockets'!$E$17="Worse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IF(AND($A81='Pockets'!$D$17,$B81='Pockets'!$C$17,OR('Pockets'!$E$17="All",AND('Pockets'!$E$17="Worse and material",$K81="Yes",$L81="Yes"),AND('Pockets'!$E$17="Worse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IF(AND($A82='Pockets'!$D$17,$B82='Pockets'!$C$17,OR('Pockets'!$E$17="All",AND('Pockets'!$E$17="Worse and material",$K82="Yes",$L82="Yes"),AND('Pockets'!$E$17="Worse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IF(AND($A83='Pockets'!$D$17,$B83='Pockets'!$C$17,OR('Pockets'!$E$17="All",AND('Pockets'!$E$17="Worse and material",$K83="Yes",$L83="Yes"),AND('Pockets'!$E$17="Worse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IF(AND($A84='Pockets'!$D$17,$B84='Pockets'!$C$17,OR('Pockets'!$E$17="All",AND('Pockets'!$E$17="Worse and material",$K84="Yes",$L84="Yes"),AND('Pockets'!$E$17="Worse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IF(AND($A85='Pockets'!$D$17,$B85='Pockets'!$C$17,OR('Pockets'!$E$17="All",AND('Pockets'!$E$17="Worse and material",$K85="Yes",$L85="Yes"),AND('Pockets'!$E$17="Worse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IF(AND($A86='Pockets'!$D$17,$B86='Pockets'!$C$17,OR('Pockets'!$E$17="All",AND('Pockets'!$E$17="Worse and material",$K86="Yes",$L86="Yes"),AND('Pockets'!$E$17="Worse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IF(AND($A87='Pockets'!$D$17,$B87='Pockets'!$C$17,OR('Pockets'!$E$17="All",AND('Pockets'!$E$17="Worse and material",$K87="Yes",$L87="Yes"),AND('Pockets'!$E$17="Worse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IF(AND($A88='Pockets'!$D$17,$B88='Pockets'!$C$17,OR('Pockets'!$E$17="All",AND('Pockets'!$E$17="Worse and material",$K88="Yes",$L88="Yes"),AND('Pockets'!$E$17="Worse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IF(AND($A89='Pockets'!$D$17,$B89='Pockets'!$C$17,OR('Pockets'!$E$17="All",AND('Pockets'!$E$17="Worse and material",$K89="Yes",$L89="Yes"),AND('Pockets'!$E$17="Worse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IF(AND($A90='Pockets'!$D$17,$B90='Pockets'!$C$17,OR('Pockets'!$E$17="All",AND('Pockets'!$E$17="Worse and material",$K90="Yes",$L90="Yes"),AND('Pockets'!$E$17="Worse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IF(AND($A91='Pockets'!$D$17,$B91='Pockets'!$C$17,OR('Pockets'!$E$17="All",AND('Pockets'!$E$17="Worse and material",$K91="Yes",$L91="Yes"),AND('Pockets'!$E$17="Worse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IF(AND($A92='Pockets'!$D$17,$B92='Pockets'!$C$17,OR('Pockets'!$E$17="All",AND('Pockets'!$E$17="Worse and material",$K92="Yes",$L92="Yes"),AND('Pockets'!$E$17="Worse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IF(AND($A93='Pockets'!$D$17,$B93='Pockets'!$C$17,OR('Pockets'!$E$17="All",AND('Pockets'!$E$17="Worse and material",$K93="Yes",$L93="Yes"),AND('Pockets'!$E$17="Worse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IF(AND($A94='Pockets'!$D$17,$B94='Pockets'!$C$17,OR('Pockets'!$E$17="All",AND('Pockets'!$E$17="Worse and material",$K94="Yes",$L94="Yes"),AND('Pockets'!$E$17="Worse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IF(AND($A95='Pockets'!$D$17,$B95='Pockets'!$C$17,OR('Pockets'!$E$17="All",AND('Pockets'!$E$17="Worse and material",$K95="Yes",$L95="Yes"),AND('Pockets'!$E$17="Worse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IF(AND($A96='Pockets'!$D$17,$B96='Pockets'!$C$17,OR('Pockets'!$E$17="All",AND('Pockets'!$E$17="Worse and material",$K96="Yes",$L96="Yes"),AND('Pockets'!$E$17="Worse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IF(AND($A97='Pockets'!$D$17,$B97='Pockets'!$C$17,OR('Pockets'!$E$17="All",AND('Pockets'!$E$17="Worse and material",$K97="Yes",$L97="Yes"),AND('Pockets'!$E$17="Worse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IF(AND($A98='Pockets'!$D$17,$B98='Pockets'!$C$17,OR('Pockets'!$E$17="All",AND('Pockets'!$E$17="Worse and material",$K98="Yes",$L98="Yes"),AND('Pockets'!$E$17="Worse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IF(AND($A99='Pockets'!$D$17,$B99='Pockets'!$C$17,OR('Pockets'!$E$17="All",AND('Pockets'!$E$17="Worse and material",$K99="Yes",$L99="Yes"),AND('Pockets'!$E$17="Worse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IF(AND($A100='Pockets'!$D$17,$B100='Pockets'!$C$17,OR('Pockets'!$E$17="All",AND('Pockets'!$E$17="Worse and material",$K100="Yes",$L100="Yes"),AND('Pockets'!$E$17="Worse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IF(AND($A101='Pockets'!$D$17,$B101='Pockets'!$C$17,OR('Pockets'!$E$17="All",AND('Pockets'!$E$17="Worse and material",$K101="Yes",$L101="Yes"),AND('Pockets'!$E$17="Worse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IF(AND($A102='Pockets'!$D$17,$B102='Pockets'!$C$17,OR('Pockets'!$E$17="All",AND('Pockets'!$E$17="Worse and material",$K102="Yes",$L102="Yes"),AND('Pockets'!$E$17="Worse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IF(AND($A103='Pockets'!$D$17,$B103='Pockets'!$C$17,OR('Pockets'!$E$17="All",AND('Pockets'!$E$17="Worse and material",$K103="Yes",$L103="Yes"),AND('Pockets'!$E$17="Worse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IF(AND($A104='Pockets'!$D$17,$B104='Pockets'!$C$17,OR('Pockets'!$E$17="All",AND('Pockets'!$E$17="Worse and material",$K104="Yes",$L104="Yes"),AND('Pockets'!$E$17="Worse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IF(AND($A105='Pockets'!$D$17,$B105='Pockets'!$C$17,OR('Pockets'!$E$17="All",AND('Pockets'!$E$17="Worse and material",$K105="Yes",$L105="Yes"),AND('Pockets'!$E$17="Worse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IF(AND($A106='Pockets'!$D$17,$B106='Pockets'!$C$17,OR('Pockets'!$E$17="All",AND('Pockets'!$E$17="Worse and material",$K106="Yes",$L106="Yes"),AND('Pockets'!$E$17="Worse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IF(AND($A107='Pockets'!$D$17,$B107='Pockets'!$C$17,OR('Pockets'!$E$17="All",AND('Pockets'!$E$17="Worse and material",$K107="Yes",$L107="Yes"),AND('Pockets'!$E$17="Worse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IF(AND($A108='Pockets'!$D$17,$B108='Pockets'!$C$17,OR('Pockets'!$E$17="All",AND('Pockets'!$E$17="Worse and material",$K108="Yes",$L108="Yes"),AND('Pockets'!$E$17="Worse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IF(AND($A109='Pockets'!$D$17,$B109='Pockets'!$C$17,OR('Pockets'!$E$17="All",AND('Pockets'!$E$17="Worse and material",$K109="Yes",$L109="Yes"),AND('Pockets'!$E$17="Worse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IF(AND($A110='Pockets'!$D$17,$B110='Pockets'!$C$17,OR('Pockets'!$E$17="All",AND('Pockets'!$E$17="Worse and material",$K110="Yes",$L110="Yes"),AND('Pockets'!$E$17="Worse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IF(AND($A111='Pockets'!$D$17,$B111='Pockets'!$C$17,OR('Pockets'!$E$17="All",AND('Pockets'!$E$17="Worse and material",$K111="Yes",$L111="Yes"),AND('Pockets'!$E$17="Worse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IF(AND($A112='Pockets'!$D$17,$B112='Pockets'!$C$17,OR('Pockets'!$E$17="All",AND('Pockets'!$E$17="Worse and material",$K112="Yes",$L112="Yes"),AND('Pockets'!$E$17="Worse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IF(AND($A113='Pockets'!$D$17,$B113='Pockets'!$C$17,OR('Pockets'!$E$17="All",AND('Pockets'!$E$17="Worse and material",$K113="Yes",$L113="Yes"),AND('Pockets'!$E$17="Worse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IF(AND($A114='Pockets'!$D$17,$B114='Pockets'!$C$17,OR('Pockets'!$E$17="All",AND('Pockets'!$E$17="Worse and material",$K114="Yes",$L114="Yes"),AND('Pockets'!$E$17="Worse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IF(AND($A115='Pockets'!$D$17,$B115='Pockets'!$C$17,OR('Pockets'!$E$17="All",AND('Pockets'!$E$17="Worse and material",$K115="Yes",$L115="Yes"),AND('Pockets'!$E$17="Worse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IF(AND($A116='Pockets'!$D$17,$B116='Pockets'!$C$17,OR('Pockets'!$E$17="All",AND('Pockets'!$E$17="Worse and material",$K116="Yes",$L116="Yes"),AND('Pockets'!$E$17="Worse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IF(AND($A117='Pockets'!$D$17,$B117='Pockets'!$C$17,OR('Pockets'!$E$17="All",AND('Pockets'!$E$17="Worse and material",$K117="Yes",$L117="Yes"),AND('Pockets'!$E$17="Worse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IF(AND($A118='Pockets'!$D$17,$B118='Pockets'!$C$17,OR('Pockets'!$E$17="All",AND('Pockets'!$E$17="Worse and material",$K118="Yes",$L118="Yes"),AND('Pockets'!$E$17="Worse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IF(AND($A119='Pockets'!$D$17,$B119='Pockets'!$C$17,OR('Pockets'!$E$17="All",AND('Pockets'!$E$17="Worse and material",$K119="Yes",$L119="Yes"),AND('Pockets'!$E$17="Worse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IF(AND($A120='Pockets'!$D$17,$B120='Pockets'!$C$17,OR('Pockets'!$E$17="All",AND('Pockets'!$E$17="Worse and material",$K120="Yes",$L120="Yes"),AND('Pockets'!$E$17="Worse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IF(AND($A121='Pockets'!$D$17,$B121='Pockets'!$C$17,OR('Pockets'!$E$17="All",AND('Pockets'!$E$17="Worse and material",$K121="Yes",$L121="Yes"),AND('Pockets'!$E$17="Worse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IF(AND($A122='Pockets'!$D$17,$B122='Pockets'!$C$17,OR('Pockets'!$E$17="All",AND('Pockets'!$E$17="Worse and material",$K122="Yes",$L122="Yes"),AND('Pockets'!$E$17="Worse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IF(AND($A123='Pockets'!$D$17,$B123='Pockets'!$C$17,OR('Pockets'!$E$17="All",AND('Pockets'!$E$17="Worse and material",$K123="Yes",$L123="Yes"),AND('Pockets'!$E$17="Worse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IF(AND($A124='Pockets'!$D$17,$B124='Pockets'!$C$17,OR('Pockets'!$E$17="All",AND('Pockets'!$E$17="Worse and material",$K124="Yes",$L124="Yes"),AND('Pockets'!$E$17="Worse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IF(AND($A125='Pockets'!$D$17,$B125='Pockets'!$C$17,OR('Pockets'!$E$17="All",AND('Pockets'!$E$17="Worse and material",$K125="Yes",$L125="Yes"),AND('Pockets'!$E$17="Worse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IF(AND($A126='Pockets'!$D$17,$B126='Pockets'!$C$17,OR('Pockets'!$E$17="All",AND('Pockets'!$E$17="Worse and material",$K126="Yes",$L126="Yes"),AND('Pockets'!$E$17="Worse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IF(AND($A127='Pockets'!$D$17,$B127='Pockets'!$C$17,OR('Pockets'!$E$17="All",AND('Pockets'!$E$17="Worse and material",$K127="Yes",$L127="Yes"),AND('Pockets'!$E$17="Worse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IF(AND($A128='Pockets'!$D$17,$B128='Pockets'!$C$17,OR('Pockets'!$E$17="All",AND('Pockets'!$E$17="Worse and material",$K128="Yes",$L128="Yes"),AND('Pockets'!$E$17="Worse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IF(AND($A129='Pockets'!$D$17,$B129='Pockets'!$C$17,OR('Pockets'!$E$17="All",AND('Pockets'!$E$17="Worse and material",$K129="Yes",$L129="Yes"),AND('Pockets'!$E$17="Worse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IF(AND($A130='Pockets'!$D$17,$B130='Pockets'!$C$17,OR('Pockets'!$E$17="All",AND('Pockets'!$E$17="Worse and material",$K130="Yes",$L130="Yes"),AND('Pockets'!$E$17="Worse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IF(AND($A131='Pockets'!$D$17,$B131='Pockets'!$C$17,OR('Pockets'!$E$17="All",AND('Pockets'!$E$17="Worse and material",$K131="Yes",$L131="Yes"),AND('Pockets'!$E$17="Worse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IF(AND($A132='Pockets'!$D$17,$B132='Pockets'!$C$17,OR('Pockets'!$E$17="All",AND('Pockets'!$E$17="Worse and material",$K132="Yes",$L132="Yes"),AND('Pockets'!$E$17="Worse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IF(AND($A133='Pockets'!$D$17,$B133='Pockets'!$C$17,OR('Pockets'!$E$17="All",AND('Pockets'!$E$17="Worse and material",$K133="Yes",$L133="Yes"),AND('Pockets'!$E$17="Worse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IF(AND($A134='Pockets'!$D$17,$B134='Pockets'!$C$17,OR('Pockets'!$E$17="All",AND('Pockets'!$E$17="Worse and material",$K134="Yes",$L134="Yes"),AND('Pockets'!$E$17="Worse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IF(AND($A135='Pockets'!$D$17,$B135='Pockets'!$C$17,OR('Pockets'!$E$17="All",AND('Pockets'!$E$17="Worse and material",$K135="Yes",$L135="Yes"),AND('Pockets'!$E$17="Worse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IF(AND($A136='Pockets'!$D$17,$B136='Pockets'!$C$17,OR('Pockets'!$E$17="All",AND('Pockets'!$E$17="Worse and material",$K136="Yes",$L136="Yes"),AND('Pockets'!$E$17="Worse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IF(AND($A137='Pockets'!$D$17,$B137='Pockets'!$C$17,OR('Pockets'!$E$17="All",AND('Pockets'!$E$17="Worse and material",$K137="Yes",$L137="Yes"),AND('Pockets'!$E$17="Worse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IF(AND($A138='Pockets'!$D$17,$B138='Pockets'!$C$17,OR('Pockets'!$E$17="All",AND('Pockets'!$E$17="Worse and material",$K138="Yes",$L138="Yes"),AND('Pockets'!$E$17="Worse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IF(AND($A139='Pockets'!$D$17,$B139='Pockets'!$C$17,OR('Pockets'!$E$17="All",AND('Pockets'!$E$17="Worse and material",$K139="Yes",$L139="Yes"),AND('Pockets'!$E$17="Worse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IF(AND($A140='Pockets'!$D$17,$B140='Pockets'!$C$17,OR('Pockets'!$E$17="All",AND('Pockets'!$E$17="Worse and material",$K140="Yes",$L140="Yes"),AND('Pockets'!$E$17="Worse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IF(AND($A141='Pockets'!$D$17,$B141='Pockets'!$C$17,OR('Pockets'!$E$17="All",AND('Pockets'!$E$17="Worse and material",$K141="Yes",$L141="Yes"),AND('Pockets'!$E$17="Worse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IF(AND($A142='Pockets'!$D$17,$B142='Pockets'!$C$17,OR('Pockets'!$E$17="All",AND('Pockets'!$E$17="Worse and material",$K142="Yes",$L142="Yes"),AND('Pockets'!$E$17="Worse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IF(AND($A143='Pockets'!$D$17,$B143='Pockets'!$C$17,OR('Pockets'!$E$17="All",AND('Pockets'!$E$17="Worse and material",$K143="Yes",$L143="Yes"),AND('Pockets'!$E$17="Worse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IF(AND($A144='Pockets'!$D$17,$B144='Pockets'!$C$17,OR('Pockets'!$E$17="All",AND('Pockets'!$E$17="Worse and material",$K144="Yes",$L144="Yes"),AND('Pockets'!$E$17="Worse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IF(AND($A145='Pockets'!$D$17,$B145='Pockets'!$C$17,OR('Pockets'!$E$17="All",AND('Pockets'!$E$17="Worse and material",$K145="Yes",$L145="Yes"),AND('Pockets'!$E$17="Worse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IF(AND($A146='Pockets'!$D$17,$B146='Pockets'!$C$17,OR('Pockets'!$E$17="All",AND('Pockets'!$E$17="Worse and material",$K146="Yes",$L146="Yes"),AND('Pockets'!$E$17="Worse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IF(AND($A147='Pockets'!$D$17,$B147='Pockets'!$C$17,OR('Pockets'!$E$17="All",AND('Pockets'!$E$17="Worse and material",$K147="Yes",$L147="Yes"),AND('Pockets'!$E$17="Worse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IF(AND($A148='Pockets'!$D$17,$B148='Pockets'!$C$17,OR('Pockets'!$E$17="All",AND('Pockets'!$E$17="Worse and material",$K148="Yes",$L148="Yes"),AND('Pockets'!$E$17="Worse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IF(AND($A149='Pockets'!$D$17,$B149='Pockets'!$C$17,OR('Pockets'!$E$17="All",AND('Pockets'!$E$17="Worse and material",$K149="Yes",$L149="Yes"),AND('Pockets'!$E$17="Worse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IF(AND($A150='Pockets'!$D$17,$B150='Pockets'!$C$17,OR('Pockets'!$E$17="All",AND('Pockets'!$E$17="Worse and material",$K150="Yes",$L150="Yes"),AND('Pockets'!$E$17="Worse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IF(AND($A151='Pockets'!$D$17,$B151='Pockets'!$C$17,OR('Pockets'!$E$17="All",AND('Pockets'!$E$17="Worse and material",$K151="Yes",$L151="Yes"),AND('Pockets'!$E$17="Worse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IF(AND($A152='Pockets'!$D$17,$B152='Pockets'!$C$17,OR('Pockets'!$E$17="All",AND('Pockets'!$E$17="Worse and material",$K152="Yes",$L152="Yes"),AND('Pockets'!$E$17="Worse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IF(AND($A153='Pockets'!$D$17,$B153='Pockets'!$C$17,OR('Pockets'!$E$17="All",AND('Pockets'!$E$17="Worse and material",$K153="Yes",$L153="Yes"),AND('Pockets'!$E$17="Worse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IF(AND($A154='Pockets'!$D$17,$B154='Pockets'!$C$17,OR('Pockets'!$E$17="All",AND('Pockets'!$E$17="Worse and material",$K154="Yes",$L154="Yes"),AND('Pockets'!$E$17="Worse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IF(AND($A155='Pockets'!$D$17,$B155='Pockets'!$C$17,OR('Pockets'!$E$17="All",AND('Pockets'!$E$17="Worse and material",$K155="Yes",$L155="Yes"),AND('Pockets'!$E$17="Worse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IF(AND($A156='Pockets'!$D$17,$B156='Pockets'!$C$17,OR('Pockets'!$E$17="All",AND('Pockets'!$E$17="Worse and material",$K156="Yes",$L156="Yes"),AND('Pockets'!$E$17="Worse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IF(AND($A157='Pockets'!$D$17,$B157='Pockets'!$C$17,OR('Pockets'!$E$17="All",AND('Pockets'!$E$17="Worse and material",$K157="Yes",$L157="Yes"),AND('Pockets'!$E$17="Worse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IF(AND($A158='Pockets'!$D$17,$B158='Pockets'!$C$17,OR('Pockets'!$E$17="All",AND('Pockets'!$E$17="Worse and material",$K158="Yes",$L158="Yes"),AND('Pockets'!$E$17="Worse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IF(AND($A159='Pockets'!$D$17,$B159='Pockets'!$C$17,OR('Pockets'!$E$17="All",AND('Pockets'!$E$17="Worse and material",$K159="Yes",$L159="Yes"),AND('Pockets'!$E$17="Worse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IF(AND($A160='Pockets'!$D$17,$B160='Pockets'!$C$17,OR('Pockets'!$E$17="All",AND('Pockets'!$E$17="Worse and material",$K160="Yes",$L160="Yes"),AND('Pockets'!$E$17="Worse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IF(AND($A161='Pockets'!$D$17,$B161='Pockets'!$C$17,OR('Pockets'!$E$17="All",AND('Pockets'!$E$17="Worse and material",$K161="Yes",$L161="Yes"),AND('Pockets'!$E$17="Worse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IF(AND($A162='Pockets'!$D$17,$B162='Pockets'!$C$17,OR('Pockets'!$E$17="All",AND('Pockets'!$E$17="Worse and material",$K162="Yes",$L162="Yes"),AND('Pockets'!$E$17="Worse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IF(AND($A163='Pockets'!$D$17,$B163='Pockets'!$C$17,OR('Pockets'!$E$17="All",AND('Pockets'!$E$17="Worse and material",$K163="Yes",$L163="Yes"),AND('Pockets'!$E$17="Worse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IF(AND($A164='Pockets'!$D$17,$B164='Pockets'!$C$17,OR('Pockets'!$E$17="All",AND('Pockets'!$E$17="Worse and material",$K164="Yes",$L164="Yes"),AND('Pockets'!$E$17="Worse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IF(AND($A165='Pockets'!$D$17,$B165='Pockets'!$C$17,OR('Pockets'!$E$17="All",AND('Pockets'!$E$17="Worse and material",$K165="Yes",$L165="Yes"),AND('Pockets'!$E$17="Worse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IF(AND($A166='Pockets'!$D$17,$B166='Pockets'!$C$17,OR('Pockets'!$E$17="All",AND('Pockets'!$E$17="Worse and material",$K166="Yes",$L166="Yes"),AND('Pockets'!$E$17="Worse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IF(AND($A167='Pockets'!$D$17,$B167='Pockets'!$C$17,OR('Pockets'!$E$17="All",AND('Pockets'!$E$17="Worse and material",$K167="Yes",$L167="Yes"),AND('Pockets'!$E$17="Worse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IF(AND($A168='Pockets'!$D$17,$B168='Pockets'!$C$17,OR('Pockets'!$E$17="All",AND('Pockets'!$E$17="Worse and material",$K168="Yes",$L168="Yes"),AND('Pockets'!$E$17="Worse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IF(AND($A169='Pockets'!$D$17,$B169='Pockets'!$C$17,OR('Pockets'!$E$17="All",AND('Pockets'!$E$17="Worse and material",$K169="Yes",$L169="Yes"),AND('Pockets'!$E$17="Worse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IF(AND($A170='Pockets'!$D$17,$B170='Pockets'!$C$17,OR('Pockets'!$E$17="All",AND('Pockets'!$E$17="Worse and material",$K170="Yes",$L170="Yes"),AND('Pockets'!$E$17="Worse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IF(AND($A171='Pockets'!$D$17,$B171='Pockets'!$C$17,OR('Pockets'!$E$17="All",AND('Pockets'!$E$17="Worse and material",$K171="Yes",$L171="Yes"),AND('Pockets'!$E$17="Worse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IF(AND($A172='Pockets'!$D$17,$B172='Pockets'!$C$17,OR('Pockets'!$E$17="All",AND('Pockets'!$E$17="Worse and material",$K172="Yes",$L172="Yes"),AND('Pockets'!$E$17="Worse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IF(AND($A173='Pockets'!$D$17,$B173='Pockets'!$C$17,OR('Pockets'!$E$17="All",AND('Pockets'!$E$17="Worse and material",$K173="Yes",$L173="Yes"),AND('Pockets'!$E$17="Worse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IF(AND($A174='Pockets'!$D$17,$B174='Pockets'!$C$17,OR('Pockets'!$E$17="All",AND('Pockets'!$E$17="Worse and material",$K174="Yes",$L174="Yes"),AND('Pockets'!$E$17="Worse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IF(AND($A175='Pockets'!$D$17,$B175='Pockets'!$C$17,OR('Pockets'!$E$17="All",AND('Pockets'!$E$17="Worse and material",$K175="Yes",$L175="Yes"),AND('Pockets'!$E$17="Worse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IF(AND($A176='Pockets'!$D$17,$B176='Pockets'!$C$17,OR('Pockets'!$E$17="All",AND('Pockets'!$E$17="Worse and material",$K176="Yes",$L176="Yes"),AND('Pockets'!$E$17="Worse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IF(AND($A177='Pockets'!$D$17,$B177='Pockets'!$C$17,OR('Pockets'!$E$17="All",AND('Pockets'!$E$17="Worse and material",$K177="Yes",$L177="Yes"),AND('Pockets'!$E$17="Worse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IF(AND($A178='Pockets'!$D$17,$B178='Pockets'!$C$17,OR('Pockets'!$E$17="All",AND('Pockets'!$E$17="Worse and material",$K178="Yes",$L178="Yes"),AND('Pockets'!$E$17="Worse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IF(AND($A179='Pockets'!$D$17,$B179='Pockets'!$C$17,OR('Pockets'!$E$17="All",AND('Pockets'!$E$17="Worse and material",$K179="Yes",$L179="Yes"),AND('Pockets'!$E$17="Worse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IF(AND($A180='Pockets'!$D$17,$B180='Pockets'!$C$17,OR('Pockets'!$E$17="All",AND('Pockets'!$E$17="Worse and material",$K180="Yes",$L180="Yes"),AND('Pockets'!$E$17="Worse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IF(AND($A181='Pockets'!$D$17,$B181='Pockets'!$C$17,OR('Pockets'!$E$17="All",AND('Pockets'!$E$17="Worse and material",$K181="Yes",$L181="Yes"),AND('Pockets'!$E$17="Worse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IF(AND($A182='Pockets'!$D$17,$B182='Pockets'!$C$17,OR('Pockets'!$E$17="All",AND('Pockets'!$E$17="Worse and material",$K182="Yes",$L182="Yes"),AND('Pockets'!$E$17="Worse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IF(AND($A183='Pockets'!$D$17,$B183='Pockets'!$C$17,OR('Pockets'!$E$17="All",AND('Pockets'!$E$17="Worse and material",$K183="Yes",$L183="Yes"),AND('Pockets'!$E$17="Worse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IF(AND($A184='Pockets'!$D$17,$B184='Pockets'!$C$17,OR('Pockets'!$E$17="All",AND('Pockets'!$E$17="Worse and material",$K184="Yes",$L184="Yes"),AND('Pockets'!$E$17="Worse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IF(AND($A185='Pockets'!$D$17,$B185='Pockets'!$C$17,OR('Pockets'!$E$17="All",AND('Pockets'!$E$17="Worse and material",$K185="Yes",$L185="Yes"),AND('Pockets'!$E$17="Worse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IF(AND($A186='Pockets'!$D$17,$B186='Pockets'!$C$17,OR('Pockets'!$E$17="All",AND('Pockets'!$E$17="Worse and material",$K186="Yes",$L186="Yes"),AND('Pockets'!$E$17="Worse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IF(AND($A187='Pockets'!$D$17,$B187='Pockets'!$C$17,OR('Pockets'!$E$17="All",AND('Pockets'!$E$17="Worse and material",$K187="Yes",$L187="Yes"),AND('Pockets'!$E$17="Worse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IF(AND($A188='Pockets'!$D$17,$B188='Pockets'!$C$17,OR('Pockets'!$E$17="All",AND('Pockets'!$E$17="Worse and material",$K188="Yes",$L188="Yes"),AND('Pockets'!$E$17="Worse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IF(AND($A189='Pockets'!$D$17,$B189='Pockets'!$C$17,OR('Pockets'!$E$17="All",AND('Pockets'!$E$17="Worse and material",$K189="Yes",$L189="Yes"),AND('Pockets'!$E$17="Worse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IF(AND($A190='Pockets'!$D$17,$B190='Pockets'!$C$17,OR('Pockets'!$E$17="All",AND('Pockets'!$E$17="Worse and material",$K190="Yes",$L190="Yes"),AND('Pockets'!$E$17="Worse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IF(AND($A191='Pockets'!$D$17,$B191='Pockets'!$C$17,OR('Pockets'!$E$17="All",AND('Pockets'!$E$17="Worse and material",$K191="Yes",$L191="Yes"),AND('Pockets'!$E$17="Worse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IF(AND($A192='Pockets'!$D$17,$B192='Pockets'!$C$17,OR('Pockets'!$E$17="All",AND('Pockets'!$E$17="Worse and material",$K192="Yes",$L192="Yes"),AND('Pockets'!$E$17="Worse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IF(AND($A193='Pockets'!$D$17,$B193='Pockets'!$C$17,OR('Pockets'!$E$17="All",AND('Pockets'!$E$17="Worse and material",$K193="Yes",$L193="Yes"),AND('Pockets'!$E$17="Worse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IF(AND($A194='Pockets'!$D$17,$B194='Pockets'!$C$17,OR('Pockets'!$E$17="All",AND('Pockets'!$E$17="Worse and material",$K194="Yes",$L194="Yes"),AND('Pockets'!$E$17="Worse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IF(AND($A195='Pockets'!$D$17,$B195='Pockets'!$C$17,OR('Pockets'!$E$17="All",AND('Pockets'!$E$17="Worse and material",$K195="Yes",$L195="Yes"),AND('Pockets'!$E$17="Worse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IF(AND($A196='Pockets'!$D$17,$B196='Pockets'!$C$17,OR('Pockets'!$E$17="All",AND('Pockets'!$E$17="Worse and material",$K196="Yes",$L196="Yes"),AND('Pockets'!$E$17="Worse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IF(AND($A197='Pockets'!$D$17,$B197='Pockets'!$C$17,OR('Pockets'!$E$17="All",AND('Pockets'!$E$17="Worse and material",$K197="Yes",$L197="Yes"),AND('Pockets'!$E$17="Worse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IF(AND($A198='Pockets'!$D$17,$B198='Pockets'!$C$17,OR('Pockets'!$E$17="All",AND('Pockets'!$E$17="Worse and material",$K198="Yes",$L198="Yes"),AND('Pockets'!$E$17="Worse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IF(AND($A199='Pockets'!$D$17,$B199='Pockets'!$C$17,OR('Pockets'!$E$17="All",AND('Pockets'!$E$17="Worse and material",$K199="Yes",$L199="Yes"),AND('Pockets'!$E$17="Worse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IF(AND($A200='Pockets'!$D$17,$B200='Pockets'!$C$17,OR('Pockets'!$E$17="All",AND('Pockets'!$E$17="Worse and material",$K200="Yes",$L200="Yes"),AND('Pockets'!$E$17="Worse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IF(AND($A201='Pockets'!$D$17,$B201='Pockets'!$C$17,OR('Pockets'!$E$17="All",AND('Pockets'!$E$17="Worse and material",$K201="Yes",$L201="Yes"),AND('Pockets'!$E$17="Worse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IF(AND($A202='Pockets'!$D$17,$B202='Pockets'!$C$17,OR('Pockets'!$E$17="All",AND('Pockets'!$E$17="Worse and material",$K202="Yes",$L202="Yes"),AND('Pockets'!$E$17="Worse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IF(AND($A203='Pockets'!$D$17,$B203='Pockets'!$C$17,OR('Pockets'!$E$17="All",AND('Pockets'!$E$17="Worse and material",$K203="Yes",$L203="Yes"),AND('Pockets'!$E$17="Worse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IF(AND($A204='Pockets'!$D$17,$B204='Pockets'!$C$17,OR('Pockets'!$E$17="All",AND('Pockets'!$E$17="Worse and material",$K204="Yes",$L204="Yes"),AND('Pockets'!$E$17="Worse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IF(AND($A205='Pockets'!$D$17,$B205='Pockets'!$C$17,OR('Pockets'!$E$17="All",AND('Pockets'!$E$17="Worse and material",$K205="Yes",$L205="Yes"),AND('Pockets'!$E$17="Worse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IF(AND($A206='Pockets'!$D$17,$B206='Pockets'!$C$17,OR('Pockets'!$E$17="All",AND('Pockets'!$E$17="Worse and material",$K206="Yes",$L206="Yes"),AND('Pockets'!$E$17="Worse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IF(AND($A207='Pockets'!$D$17,$B207='Pockets'!$C$17,OR('Pockets'!$E$17="All",AND('Pockets'!$E$17="Worse and material",$K207="Yes",$L207="Yes"),AND('Pockets'!$E$17="Worse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IF(AND($A208='Pockets'!$D$17,$B208='Pockets'!$C$17,OR('Pockets'!$E$17="All",AND('Pockets'!$E$17="Worse and material",$K208="Yes",$L208="Yes"),AND('Pockets'!$E$17="Worse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IF(AND($A209='Pockets'!$D$17,$B209='Pockets'!$C$17,OR('Pockets'!$E$17="All",AND('Pockets'!$E$17="Worse and material",$K209="Yes",$L209="Yes"),AND('Pockets'!$E$17="Worse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IF(AND($A210='Pockets'!$D$17,$B210='Pockets'!$C$17,OR('Pockets'!$E$17="All",AND('Pockets'!$E$17="Worse and material",$K210="Yes",$L210="Yes"),AND('Pockets'!$E$17="Worse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IF(AND($A211='Pockets'!$D$17,$B211='Pockets'!$C$17,OR('Pockets'!$E$17="All",AND('Pockets'!$E$17="Worse and material",$K211="Yes",$L211="Yes"),AND('Pockets'!$E$17="Worse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IF(AND($A212='Pockets'!$D$17,$B212='Pockets'!$C$17,OR('Pockets'!$E$17="All",AND('Pockets'!$E$17="Worse and material",$K212="Yes",$L212="Yes"),AND('Pockets'!$E$17="Worse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IF(AND($A213='Pockets'!$D$17,$B213='Pockets'!$C$17,OR('Pockets'!$E$17="All",AND('Pockets'!$E$17="Worse and material",$K213="Yes",$L213="Yes"),AND('Pockets'!$E$17="Worse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IF(AND($A214='Pockets'!$D$17,$B214='Pockets'!$C$17,OR('Pockets'!$E$17="All",AND('Pockets'!$E$17="Worse and material",$K214="Yes",$L214="Yes"),AND('Pockets'!$E$17="Worse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IF(AND($A215='Pockets'!$D$17,$B215='Pockets'!$C$17,OR('Pockets'!$E$17="All",AND('Pockets'!$E$17="Worse and material",$K215="Yes",$L215="Yes"),AND('Pockets'!$E$17="Worse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IF(AND($A216='Pockets'!$D$17,$B216='Pockets'!$C$17,OR('Pockets'!$E$17="All",AND('Pockets'!$E$17="Worse and material",$K216="Yes",$L216="Yes"),AND('Pockets'!$E$17="Worse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IF(AND($A217='Pockets'!$D$17,$B217='Pockets'!$C$17,OR('Pockets'!$E$17="All",AND('Pockets'!$E$17="Worse and material",$K217="Yes",$L217="Yes"),AND('Pockets'!$E$17="Worse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IF(AND($A218='Pockets'!$D$17,$B218='Pockets'!$C$17,OR('Pockets'!$E$17="All",AND('Pockets'!$E$17="Worse and material",$K218="Yes",$L218="Yes"),AND('Pockets'!$E$17="Worse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IF(AND($A219='Pockets'!$D$17,$B219='Pockets'!$C$17,OR('Pockets'!$E$17="All",AND('Pockets'!$E$17="Worse and material",$K219="Yes",$L219="Yes"),AND('Pockets'!$E$17="Worse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IF(AND($A220='Pockets'!$D$17,$B220='Pockets'!$C$17,OR('Pockets'!$E$17="All",AND('Pockets'!$E$17="Worse and material",$K220="Yes",$L220="Yes"),AND('Pockets'!$E$17="Worse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IF(AND($A221='Pockets'!$D$17,$B221='Pockets'!$C$17,OR('Pockets'!$E$17="All",AND('Pockets'!$E$17="Worse and material",$K221="Yes",$L221="Yes"),AND('Pockets'!$E$17="Worse or not sure",OR($K221="Yes",$K221="Not sure")))),1,0)</f>
        <v/>
      </c>
      <c r="N221">
        <f>$N220+$M221</f>
        <v/>
      </c>
      <c r="O221" t="inlineStr">
        <is>
          <t>grids</t>
        </is>
      </c>
      <c r="P221" t="inlineStr">
        <is>
          <t>contribution_rate</t>
        </is>
      </c>
    </row>
    <row r="222">
      <c r="A222" t="inlineStr">
        <is>
          <t>Split by SYS_FLAG</t>
        </is>
      </c>
      <c r="B222" t="inlineStr">
        <is>
          <t>Bad loans</t>
        </is>
      </c>
      <c r="C222" t="n">
        <v>539</v>
      </c>
      <c r="D222" t="inlineStr">
        <is>
          <t>FICO 496 - 653</t>
        </is>
      </c>
      <c r="E222" t="inlineStr">
        <is>
          <t>Broker</t>
        </is>
      </c>
      <c r="F222" t="inlineStr">
        <is>
          <t>Y</t>
        </is>
      </c>
      <c r="G222" t="n">
        <v>265</v>
      </c>
      <c r="H222" t="n">
        <v>1.652493453789482</v>
      </c>
      <c r="J222" t="n">
        <v>1</v>
      </c>
      <c r="K222">
        <f>'_pockets'!$AI$539</f>
        <v/>
      </c>
      <c r="L222">
        <f>'_pockets'!$AJ$539</f>
        <v/>
      </c>
      <c r="M222">
        <f>IF(AND($A222='Pockets'!$D$17,$B222='Pockets'!$C$17,OR('Pockets'!$E$17="All",AND('Pockets'!$E$17="Worse and material",$K222="Yes",$L222="Yes"),AND('Pockets'!$E$17="Worse or not sure",OR($K222="Yes",$K222="Not sure")))),1,0)</f>
        <v/>
      </c>
      <c r="N222">
        <f>$N221+$M222</f>
        <v/>
      </c>
      <c r="O222" t="inlineStr">
        <is>
          <t>three-way</t>
        </is>
      </c>
      <c r="P222" t="inlineStr">
        <is>
          <t>outcome_loans</t>
        </is>
      </c>
    </row>
    <row r="223">
      <c r="A223" t="inlineStr">
        <is>
          <t>Split by SYS_FLAG</t>
        </is>
      </c>
      <c r="B223" t="inlineStr">
        <is>
          <t>Bad loans</t>
        </is>
      </c>
      <c r="C223" t="n">
        <v>1149</v>
      </c>
      <c r="D223" t="inlineStr">
        <is>
          <t>ORIG_BAL 37,951 - 49,151</t>
        </is>
      </c>
      <c r="E223" t="inlineStr">
        <is>
          <t>ASSET_CLASS 4</t>
        </is>
      </c>
      <c r="F223" t="inlineStr">
        <is>
          <t>Y</t>
        </is>
      </c>
      <c r="G223" t="n">
        <v>189</v>
      </c>
      <c r="H223" t="n">
        <v>1.776757224535108</v>
      </c>
      <c r="J223" t="n">
        <v>2</v>
      </c>
      <c r="K223">
        <f>'_pockets'!$AI$1149</f>
        <v/>
      </c>
      <c r="L223">
        <f>'_pockets'!$AJ$1149</f>
        <v/>
      </c>
      <c r="M223">
        <f>IF(AND($A223='Pockets'!$D$17,$B223='Pockets'!$C$17,OR('Pockets'!$E$17="All",AND('Pockets'!$E$17="Worse and material",$K223="Yes",$L223="Yes"),AND('Pockets'!$E$17="Worse or not sure",OR($K223="Yes",$K223="Not sure")))),1,0)</f>
        <v/>
      </c>
      <c r="N223">
        <f>$N222+$M223</f>
        <v/>
      </c>
      <c r="O223" t="inlineStr">
        <is>
          <t>three-way</t>
        </is>
      </c>
      <c r="P223" t="inlineStr">
        <is>
          <t>outcome_loans</t>
        </is>
      </c>
    </row>
    <row r="224">
      <c r="A224" t="inlineStr">
        <is>
          <t>Split by SYS_FLAG</t>
        </is>
      </c>
      <c r="B224" t="inlineStr">
        <is>
          <t>Bad loans</t>
        </is>
      </c>
      <c r="C224" t="n">
        <v>509</v>
      </c>
      <c r="D224" t="inlineStr">
        <is>
          <t>FICO 712 - 745</t>
        </is>
      </c>
      <c r="E224" t="inlineStr">
        <is>
          <t>Online</t>
        </is>
      </c>
      <c r="F224" t="inlineStr">
        <is>
          <t>Y</t>
        </is>
      </c>
      <c r="G224" t="n">
        <v>278</v>
      </c>
      <c r="H224" t="n">
        <v>1.636742156051363</v>
      </c>
      <c r="J224" t="n">
        <v>3</v>
      </c>
      <c r="K224">
        <f>'_pockets'!$AI$509</f>
        <v/>
      </c>
      <c r="L224">
        <f>'_pockets'!$AJ$509</f>
        <v/>
      </c>
      <c r="M224">
        <f>IF(AND($A224='Pockets'!$D$17,$B224='Pockets'!$C$17,OR('Pockets'!$E$17="All",AND('Pockets'!$E$17="Worse and material",$K224="Yes",$L224="Yes"),AND('Pockets'!$E$17="Worse or not sure",OR($K224="Yes",$K224="Not sure")))),1,0)</f>
        <v/>
      </c>
      <c r="N224">
        <f>$N223+$M224</f>
        <v/>
      </c>
      <c r="O224" t="inlineStr">
        <is>
          <t>three-way</t>
        </is>
      </c>
      <c r="P224" t="inlineStr">
        <is>
          <t>outcome_loans</t>
        </is>
      </c>
    </row>
    <row r="225">
      <c r="A225" t="inlineStr">
        <is>
          <t>Split by SYS_FLAG</t>
        </is>
      </c>
      <c r="B225" t="inlineStr">
        <is>
          <t>Bad loans</t>
        </is>
      </c>
      <c r="C225" t="n">
        <v>784</v>
      </c>
      <c r="D225" t="inlineStr">
        <is>
          <t>FICO 496 - 653</t>
        </is>
      </c>
      <c r="E225" t="inlineStr">
        <is>
          <t>ASSET_CLASS 4</t>
        </is>
      </c>
      <c r="F225" t="inlineStr">
        <is>
          <t>Y</t>
        </is>
      </c>
      <c r="G225" t="n">
        <v>189</v>
      </c>
      <c r="H225" t="n">
        <v>1.776757224535108</v>
      </c>
      <c r="J225" t="n">
        <v>4</v>
      </c>
      <c r="K225">
        <f>'_pockets'!$AI$784</f>
        <v/>
      </c>
      <c r="L225">
        <f>'_pockets'!$AJ$784</f>
        <v/>
      </c>
      <c r="M225">
        <f>IF(AND($A225='Pockets'!$D$17,$B225='Pockets'!$C$17,OR('Pockets'!$E$17="All",AND('Pockets'!$E$17="Worse and material",$K225="Yes",$L225="Yes"),AND('Pockets'!$E$17="Worse or not sure",OR($K225="Yes",$K225="Not sure")))),1,0)</f>
        <v/>
      </c>
      <c r="N225">
        <f>$N224+$M225</f>
        <v/>
      </c>
      <c r="O225" t="inlineStr">
        <is>
          <t>three-way</t>
        </is>
      </c>
      <c r="P225" t="inlineStr">
        <is>
          <t>outcome_loans</t>
        </is>
      </c>
    </row>
    <row r="226">
      <c r="A226" t="inlineStr">
        <is>
          <t>Split by SYS_FLAG</t>
        </is>
      </c>
      <c r="B226" t="inlineStr">
        <is>
          <t>Bad loans</t>
        </is>
      </c>
      <c r="C226" t="n">
        <v>969</v>
      </c>
      <c r="D226" t="inlineStr">
        <is>
          <t>ORIG_BAL 37,951 - 49,151</t>
        </is>
      </c>
      <c r="E226" t="inlineStr">
        <is>
          <t>Broker</t>
        </is>
      </c>
      <c r="F226" t="inlineStr">
        <is>
          <t>Y</t>
        </is>
      </c>
      <c r="G226" t="n">
        <v>249</v>
      </c>
      <c r="H226" t="n">
        <v>1.673630183948054</v>
      </c>
      <c r="J226" t="n">
        <v>5</v>
      </c>
      <c r="K226">
        <f>'_pockets'!$AI$969</f>
        <v/>
      </c>
      <c r="L226">
        <f>'_pockets'!$AJ$969</f>
        <v/>
      </c>
      <c r="M226">
        <f>IF(AND($A226='Pockets'!$D$17,$B226='Pockets'!$C$17,OR('Pockets'!$E$17="All",AND('Pockets'!$E$17="Worse and material",$K226="Yes",$L226="Yes"),AND('Pockets'!$E$17="Worse or not sure",OR($K226="Yes",$K226="Not sure")))),1,0)</f>
        <v/>
      </c>
      <c r="N226">
        <f>$N225+$M226</f>
        <v/>
      </c>
      <c r="O226" t="inlineStr">
        <is>
          <t>three-way</t>
        </is>
      </c>
      <c r="P226" t="inlineStr">
        <is>
          <t>outcome_loans</t>
        </is>
      </c>
    </row>
    <row r="227">
      <c r="A227" t="inlineStr">
        <is>
          <t>Split by SYS_FLAG</t>
        </is>
      </c>
      <c r="B227" t="inlineStr">
        <is>
          <t>Bad loans</t>
        </is>
      </c>
      <c r="C227" t="n">
        <v>979</v>
      </c>
      <c r="D227" t="inlineStr">
        <is>
          <t>ORIG_BAL 15,449 - 26,323</t>
        </is>
      </c>
      <c r="E227" t="inlineStr">
        <is>
          <t>Broker</t>
        </is>
      </c>
      <c r="F227" t="inlineStr">
        <is>
          <t>Y</t>
        </is>
      </c>
      <c r="G227" t="n">
        <v>244</v>
      </c>
      <c r="H227" t="n">
        <v>1.680678337905755</v>
      </c>
      <c r="J227" t="n">
        <v>6</v>
      </c>
      <c r="K227">
        <f>'_pockets'!$AI$979</f>
        <v/>
      </c>
      <c r="L227">
        <f>'_pockets'!$AJ$979</f>
        <v/>
      </c>
      <c r="M227">
        <f>IF(AND($A227='Pockets'!$D$17,$B227='Pockets'!$C$17,OR('Pockets'!$E$17="All",AND('Pockets'!$E$17="Worse and material",$K227="Yes",$L227="Yes"),AND('Pockets'!$E$17="Worse or not sure",OR($K227="Yes",$K227="Not sure")))),1,0)</f>
        <v/>
      </c>
      <c r="N227">
        <f>$N226+$M227</f>
        <v/>
      </c>
      <c r="O227" t="inlineStr">
        <is>
          <t>three-way</t>
        </is>
      </c>
      <c r="P227" t="inlineStr">
        <is>
          <t>outcome_loans</t>
        </is>
      </c>
    </row>
    <row r="228">
      <c r="A228" t="inlineStr">
        <is>
          <t>Split by SYS_FLAG</t>
        </is>
      </c>
      <c r="B228" t="inlineStr">
        <is>
          <t>Bad loans</t>
        </is>
      </c>
      <c r="C228" t="n">
        <v>974</v>
      </c>
      <c r="D228" t="inlineStr">
        <is>
          <t>ORIG_BAL 37,951 - 49,151</t>
        </is>
      </c>
      <c r="E228" t="inlineStr">
        <is>
          <t>Online</t>
        </is>
      </c>
      <c r="F228" t="inlineStr">
        <is>
          <t>Y</t>
        </is>
      </c>
      <c r="G228" t="n">
        <v>254</v>
      </c>
      <c r="H228" t="n">
        <v>1.666800763360692</v>
      </c>
      <c r="J228" t="n">
        <v>7</v>
      </c>
      <c r="K228">
        <f>'_pockets'!$AI$974</f>
        <v/>
      </c>
      <c r="L228">
        <f>'_pockets'!$AJ$974</f>
        <v/>
      </c>
      <c r="M228">
        <f>IF(AND($A228='Pockets'!$D$17,$B228='Pockets'!$C$17,OR('Pockets'!$E$17="All",AND('Pockets'!$E$17="Worse and material",$K228="Yes",$L228="Yes"),AND('Pockets'!$E$17="Worse or not sure",OR($K228="Yes",$K228="Not sure")))),1,0)</f>
        <v/>
      </c>
      <c r="N228">
        <f>$N227+$M228</f>
        <v/>
      </c>
      <c r="O228" t="inlineStr">
        <is>
          <t>three-way</t>
        </is>
      </c>
      <c r="P228" t="inlineStr">
        <is>
          <t>outcome_loans</t>
        </is>
      </c>
    </row>
    <row r="229">
      <c r="A229" t="inlineStr">
        <is>
          <t>Split by SYS_FLAG</t>
        </is>
      </c>
      <c r="B229" t="inlineStr">
        <is>
          <t>Bad loans</t>
        </is>
      </c>
      <c r="C229" t="n">
        <v>804</v>
      </c>
      <c r="D229" t="inlineStr">
        <is>
          <t>FICO 654 - 685</t>
        </is>
      </c>
      <c r="E229" t="inlineStr">
        <is>
          <t>ASSET_CLASS 4</t>
        </is>
      </c>
      <c r="F229" t="inlineStr">
        <is>
          <t>Y</t>
        </is>
      </c>
      <c r="G229" t="n">
        <v>191</v>
      </c>
      <c r="H229" t="n">
        <v>1.772515643463992</v>
      </c>
      <c r="J229" t="n">
        <v>8</v>
      </c>
      <c r="K229">
        <f>'_pockets'!$AI$804</f>
        <v/>
      </c>
      <c r="L229">
        <f>'_pockets'!$AJ$804</f>
        <v/>
      </c>
      <c r="M229">
        <f>IF(AND($A229='Pockets'!$D$17,$B229='Pockets'!$C$17,OR('Pockets'!$E$17="All",AND('Pockets'!$E$17="Worse and material",$K229="Yes",$L229="Yes"),AND('Pockets'!$E$17="Worse or not sure",OR($K229="Yes",$K229="Not sure")))),1,0)</f>
        <v/>
      </c>
      <c r="N229">
        <f>$N228+$M229</f>
        <v/>
      </c>
      <c r="O229" t="inlineStr">
        <is>
          <t>three-way</t>
        </is>
      </c>
      <c r="P229" t="inlineStr">
        <is>
          <t>outcome_loans</t>
        </is>
      </c>
    </row>
    <row r="230">
      <c r="A230" t="inlineStr">
        <is>
          <t>Split by SYS_FLAG</t>
        </is>
      </c>
      <c r="B230" t="inlineStr">
        <is>
          <t>Bad loans</t>
        </is>
      </c>
      <c r="C230" t="n">
        <v>474</v>
      </c>
      <c r="D230" t="inlineStr">
        <is>
          <t>FICO 686 - 711</t>
        </is>
      </c>
      <c r="E230" t="inlineStr">
        <is>
          <t>Online</t>
        </is>
      </c>
      <c r="F230" t="inlineStr">
        <is>
          <t>Y</t>
        </is>
      </c>
      <c r="G230" t="n">
        <v>249</v>
      </c>
      <c r="H230" t="n">
        <v>1.673630183948054</v>
      </c>
      <c r="J230" t="n">
        <v>9</v>
      </c>
      <c r="K230">
        <f>'_pockets'!$AI$474</f>
        <v/>
      </c>
      <c r="L230">
        <f>'_pockets'!$AJ$474</f>
        <v/>
      </c>
      <c r="M230">
        <f>IF(AND($A230='Pockets'!$D$17,$B230='Pockets'!$C$17,OR('Pockets'!$E$17="All",AND('Pockets'!$E$17="Worse and material",$K230="Yes",$L230="Yes"),AND('Pockets'!$E$17="Worse or not sure",OR($K230="Yes",$K230="Not sure")))),1,0)</f>
        <v/>
      </c>
      <c r="N230">
        <f>$N229+$M230</f>
        <v/>
      </c>
      <c r="O230" t="inlineStr">
        <is>
          <t>three-way</t>
        </is>
      </c>
      <c r="P230" t="inlineStr">
        <is>
          <t>outcome_loans</t>
        </is>
      </c>
    </row>
    <row r="231">
      <c r="A231" t="inlineStr">
        <is>
          <t>Split by SYS_FLAG</t>
        </is>
      </c>
      <c r="B231" t="inlineStr">
        <is>
          <t>Bad loans</t>
        </is>
      </c>
      <c r="C231" t="n">
        <v>619</v>
      </c>
      <c r="D231" t="inlineStr">
        <is>
          <t>FICO 712 - 745</t>
        </is>
      </c>
      <c r="E231" t="inlineStr">
        <is>
          <t>ASSET_CLASS 4</t>
        </is>
      </c>
      <c r="F231" t="inlineStr">
        <is>
          <t>Y</t>
        </is>
      </c>
      <c r="G231" t="n">
        <v>207</v>
      </c>
      <c r="H231" t="n">
        <v>1.740925722934131</v>
      </c>
      <c r="J231" t="n">
        <v>10</v>
      </c>
      <c r="K231">
        <f>'_pockets'!$AI$619</f>
        <v/>
      </c>
      <c r="L231">
        <f>'_pockets'!$AJ$619</f>
        <v/>
      </c>
      <c r="M231">
        <f>IF(AND($A231='Pockets'!$D$17,$B231='Pockets'!$C$17,OR('Pockets'!$E$17="All",AND('Pockets'!$E$17="Worse and material",$K231="Yes",$L231="Yes"),AND('Pockets'!$E$17="Worse or not sure",OR($K231="Yes",$K231="Not sure")))),1,0)</f>
        <v/>
      </c>
      <c r="N231">
        <f>$N230+$M231</f>
        <v/>
      </c>
      <c r="O231" t="inlineStr">
        <is>
          <t>three-way</t>
        </is>
      </c>
      <c r="P231" t="inlineStr">
        <is>
          <t>outcome_loans</t>
        </is>
      </c>
    </row>
    <row r="232">
      <c r="A232" t="inlineStr">
        <is>
          <t>Split by SYS_FLAG</t>
        </is>
      </c>
      <c r="B232" t="inlineStr">
        <is>
          <t>Bad loans</t>
        </is>
      </c>
      <c r="C232" t="n">
        <v>1019</v>
      </c>
      <c r="D232" t="inlineStr">
        <is>
          <t>ORIG_BAL 26,324 - 37,950</t>
        </is>
      </c>
      <c r="E232" t="inlineStr">
        <is>
          <t>ASSET_CLASS 4</t>
        </is>
      </c>
      <c r="F232" t="inlineStr">
        <is>
          <t>Y</t>
        </is>
      </c>
      <c r="G232" t="n">
        <v>194</v>
      </c>
      <c r="H232" t="n">
        <v>1.766282281624315</v>
      </c>
      <c r="J232" t="n">
        <v>11</v>
      </c>
      <c r="K232">
        <f>'_pockets'!$AI$1019</f>
        <v/>
      </c>
      <c r="L232">
        <f>'_pockets'!$AJ$1019</f>
        <v/>
      </c>
      <c r="M232">
        <f>IF(AND($A232='Pockets'!$D$17,$B232='Pockets'!$C$17,OR('Pockets'!$E$17="All",AND('Pockets'!$E$17="Worse and material",$K232="Yes",$L232="Yes"),AND('Pockets'!$E$17="Worse or not sure",OR($K232="Yes",$K232="Not sure")))),1,0)</f>
        <v/>
      </c>
      <c r="N232">
        <f>$N231+$M232</f>
        <v/>
      </c>
      <c r="O232" t="inlineStr">
        <is>
          <t>three-way</t>
        </is>
      </c>
      <c r="P232" t="inlineStr">
        <is>
          <t>outcome_loans</t>
        </is>
      </c>
    </row>
    <row r="233">
      <c r="A233" t="inlineStr">
        <is>
          <t>Split by SYS_FLAG</t>
        </is>
      </c>
      <c r="B233" t="inlineStr">
        <is>
          <t>Bad loans</t>
        </is>
      </c>
      <c r="C233" t="n">
        <v>1154</v>
      </c>
      <c r="D233" t="inlineStr">
        <is>
          <t>ORIG_BAL 49,152 - 59,984</t>
        </is>
      </c>
      <c r="E233" t="inlineStr">
        <is>
          <t>ASSET_CLASS 4</t>
        </is>
      </c>
      <c r="F233" t="inlineStr">
        <is>
          <t>Y</t>
        </is>
      </c>
      <c r="G233" t="n">
        <v>171</v>
      </c>
      <c r="H233" t="n">
        <v>1.818379758996963</v>
      </c>
      <c r="J233" t="n">
        <v>12</v>
      </c>
      <c r="K233">
        <f>'_pockets'!$AI$1154</f>
        <v/>
      </c>
      <c r="L233">
        <f>'_pockets'!$AJ$1154</f>
        <v/>
      </c>
      <c r="M233">
        <f>IF(AND($A233='Pockets'!$D$17,$B233='Pockets'!$C$17,OR('Pockets'!$E$17="All",AND('Pockets'!$E$17="Worse and material",$K233="Yes",$L233="Yes"),AND('Pockets'!$E$17="Worse or not sure",OR($K233="Yes",$K233="Not sure")))),1,0)</f>
        <v/>
      </c>
      <c r="N233">
        <f>$N232+$M233</f>
        <v/>
      </c>
      <c r="O233" t="inlineStr">
        <is>
          <t>three-way</t>
        </is>
      </c>
      <c r="P233" t="inlineStr">
        <is>
          <t>outcome_loans</t>
        </is>
      </c>
    </row>
    <row r="234">
      <c r="A234" t="inlineStr">
        <is>
          <t>Split by SYS_FLAG</t>
        </is>
      </c>
      <c r="B234" t="inlineStr">
        <is>
          <t>Bad loans</t>
        </is>
      </c>
      <c r="C234" t="n">
        <v>954</v>
      </c>
      <c r="D234" t="inlineStr">
        <is>
          <t>ORIG_BAL 49,152 - 59,984</t>
        </is>
      </c>
      <c r="E234" t="inlineStr">
        <is>
          <t>Broker</t>
        </is>
      </c>
      <c r="F234" t="inlineStr">
        <is>
          <t>Y</t>
        </is>
      </c>
      <c r="G234" t="n">
        <v>242</v>
      </c>
      <c r="H234" t="n">
        <v>1.683561434076145</v>
      </c>
      <c r="J234" t="n">
        <v>13</v>
      </c>
      <c r="K234">
        <f>'_pockets'!$AI$954</f>
        <v/>
      </c>
      <c r="L234">
        <f>'_pockets'!$AJ$954</f>
        <v/>
      </c>
      <c r="M234">
        <f>IF(AND($A234='Pockets'!$D$17,$B234='Pockets'!$C$17,OR('Pockets'!$E$17="All",AND('Pockets'!$E$17="Worse and material",$K234="Yes",$L234="Yes"),AND('Pockets'!$E$17="Worse or not sure",OR($K234="Yes",$K234="Not sure")))),1,0)</f>
        <v/>
      </c>
      <c r="N234">
        <f>$N233+$M234</f>
        <v/>
      </c>
      <c r="O234" t="inlineStr">
        <is>
          <t>three-way</t>
        </is>
      </c>
      <c r="P234" t="inlineStr">
        <is>
          <t>outcome_loans</t>
        </is>
      </c>
    </row>
    <row r="235">
      <c r="A235" t="inlineStr">
        <is>
          <t>Split by SYS_FLAG</t>
        </is>
      </c>
      <c r="B235" t="inlineStr">
        <is>
          <t>Bad loans</t>
        </is>
      </c>
      <c r="C235" t="n">
        <v>439</v>
      </c>
      <c r="D235" t="inlineStr">
        <is>
          <t>FICO 496 - 653</t>
        </is>
      </c>
      <c r="E235" t="inlineStr">
        <is>
          <t>Broker</t>
        </is>
      </c>
      <c r="F235" t="inlineStr">
        <is>
          <t>N</t>
        </is>
      </c>
      <c r="G235" t="n">
        <v>258</v>
      </c>
      <c r="H235" t="n">
        <v>1.661487378609934</v>
      </c>
      <c r="J235" t="n">
        <v>14</v>
      </c>
      <c r="K235">
        <f>'_pockets'!$AI$439</f>
        <v/>
      </c>
      <c r="L235">
        <f>'_pockets'!$AJ$439</f>
        <v/>
      </c>
      <c r="M235">
        <f>IF(AND($A235='Pockets'!$D$17,$B235='Pockets'!$C$17,OR('Pockets'!$E$17="All",AND('Pockets'!$E$17="Worse and material",$K235="Yes",$L235="Yes"),AND('Pockets'!$E$17="Worse or not sure",OR($K235="Yes",$K235="Not sure")))),1,0)</f>
        <v/>
      </c>
      <c r="N235">
        <f>$N234+$M235</f>
        <v/>
      </c>
      <c r="O235" t="inlineStr">
        <is>
          <t>three-way</t>
        </is>
      </c>
      <c r="P235" t="inlineStr">
        <is>
          <t>outcome_loans</t>
        </is>
      </c>
    </row>
    <row r="236">
      <c r="A236" t="inlineStr">
        <is>
          <t>Split by SYS_FLAG</t>
        </is>
      </c>
      <c r="B236" t="inlineStr">
        <is>
          <t>Bad loans</t>
        </is>
      </c>
      <c r="C236" t="n">
        <v>759</v>
      </c>
      <c r="D236" t="inlineStr">
        <is>
          <t>FICO 496 - 653</t>
        </is>
      </c>
      <c r="E236" t="inlineStr">
        <is>
          <t>ASSET_CLASS 1</t>
        </is>
      </c>
      <c r="F236" t="inlineStr">
        <is>
          <t>Y</t>
        </is>
      </c>
      <c r="G236" t="n">
        <v>186</v>
      </c>
      <c r="H236" t="n">
        <v>1.783253341014059</v>
      </c>
      <c r="J236" t="n">
        <v>15</v>
      </c>
      <c r="K236">
        <f>'_pockets'!$AI$759</f>
        <v/>
      </c>
      <c r="L236">
        <f>'_pockets'!$AJ$759</f>
        <v/>
      </c>
      <c r="M236">
        <f>IF(AND($A236='Pockets'!$D$17,$B236='Pockets'!$C$17,OR('Pockets'!$E$17="All",AND('Pockets'!$E$17="Worse and material",$K236="Yes",$L236="Yes"),AND('Pockets'!$E$17="Worse or not sure",OR($K236="Yes",$K236="Not sure")))),1,0)</f>
        <v/>
      </c>
      <c r="N236">
        <f>$N235+$M236</f>
        <v/>
      </c>
      <c r="O236" t="inlineStr">
        <is>
          <t>three-way</t>
        </is>
      </c>
      <c r="P236" t="inlineStr">
        <is>
          <t>outcome_loans</t>
        </is>
      </c>
    </row>
    <row r="237">
      <c r="A237" t="inlineStr">
        <is>
          <t>Split by SYS_FLAG</t>
        </is>
      </c>
      <c r="B237" t="inlineStr">
        <is>
          <t>Bad loans</t>
        </is>
      </c>
      <c r="C237" t="n">
        <v>899</v>
      </c>
      <c r="D237" t="inlineStr">
        <is>
          <t>ORIG_BAL 49,152 - 59,984</t>
        </is>
      </c>
      <c r="E237" t="inlineStr">
        <is>
          <t>Online</t>
        </is>
      </c>
      <c r="F237" t="inlineStr">
        <is>
          <t>Y</t>
        </is>
      </c>
      <c r="G237" t="n">
        <v>274</v>
      </c>
      <c r="H237" t="n">
        <v>1.641463532232868</v>
      </c>
      <c r="J237" t="n">
        <v>16</v>
      </c>
      <c r="K237">
        <f>'_pockets'!$AI$899</f>
        <v/>
      </c>
      <c r="L237">
        <f>'_pockets'!$AJ$899</f>
        <v/>
      </c>
      <c r="M237">
        <f>IF(AND($A237='Pockets'!$D$17,$B237='Pockets'!$C$17,OR('Pockets'!$E$17="All",AND('Pockets'!$E$17="Worse and material",$K237="Yes",$L237="Yes"),AND('Pockets'!$E$17="Worse or not sure",OR($K237="Yes",$K237="Not sure")))),1,0)</f>
        <v/>
      </c>
      <c r="N237">
        <f>$N236+$M237</f>
        <v/>
      </c>
      <c r="O237" t="inlineStr">
        <is>
          <t>three-way</t>
        </is>
      </c>
      <c r="P237" t="inlineStr">
        <is>
          <t>outcome_loans</t>
        </is>
      </c>
    </row>
    <row r="238">
      <c r="A238" t="inlineStr">
        <is>
          <t>Split by SYS_FLAG</t>
        </is>
      </c>
      <c r="B238" t="inlineStr">
        <is>
          <t>Bad loans</t>
        </is>
      </c>
      <c r="C238" t="n">
        <v>929</v>
      </c>
      <c r="D238" t="inlineStr">
        <is>
          <t>ORIG_BAL 5,005 - 15,448</t>
        </is>
      </c>
      <c r="E238" t="inlineStr">
        <is>
          <t>Online</t>
        </is>
      </c>
      <c r="F238" t="inlineStr">
        <is>
          <t>Y</t>
        </is>
      </c>
      <c r="G238" t="n">
        <v>242</v>
      </c>
      <c r="H238" t="n">
        <v>1.683561434076145</v>
      </c>
      <c r="J238" t="n">
        <v>17</v>
      </c>
      <c r="K238">
        <f>'_pockets'!$AI$929</f>
        <v/>
      </c>
      <c r="L238">
        <f>'_pockets'!$AJ$929</f>
        <v/>
      </c>
      <c r="M238">
        <f>IF(AND($A238='Pockets'!$D$17,$B238='Pockets'!$C$17,OR('Pockets'!$E$17="All",AND('Pockets'!$E$17="Worse and material",$K238="Yes",$L238="Yes"),AND('Pockets'!$E$17="Worse or not sure",OR($K238="Yes",$K238="Not sure")))),1,0)</f>
        <v/>
      </c>
      <c r="N238">
        <f>$N237+$M238</f>
        <v/>
      </c>
      <c r="O238" t="inlineStr">
        <is>
          <t>three-way</t>
        </is>
      </c>
      <c r="P238" t="inlineStr">
        <is>
          <t>outcome_loans</t>
        </is>
      </c>
    </row>
    <row r="239">
      <c r="A239" t="inlineStr">
        <is>
          <t>Split by SYS_FLAG</t>
        </is>
      </c>
      <c r="B239" t="inlineStr">
        <is>
          <t>Bad loans</t>
        </is>
      </c>
      <c r="C239" t="n">
        <v>559</v>
      </c>
      <c r="D239" t="inlineStr">
        <is>
          <t>FICO 654 - 685</t>
        </is>
      </c>
      <c r="E239" t="inlineStr">
        <is>
          <t>Online</t>
        </is>
      </c>
      <c r="F239" t="inlineStr">
        <is>
          <t>Y</t>
        </is>
      </c>
      <c r="G239" t="n">
        <v>236</v>
      </c>
      <c r="H239" t="n">
        <v>1.692439853142426</v>
      </c>
      <c r="J239" t="n">
        <v>18</v>
      </c>
      <c r="K239">
        <f>'_pockets'!$AI$559</f>
        <v/>
      </c>
      <c r="L239">
        <f>'_pockets'!$AJ$559</f>
        <v/>
      </c>
      <c r="M239">
        <f>IF(AND($A239='Pockets'!$D$17,$B239='Pockets'!$C$17,OR('Pockets'!$E$17="All",AND('Pockets'!$E$17="Worse and material",$K239="Yes",$L239="Yes"),AND('Pockets'!$E$17="Worse or not sure",OR($K239="Yes",$K239="Not sure")))),1,0)</f>
        <v/>
      </c>
      <c r="N239">
        <f>$N238+$M239</f>
        <v/>
      </c>
      <c r="O239" t="inlineStr">
        <is>
          <t>three-way</t>
        </is>
      </c>
      <c r="P239" t="inlineStr">
        <is>
          <t>outcome_loans</t>
        </is>
      </c>
    </row>
    <row r="240">
      <c r="A240" t="inlineStr">
        <is>
          <t>Split by SYS_FLAG</t>
        </is>
      </c>
      <c r="B240" t="inlineStr">
        <is>
          <t>Bad loans</t>
        </is>
      </c>
      <c r="C240" t="n">
        <v>1139</v>
      </c>
      <c r="D240" t="inlineStr">
        <is>
          <t>ORIG_BAL 37,951 - 49,151</t>
        </is>
      </c>
      <c r="E240" t="inlineStr">
        <is>
          <t>ASSET_CLASS 3</t>
        </is>
      </c>
      <c r="F240" t="inlineStr">
        <is>
          <t>Y</t>
        </is>
      </c>
      <c r="G240" t="n">
        <v>195</v>
      </c>
      <c r="H240" t="n">
        <v>1.764237989033877</v>
      </c>
      <c r="J240" t="n">
        <v>19</v>
      </c>
      <c r="K240">
        <f>'_pockets'!$AI$1139</f>
        <v/>
      </c>
      <c r="L240">
        <f>'_pockets'!$AJ$1139</f>
        <v/>
      </c>
      <c r="M240">
        <f>IF(AND($A240='Pockets'!$D$17,$B240='Pockets'!$C$17,OR('Pockets'!$E$17="All",AND('Pockets'!$E$17="Worse and material",$K240="Yes",$L240="Yes"),AND('Pockets'!$E$17="Worse or not sure",OR($K240="Yes",$K240="Not sure")))),1,0)</f>
        <v/>
      </c>
      <c r="N240">
        <f>$N239+$M240</f>
        <v/>
      </c>
      <c r="O240" t="inlineStr">
        <is>
          <t>three-way</t>
        </is>
      </c>
      <c r="P240" t="inlineStr">
        <is>
          <t>outcome_loans</t>
        </is>
      </c>
    </row>
    <row r="241">
      <c r="A241" t="inlineStr">
        <is>
          <t>Split by SYS_FLAG</t>
        </is>
      </c>
      <c r="B241" t="inlineStr">
        <is>
          <t>Bad loans</t>
        </is>
      </c>
      <c r="C241" t="n">
        <v>1054</v>
      </c>
      <c r="D241" t="inlineStr">
        <is>
          <t>ORIG_BAL 49,152 - 59,984</t>
        </is>
      </c>
      <c r="E241" t="inlineStr">
        <is>
          <t>ASSET_CLASS 1</t>
        </is>
      </c>
      <c r="F241" t="inlineStr">
        <is>
          <t>Y</t>
        </is>
      </c>
      <c r="G241" t="n">
        <v>195</v>
      </c>
      <c r="H241" t="n">
        <v>1.764237989033877</v>
      </c>
      <c r="J241" t="n">
        <v>20</v>
      </c>
      <c r="K241">
        <f>'_pockets'!$AI$1054</f>
        <v/>
      </c>
      <c r="L241">
        <f>'_pockets'!$AJ$1054</f>
        <v/>
      </c>
      <c r="M241">
        <f>IF(AND($A241='Pockets'!$D$17,$B241='Pockets'!$C$17,OR('Pockets'!$E$17="All",AND('Pockets'!$E$17="Worse and material",$K241="Yes",$L241="Yes"),AND('Pockets'!$E$17="Worse or not sure",OR($K241="Yes",$K241="Not sure")))),1,0)</f>
        <v/>
      </c>
      <c r="N241">
        <f>$N240+$M241</f>
        <v/>
      </c>
      <c r="O241" t="inlineStr">
        <is>
          <t>three-way</t>
        </is>
      </c>
      <c r="P241" t="inlineStr">
        <is>
          <t>outcome_loans</t>
        </is>
      </c>
    </row>
    <row r="242">
      <c r="A242" t="inlineStr">
        <is>
          <t>Split by SYS_FLAG</t>
        </is>
      </c>
      <c r="B242" t="inlineStr">
        <is>
          <t>Bad loans</t>
        </is>
      </c>
      <c r="C242" t="n">
        <v>904</v>
      </c>
      <c r="D242" t="inlineStr">
        <is>
          <t>ORIG_BAL 26,324 - 37,950</t>
        </is>
      </c>
      <c r="E242" t="inlineStr">
        <is>
          <t>Online</t>
        </is>
      </c>
      <c r="F242" t="inlineStr">
        <is>
          <t>Y</t>
        </is>
      </c>
      <c r="G242" t="n">
        <v>231</v>
      </c>
      <c r="H242" t="n">
        <v>1.700113662524463</v>
      </c>
      <c r="J242" t="n">
        <v>21</v>
      </c>
      <c r="K242">
        <f>'_pockets'!$AI$904</f>
        <v/>
      </c>
      <c r="L242">
        <f>'_pockets'!$AJ$904</f>
        <v/>
      </c>
      <c r="M242">
        <f>IF(AND($A242='Pockets'!$D$17,$B242='Pockets'!$C$17,OR('Pockets'!$E$17="All",AND('Pockets'!$E$17="Worse and material",$K242="Yes",$L242="Yes"),AND('Pockets'!$E$17="Worse or not sure",OR($K242="Yes",$K242="Not sure")))),1,0)</f>
        <v/>
      </c>
      <c r="N242">
        <f>$N241+$M242</f>
        <v/>
      </c>
      <c r="O242" t="inlineStr">
        <is>
          <t>three-way</t>
        </is>
      </c>
      <c r="P242" t="inlineStr">
        <is>
          <t>outcome_loans</t>
        </is>
      </c>
    </row>
    <row r="243">
      <c r="A243" t="inlineStr">
        <is>
          <t>Split by SYS_FLAG</t>
        </is>
      </c>
      <c r="B243" t="inlineStr">
        <is>
          <t>Bad loans</t>
        </is>
      </c>
      <c r="C243" t="n">
        <v>889</v>
      </c>
      <c r="D243" t="inlineStr">
        <is>
          <t>ORIG_BAL 5,005 - 15,448</t>
        </is>
      </c>
      <c r="E243" t="inlineStr">
        <is>
          <t>Broker</t>
        </is>
      </c>
      <c r="F243" t="inlineStr">
        <is>
          <t>Y</t>
        </is>
      </c>
      <c r="G243" t="n">
        <v>237</v>
      </c>
      <c r="H243" t="n">
        <v>1.690935646900933</v>
      </c>
      <c r="J243" t="n">
        <v>22</v>
      </c>
      <c r="K243">
        <f>'_pockets'!$AI$889</f>
        <v/>
      </c>
      <c r="L243">
        <f>'_pockets'!$AJ$889</f>
        <v/>
      </c>
      <c r="M243">
        <f>IF(AND($A243='Pockets'!$D$17,$B243='Pockets'!$C$17,OR('Pockets'!$E$17="All",AND('Pockets'!$E$17="Worse and material",$K243="Yes",$L243="Yes"),AND('Pockets'!$E$17="Worse or not sure",OR($K243="Yes",$K243="Not sure")))),1,0)</f>
        <v/>
      </c>
      <c r="N243">
        <f>$N242+$M243</f>
        <v/>
      </c>
      <c r="O243" t="inlineStr">
        <is>
          <t>three-way</t>
        </is>
      </c>
      <c r="P243" t="inlineStr">
        <is>
          <t>outcome_loans</t>
        </is>
      </c>
    </row>
    <row r="244">
      <c r="A244" t="inlineStr">
        <is>
          <t>Split by SYS_FLAG</t>
        </is>
      </c>
      <c r="B244" t="inlineStr">
        <is>
          <t>Bad loans</t>
        </is>
      </c>
      <c r="C244" t="n">
        <v>484</v>
      </c>
      <c r="D244" t="inlineStr">
        <is>
          <t>FICO 654 - 685</t>
        </is>
      </c>
      <c r="E244" t="inlineStr">
        <is>
          <t>Branch</t>
        </is>
      </c>
      <c r="F244" t="inlineStr">
        <is>
          <t>Y</t>
        </is>
      </c>
      <c r="G244" t="n">
        <v>254</v>
      </c>
      <c r="H244" t="n">
        <v>1.666800763360692</v>
      </c>
      <c r="J244" t="n">
        <v>23</v>
      </c>
      <c r="K244">
        <f>'_pockets'!$AI$484</f>
        <v/>
      </c>
      <c r="L244">
        <f>'_pockets'!$AJ$484</f>
        <v/>
      </c>
      <c r="M244">
        <f>IF(AND($A244='Pockets'!$D$17,$B244='Pockets'!$C$17,OR('Pockets'!$E$17="All",AND('Pockets'!$E$17="Worse and material",$K244="Yes",$L244="Yes"),AND('Pockets'!$E$17="Worse or not sure",OR($K244="Yes",$K244="Not sure")))),1,0)</f>
        <v/>
      </c>
      <c r="N244">
        <f>$N243+$M244</f>
        <v/>
      </c>
      <c r="O244" t="inlineStr">
        <is>
          <t>three-way</t>
        </is>
      </c>
      <c r="P244" t="inlineStr">
        <is>
          <t>outcome_loans</t>
        </is>
      </c>
    </row>
    <row r="245">
      <c r="A245" t="inlineStr">
        <is>
          <t>Split by SYS_FLAG</t>
        </is>
      </c>
      <c r="B245" t="inlineStr">
        <is>
          <t>Bad loans</t>
        </is>
      </c>
      <c r="C245" t="n">
        <v>689</v>
      </c>
      <c r="D245" t="inlineStr">
        <is>
          <t>FICO 496 - 653</t>
        </is>
      </c>
      <c r="E245" t="inlineStr">
        <is>
          <t>ASSET_CLASS 3</t>
        </is>
      </c>
      <c r="F245" t="inlineStr">
        <is>
          <t>Y</t>
        </is>
      </c>
      <c r="G245" t="n">
        <v>166</v>
      </c>
      <c r="H245" t="n">
        <v>1.831183586776139</v>
      </c>
      <c r="J245" t="n">
        <v>24</v>
      </c>
      <c r="K245">
        <f>'_pockets'!$AI$689</f>
        <v/>
      </c>
      <c r="L245">
        <f>'_pockets'!$AJ$689</f>
        <v/>
      </c>
      <c r="M245">
        <f>IF(AND($A245='Pockets'!$D$17,$B245='Pockets'!$C$17,OR('Pockets'!$E$17="All",AND('Pockets'!$E$17="Worse and material",$K245="Yes",$L245="Yes"),AND('Pockets'!$E$17="Worse or not sure",OR($K245="Yes",$K245="Not sure")))),1,0)</f>
        <v/>
      </c>
      <c r="N245">
        <f>$N244+$M245</f>
        <v/>
      </c>
      <c r="O245" t="inlineStr">
        <is>
          <t>three-way</t>
        </is>
      </c>
      <c r="P245" t="inlineStr">
        <is>
          <t>outcome_loans</t>
        </is>
      </c>
    </row>
    <row r="246">
      <c r="A246" t="inlineStr">
        <is>
          <t>Split by SYS_FLAG</t>
        </is>
      </c>
      <c r="B246" t="inlineStr">
        <is>
          <t>Bad loans</t>
        </is>
      </c>
      <c r="C246" t="n">
        <v>1039</v>
      </c>
      <c r="D246" t="inlineStr">
        <is>
          <t>ORIG_BAL 15,449 - 26,323</t>
        </is>
      </c>
      <c r="E246" t="inlineStr">
        <is>
          <t>ASSET_CLASS 4</t>
        </is>
      </c>
      <c r="F246" t="inlineStr">
        <is>
          <t>N</t>
        </is>
      </c>
      <c r="G246" t="n">
        <v>223</v>
      </c>
      <c r="H246" t="n">
        <v>1.712949673074177</v>
      </c>
      <c r="J246" t="n">
        <v>25</v>
      </c>
      <c r="K246">
        <f>'_pockets'!$AI$1039</f>
        <v/>
      </c>
      <c r="L246">
        <f>'_pockets'!$AJ$1039</f>
        <v/>
      </c>
      <c r="M246">
        <f>IF(AND($A246='Pockets'!$D$17,$B246='Pockets'!$C$17,OR('Pockets'!$E$17="All",AND('Pockets'!$E$17="Worse and material",$K246="Yes",$L246="Yes"),AND('Pockets'!$E$17="Worse or not sure",OR($K246="Yes",$K246="Not sure")))),1,0)</f>
        <v/>
      </c>
      <c r="N246">
        <f>$N245+$M246</f>
        <v/>
      </c>
      <c r="O246" t="inlineStr">
        <is>
          <t>three-way</t>
        </is>
      </c>
      <c r="P246" t="inlineStr">
        <is>
          <t>outcome_loans</t>
        </is>
      </c>
    </row>
    <row r="247">
      <c r="A247" t="inlineStr">
        <is>
          <t>Split by SYS_FLAG</t>
        </is>
      </c>
      <c r="B247" t="inlineStr">
        <is>
          <t>Bad loans</t>
        </is>
      </c>
      <c r="C247" t="n">
        <v>814</v>
      </c>
      <c r="D247" t="inlineStr">
        <is>
          <t>FICO 686 - 711</t>
        </is>
      </c>
      <c r="E247" t="inlineStr">
        <is>
          <t>ASSET_CLASS 3</t>
        </is>
      </c>
      <c r="F247" t="inlineStr">
        <is>
          <t>Y</t>
        </is>
      </c>
      <c r="G247" t="n">
        <v>196</v>
      </c>
      <c r="H247" t="n">
        <v>1.762210077571128</v>
      </c>
      <c r="J247" t="n">
        <v>26</v>
      </c>
      <c r="K247">
        <f>'_pockets'!$AI$814</f>
        <v/>
      </c>
      <c r="L247">
        <f>'_pockets'!$AJ$814</f>
        <v/>
      </c>
      <c r="M247">
        <f>IF(AND($A247='Pockets'!$D$17,$B247='Pockets'!$C$17,OR('Pockets'!$E$17="All",AND('Pockets'!$E$17="Worse and material",$K247="Yes",$L247="Yes"),AND('Pockets'!$E$17="Worse or not sure",OR($K247="Yes",$K247="Not sure")))),1,0)</f>
        <v/>
      </c>
      <c r="N247">
        <f>$N246+$M247</f>
        <v/>
      </c>
      <c r="O247" t="inlineStr">
        <is>
          <t>three-way</t>
        </is>
      </c>
      <c r="P247" t="inlineStr">
        <is>
          <t>outcome_loans</t>
        </is>
      </c>
    </row>
    <row r="248">
      <c r="A248" t="inlineStr">
        <is>
          <t>Split by SYS_FLAG</t>
        </is>
      </c>
      <c r="B248" t="inlineStr">
        <is>
          <t>Bad loans</t>
        </is>
      </c>
      <c r="C248" t="n">
        <v>434</v>
      </c>
      <c r="D248" t="inlineStr">
        <is>
          <t>FICO 746 - 921</t>
        </is>
      </c>
      <c r="E248" t="inlineStr">
        <is>
          <t>Branch</t>
        </is>
      </c>
      <c r="F248" t="inlineStr">
        <is>
          <t>Y</t>
        </is>
      </c>
      <c r="G248" t="n">
        <v>239</v>
      </c>
      <c r="H248" t="n">
        <v>1.687956913454374</v>
      </c>
      <c r="J248" t="n">
        <v>27</v>
      </c>
      <c r="K248">
        <f>'_pockets'!$AI$434</f>
        <v/>
      </c>
      <c r="L248">
        <f>'_pockets'!$AJ$434</f>
        <v/>
      </c>
      <c r="M248">
        <f>IF(AND($A248='Pockets'!$D$17,$B248='Pockets'!$C$17,OR('Pockets'!$E$17="All",AND('Pockets'!$E$17="Worse and material",$K248="Yes",$L248="Yes"),AND('Pockets'!$E$17="Worse or not sure",OR($K248="Yes",$K248="Not sure")))),1,0)</f>
        <v/>
      </c>
      <c r="N248">
        <f>$N247+$M248</f>
        <v/>
      </c>
      <c r="O248" t="inlineStr">
        <is>
          <t>three-way</t>
        </is>
      </c>
      <c r="P248" t="inlineStr">
        <is>
          <t>outcome_loans</t>
        </is>
      </c>
    </row>
    <row r="249">
      <c r="A249" t="inlineStr">
        <is>
          <t>Split by SYS_FLAG</t>
        </is>
      </c>
      <c r="B249" t="inlineStr">
        <is>
          <t>Bad loans</t>
        </is>
      </c>
      <c r="C249" t="n">
        <v>1109</v>
      </c>
      <c r="D249" t="inlineStr">
        <is>
          <t>ORIG_BAL 5,005 - 15,448</t>
        </is>
      </c>
      <c r="E249" t="inlineStr">
        <is>
          <t>ASSET_CLASS 2</t>
        </is>
      </c>
      <c r="F249" t="inlineStr">
        <is>
          <t>Y</t>
        </is>
      </c>
      <c r="G249" t="n">
        <v>160</v>
      </c>
      <c r="H249" t="n">
        <v>1.847370522184179</v>
      </c>
      <c r="J249" t="n">
        <v>28</v>
      </c>
      <c r="K249">
        <f>'_pockets'!$AI$1109</f>
        <v/>
      </c>
      <c r="L249">
        <f>'_pockets'!$AJ$1109</f>
        <v/>
      </c>
      <c r="M249">
        <f>IF(AND($A249='Pockets'!$D$17,$B249='Pockets'!$C$17,OR('Pockets'!$E$17="All",AND('Pockets'!$E$17="Worse and material",$K249="Yes",$L249="Yes"),AND('Pockets'!$E$17="Worse or not sure",OR($K249="Yes",$K249="Not sure")))),1,0)</f>
        <v/>
      </c>
      <c r="N249">
        <f>$N248+$M249</f>
        <v/>
      </c>
      <c r="O249" t="inlineStr">
        <is>
          <t>three-way</t>
        </is>
      </c>
      <c r="P249" t="inlineStr">
        <is>
          <t>outcome_loans</t>
        </is>
      </c>
    </row>
    <row r="250">
      <c r="A250" t="inlineStr">
        <is>
          <t>Split by SYS_FLAG</t>
        </is>
      </c>
      <c r="B250" t="inlineStr">
        <is>
          <t>Bad loans</t>
        </is>
      </c>
      <c r="C250" t="n">
        <v>519</v>
      </c>
      <c r="D250" t="inlineStr">
        <is>
          <t>FICO 654 - 685</t>
        </is>
      </c>
      <c r="E250" t="inlineStr">
        <is>
          <t>Broker</t>
        </is>
      </c>
      <c r="F250" t="inlineStr">
        <is>
          <t>Y</t>
        </is>
      </c>
      <c r="G250" t="n">
        <v>244</v>
      </c>
      <c r="H250" t="n">
        <v>1.680678337905755</v>
      </c>
      <c r="J250" t="n">
        <v>29</v>
      </c>
      <c r="K250">
        <f>'_pockets'!$AI$519</f>
        <v/>
      </c>
      <c r="L250">
        <f>'_pockets'!$AJ$519</f>
        <v/>
      </c>
      <c r="M250">
        <f>IF(AND($A250='Pockets'!$D$17,$B250='Pockets'!$C$17,OR('Pockets'!$E$17="All",AND('Pockets'!$E$17="Worse and material",$K250="Yes",$L250="Yes"),AND('Pockets'!$E$17="Worse or not sure",OR($K250="Yes",$K250="Not sure")))),1,0)</f>
        <v/>
      </c>
      <c r="N250">
        <f>$N249+$M250</f>
        <v/>
      </c>
      <c r="O250" t="inlineStr">
        <is>
          <t>three-way</t>
        </is>
      </c>
      <c r="P250" t="inlineStr">
        <is>
          <t>outcome_loans</t>
        </is>
      </c>
    </row>
    <row r="251">
      <c r="A251" t="inlineStr">
        <is>
          <t>Split by SYS_FLAG</t>
        </is>
      </c>
      <c r="B251" t="inlineStr">
        <is>
          <t>Bad loans</t>
        </is>
      </c>
      <c r="C251" t="n">
        <v>1094</v>
      </c>
      <c r="D251" t="inlineStr">
        <is>
          <t>ORIG_BAL 5,005 - 15,448</t>
        </is>
      </c>
      <c r="E251" t="inlineStr">
        <is>
          <t>ASSET_CLASS 4</t>
        </is>
      </c>
      <c r="F251" t="inlineStr">
        <is>
          <t>N</t>
        </is>
      </c>
      <c r="G251" t="n">
        <v>229</v>
      </c>
      <c r="H251" t="n">
        <v>1.703256607666763</v>
      </c>
      <c r="J251" t="n">
        <v>30</v>
      </c>
      <c r="K251">
        <f>'_pockets'!$AI$1094</f>
        <v/>
      </c>
      <c r="L251">
        <f>'_pockets'!$AJ$1094</f>
        <v/>
      </c>
      <c r="M251">
        <f>IF(AND($A251='Pockets'!$D$17,$B251='Pockets'!$C$17,OR('Pockets'!$E$17="All",AND('Pockets'!$E$17="Worse and material",$K251="Yes",$L251="Yes"),AND('Pockets'!$E$17="Worse or not sure",OR($K251="Yes",$K251="Not sure")))),1,0)</f>
        <v/>
      </c>
      <c r="N251">
        <f>$N250+$M251</f>
        <v/>
      </c>
      <c r="O251" t="inlineStr">
        <is>
          <t>three-way</t>
        </is>
      </c>
      <c r="P251" t="inlineStr">
        <is>
          <t>outcome_loans</t>
        </is>
      </c>
    </row>
    <row r="252">
      <c r="A252" t="inlineStr">
        <is>
          <t>Split by SYS_FLAG</t>
        </is>
      </c>
      <c r="B252" t="inlineStr">
        <is>
          <t>Bad loans</t>
        </is>
      </c>
      <c r="C252" t="n">
        <v>654</v>
      </c>
      <c r="D252" t="inlineStr">
        <is>
          <t>FICO 686 - 711</t>
        </is>
      </c>
      <c r="E252" t="inlineStr">
        <is>
          <t>ASSET_CLASS 4</t>
        </is>
      </c>
      <c r="F252" t="inlineStr">
        <is>
          <t>Y</t>
        </is>
      </c>
      <c r="G252" t="n">
        <v>172</v>
      </c>
      <c r="H252" t="n">
        <v>1.81588926760954</v>
      </c>
      <c r="J252" t="n">
        <v>31</v>
      </c>
      <c r="K252">
        <f>'_pockets'!$AI$654</f>
        <v/>
      </c>
      <c r="L252">
        <f>'_pockets'!$AJ$654</f>
        <v/>
      </c>
      <c r="M252">
        <f>IF(AND($A252='Pockets'!$D$17,$B252='Pockets'!$C$17,OR('Pockets'!$E$17="All",AND('Pockets'!$E$17="Worse and material",$K252="Yes",$L252="Yes"),AND('Pockets'!$E$17="Worse or not sure",OR($K252="Yes",$K252="Not sure")))),1,0)</f>
        <v/>
      </c>
      <c r="N252">
        <f>$N251+$M252</f>
        <v/>
      </c>
      <c r="O252" t="inlineStr">
        <is>
          <t>three-way</t>
        </is>
      </c>
      <c r="P252" t="inlineStr">
        <is>
          <t>outcome_loans</t>
        </is>
      </c>
    </row>
    <row r="253">
      <c r="A253" t="inlineStr">
        <is>
          <t>Split by SYS_FLAG</t>
        </is>
      </c>
      <c r="B253" t="inlineStr">
        <is>
          <t>Bad loans</t>
        </is>
      </c>
      <c r="C253" t="n">
        <v>669</v>
      </c>
      <c r="D253" t="inlineStr">
        <is>
          <t>FICO 654 - 685</t>
        </is>
      </c>
      <c r="E253" t="inlineStr">
        <is>
          <t>ASSET_CLASS 1</t>
        </is>
      </c>
      <c r="F253" t="inlineStr">
        <is>
          <t>Y</t>
        </is>
      </c>
      <c r="G253" t="n">
        <v>187</v>
      </c>
      <c r="H253" t="n">
        <v>1.781069809996498</v>
      </c>
      <c r="J253" t="n">
        <v>32</v>
      </c>
      <c r="K253">
        <f>'_pockets'!$AI$669</f>
        <v/>
      </c>
      <c r="L253">
        <f>'_pockets'!$AJ$669</f>
        <v/>
      </c>
      <c r="M253">
        <f>IF(AND($A253='Pockets'!$D$17,$B253='Pockets'!$C$17,OR('Pockets'!$E$17="All",AND('Pockets'!$E$17="Worse and material",$K253="Yes",$L253="Yes"),AND('Pockets'!$E$17="Worse or not sure",OR($K253="Yes",$K253="Not sure")))),1,0)</f>
        <v/>
      </c>
      <c r="N253">
        <f>$N252+$M253</f>
        <v/>
      </c>
      <c r="O253" t="inlineStr">
        <is>
          <t>three-way</t>
        </is>
      </c>
      <c r="P253" t="inlineStr">
        <is>
          <t>outcome_loans</t>
        </is>
      </c>
    </row>
    <row r="254">
      <c r="A254" t="inlineStr">
        <is>
          <t>Split by SYS_FLAG</t>
        </is>
      </c>
      <c r="B254" t="inlineStr">
        <is>
          <t>Bad loans</t>
        </is>
      </c>
      <c r="C254" t="n">
        <v>1114</v>
      </c>
      <c r="D254" t="inlineStr">
        <is>
          <t>ORIG_BAL 5,005 - 15,448</t>
        </is>
      </c>
      <c r="E254" t="inlineStr">
        <is>
          <t>ASSET_CLASS 1</t>
        </is>
      </c>
      <c r="F254" t="inlineStr">
        <is>
          <t>Y</t>
        </is>
      </c>
      <c r="G254" t="n">
        <v>180</v>
      </c>
      <c r="H254" t="n">
        <v>1.796752114093341</v>
      </c>
      <c r="J254" t="n">
        <v>33</v>
      </c>
      <c r="K254">
        <f>'_pockets'!$AI$1114</f>
        <v/>
      </c>
      <c r="L254">
        <f>'_pockets'!$AJ$1114</f>
        <v/>
      </c>
      <c r="M254">
        <f>IF(AND($A254='Pockets'!$D$17,$B254='Pockets'!$C$17,OR('Pockets'!$E$17="All",AND('Pockets'!$E$17="Worse and material",$K254="Yes",$L254="Yes"),AND('Pockets'!$E$17="Worse or not sure",OR($K254="Yes",$K254="Not sure")))),1,0)</f>
        <v/>
      </c>
      <c r="N254">
        <f>$N253+$M254</f>
        <v/>
      </c>
      <c r="O254" t="inlineStr">
        <is>
          <t>three-way</t>
        </is>
      </c>
      <c r="P254" t="inlineStr">
        <is>
          <t>outcome_loans</t>
        </is>
      </c>
    </row>
    <row r="255">
      <c r="A255" t="inlineStr">
        <is>
          <t>Split by SYS_FLAG</t>
        </is>
      </c>
      <c r="B255" t="inlineStr">
        <is>
          <t>Bad loans</t>
        </is>
      </c>
      <c r="C255" t="n">
        <v>844</v>
      </c>
      <c r="D255" t="inlineStr">
        <is>
          <t>ORIG_BAL 26,324 - 37,950</t>
        </is>
      </c>
      <c r="E255" t="inlineStr">
        <is>
          <t>Broker</t>
        </is>
      </c>
      <c r="F255" t="inlineStr">
        <is>
          <t>Y</t>
        </is>
      </c>
      <c r="G255" t="n">
        <v>248</v>
      </c>
      <c r="H255" t="n">
        <v>1.675021954165917</v>
      </c>
      <c r="J255" t="n">
        <v>34</v>
      </c>
      <c r="K255">
        <f>'_pockets'!$AI$844</f>
        <v/>
      </c>
      <c r="L255">
        <f>'_pockets'!$AJ$844</f>
        <v/>
      </c>
      <c r="M255">
        <f>IF(AND($A255='Pockets'!$D$17,$B255='Pockets'!$C$17,OR('Pockets'!$E$17="All",AND('Pockets'!$E$17="Worse and material",$K255="Yes",$L255="Yes"),AND('Pockets'!$E$17="Worse or not sure",OR($K255="Yes",$K255="Not sure")))),1,0)</f>
        <v/>
      </c>
      <c r="N255">
        <f>$N254+$M255</f>
        <v/>
      </c>
      <c r="O255" t="inlineStr">
        <is>
          <t>three-way</t>
        </is>
      </c>
      <c r="P255" t="inlineStr">
        <is>
          <t>outcome_loans</t>
        </is>
      </c>
    </row>
    <row r="256">
      <c r="A256" t="inlineStr">
        <is>
          <t>Split by SYS_FLAG</t>
        </is>
      </c>
      <c r="B256" t="inlineStr">
        <is>
          <t>Bad loans</t>
        </is>
      </c>
      <c r="C256" t="n">
        <v>1144</v>
      </c>
      <c r="D256" t="inlineStr">
        <is>
          <t>ORIG_BAL 15,449 - 26,323</t>
        </is>
      </c>
      <c r="E256" t="inlineStr">
        <is>
          <t>ASSET_CLASS 3</t>
        </is>
      </c>
      <c r="F256" t="inlineStr">
        <is>
          <t>Y</t>
        </is>
      </c>
      <c r="G256" t="n">
        <v>193</v>
      </c>
      <c r="H256" t="n">
        <v>1.7683431730409</v>
      </c>
      <c r="J256" t="n">
        <v>35</v>
      </c>
      <c r="K256">
        <f>'_pockets'!$AI$1144</f>
        <v/>
      </c>
      <c r="L256">
        <f>'_pockets'!$AJ$1144</f>
        <v/>
      </c>
      <c r="M256">
        <f>IF(AND($A256='Pockets'!$D$17,$B256='Pockets'!$C$17,OR('Pockets'!$E$17="All",AND('Pockets'!$E$17="Worse and material",$K256="Yes",$L256="Yes"),AND('Pockets'!$E$17="Worse or not sure",OR($K256="Yes",$K256="Not sure")))),1,0)</f>
        <v/>
      </c>
      <c r="N256">
        <f>$N255+$M256</f>
        <v/>
      </c>
      <c r="O256" t="inlineStr">
        <is>
          <t>three-way</t>
        </is>
      </c>
      <c r="P256" t="inlineStr">
        <is>
          <t>outcome_loans</t>
        </is>
      </c>
    </row>
    <row r="257">
      <c r="A257" t="inlineStr">
        <is>
          <t>Split by SYS_FLAG</t>
        </is>
      </c>
      <c r="B257" t="inlineStr">
        <is>
          <t>Bad loans</t>
        </is>
      </c>
      <c r="C257" t="n">
        <v>1044</v>
      </c>
      <c r="D257" t="inlineStr">
        <is>
          <t>ORIG_BAL 5,005 - 15,448</t>
        </is>
      </c>
      <c r="E257" t="inlineStr">
        <is>
          <t>ASSET_CLASS 4</t>
        </is>
      </c>
      <c r="F257" t="inlineStr">
        <is>
          <t>Y</t>
        </is>
      </c>
      <c r="G257" t="n">
        <v>196</v>
      </c>
      <c r="H257" t="n">
        <v>1.762210077571128</v>
      </c>
      <c r="J257" t="n">
        <v>36</v>
      </c>
      <c r="K257">
        <f>'_pockets'!$AI$1044</f>
        <v/>
      </c>
      <c r="L257">
        <f>'_pockets'!$AJ$1044</f>
        <v/>
      </c>
      <c r="M257">
        <f>IF(AND($A257='Pockets'!$D$17,$B257='Pockets'!$C$17,OR('Pockets'!$E$17="All",AND('Pockets'!$E$17="Worse and material",$K257="Yes",$L257="Yes"),AND('Pockets'!$E$17="Worse or not sure",OR($K257="Yes",$K257="Not sure")))),1,0)</f>
        <v/>
      </c>
      <c r="N257">
        <f>$N256+$M257</f>
        <v/>
      </c>
      <c r="O257" t="inlineStr">
        <is>
          <t>three-way</t>
        </is>
      </c>
      <c r="P257" t="inlineStr">
        <is>
          <t>outcome_loans</t>
        </is>
      </c>
    </row>
    <row r="258">
      <c r="A258" t="inlineStr">
        <is>
          <t>Split by SYS_FLAG</t>
        </is>
      </c>
      <c r="B258" t="inlineStr">
        <is>
          <t>Bad loans</t>
        </is>
      </c>
      <c r="C258" t="n">
        <v>1184</v>
      </c>
      <c r="D258" t="inlineStr">
        <is>
          <t>ORIG_BAL 5,005 - 15,448</t>
        </is>
      </c>
      <c r="E258" t="inlineStr">
        <is>
          <t>ASSET_CLASS 3</t>
        </is>
      </c>
      <c r="F258" t="inlineStr">
        <is>
          <t>Y</t>
        </is>
      </c>
      <c r="G258" t="n">
        <v>184</v>
      </c>
      <c r="H258" t="n">
        <v>1.787676144367746</v>
      </c>
      <c r="J258" t="n">
        <v>37</v>
      </c>
      <c r="K258">
        <f>'_pockets'!$AI$1184</f>
        <v/>
      </c>
      <c r="L258">
        <f>'_pockets'!$AJ$1184</f>
        <v/>
      </c>
      <c r="M258">
        <f>IF(AND($A258='Pockets'!$D$17,$B258='Pockets'!$C$17,OR('Pockets'!$E$17="All",AND('Pockets'!$E$17="Worse and material",$K258="Yes",$L258="Yes"),AND('Pockets'!$E$17="Worse or not sure",OR($K258="Yes",$K258="Not sure")))),1,0)</f>
        <v/>
      </c>
      <c r="N258">
        <f>$N257+$M258</f>
        <v/>
      </c>
      <c r="O258" t="inlineStr">
        <is>
          <t>three-way</t>
        </is>
      </c>
      <c r="P258" t="inlineStr">
        <is>
          <t>outcome_loans</t>
        </is>
      </c>
    </row>
    <row r="259">
      <c r="A259" t="inlineStr">
        <is>
          <t>Split by SYS_FLAG</t>
        </is>
      </c>
      <c r="B259" t="inlineStr">
        <is>
          <t>Bad loans</t>
        </is>
      </c>
      <c r="C259" t="n">
        <v>724</v>
      </c>
      <c r="D259" t="inlineStr">
        <is>
          <t>FICO 746 - 921</t>
        </is>
      </c>
      <c r="E259" t="inlineStr">
        <is>
          <t>ASSET_CLASS 1</t>
        </is>
      </c>
      <c r="F259" t="inlineStr">
        <is>
          <t>Y</t>
        </is>
      </c>
      <c r="G259" t="n">
        <v>183</v>
      </c>
      <c r="H259" t="n">
        <v>1.789915937385259</v>
      </c>
      <c r="J259" t="n">
        <v>38</v>
      </c>
      <c r="K259">
        <f>'_pockets'!$AI$724</f>
        <v/>
      </c>
      <c r="L259">
        <f>'_pockets'!$AJ$724</f>
        <v/>
      </c>
      <c r="M259">
        <f>IF(AND($A259='Pockets'!$D$17,$B259='Pockets'!$C$17,OR('Pockets'!$E$17="All",AND('Pockets'!$E$17="Worse and material",$K259="Yes",$L259="Yes"),AND('Pockets'!$E$17="Worse or not sure",OR($K259="Yes",$K259="Not sure")))),1,0)</f>
        <v/>
      </c>
      <c r="N259">
        <f>$N258+$M259</f>
        <v/>
      </c>
      <c r="O259" t="inlineStr">
        <is>
          <t>three-way</t>
        </is>
      </c>
      <c r="P259" t="inlineStr">
        <is>
          <t>outcome_loans</t>
        </is>
      </c>
    </row>
    <row r="260">
      <c r="A260" t="inlineStr">
        <is>
          <t>Split by SYS_FLAG</t>
        </is>
      </c>
      <c r="B260" t="inlineStr">
        <is>
          <t>Bad loans</t>
        </is>
      </c>
      <c r="C260" t="n">
        <v>694</v>
      </c>
      <c r="D260" t="inlineStr">
        <is>
          <t>FICO 686 - 711</t>
        </is>
      </c>
      <c r="E260" t="inlineStr">
        <is>
          <t>ASSET_CLASS 4</t>
        </is>
      </c>
      <c r="F260" t="inlineStr">
        <is>
          <t>N</t>
        </is>
      </c>
      <c r="G260" t="n">
        <v>235</v>
      </c>
      <c r="H260" t="n">
        <v>1.693954096277094</v>
      </c>
      <c r="J260" t="n">
        <v>39</v>
      </c>
      <c r="K260">
        <f>'_pockets'!$AI$694</f>
        <v/>
      </c>
      <c r="L260">
        <f>'_pockets'!$AJ$694</f>
        <v/>
      </c>
      <c r="M260">
        <f>IF(AND($A260='Pockets'!$D$17,$B260='Pockets'!$C$17,OR('Pockets'!$E$17="All",AND('Pockets'!$E$17="Worse and material",$K260="Yes",$L260="Yes"),AND('Pockets'!$E$17="Worse or not sure",OR($K260="Yes",$K260="Not sure")))),1,0)</f>
        <v/>
      </c>
      <c r="N260">
        <f>$N259+$M260</f>
        <v/>
      </c>
      <c r="O260" t="inlineStr">
        <is>
          <t>three-way</t>
        </is>
      </c>
      <c r="P260" t="inlineStr">
        <is>
          <t>outcome_loans</t>
        </is>
      </c>
    </row>
    <row r="261">
      <c r="A261" t="inlineStr">
        <is>
          <t>Split by SYS_FLAG</t>
        </is>
      </c>
      <c r="B261" t="inlineStr">
        <is>
          <t>Bad loans</t>
        </is>
      </c>
      <c r="C261" t="n">
        <v>589</v>
      </c>
      <c r="D261" t="inlineStr">
        <is>
          <t>FICO (marked missing)</t>
        </is>
      </c>
      <c r="E261" t="inlineStr">
        <is>
          <t>Broker</t>
        </is>
      </c>
      <c r="F261" t="inlineStr">
        <is>
          <t>Y</t>
        </is>
      </c>
      <c r="G261" t="n">
        <v>25</v>
      </c>
      <c r="H261" t="n">
        <v>3.310134245763284</v>
      </c>
      <c r="J261" t="n">
        <v>40</v>
      </c>
      <c r="K261">
        <f>'_pockets'!$AI$589</f>
        <v/>
      </c>
      <c r="L261">
        <f>'_pockets'!$AJ$589</f>
        <v/>
      </c>
      <c r="M261">
        <f>IF(AND($A261='Pockets'!$D$17,$B261='Pockets'!$C$17,OR('Pockets'!$E$17="All",AND('Pockets'!$E$17="Worse and material",$K261="Yes",$L261="Yes"),AND('Pockets'!$E$17="Worse or not sure",OR($K261="Yes",$K261="Not sure")))),1,0)</f>
        <v/>
      </c>
      <c r="N261">
        <f>$N260+$M261</f>
        <v/>
      </c>
      <c r="O261" t="inlineStr">
        <is>
          <t>three-way</t>
        </is>
      </c>
      <c r="P261" t="inlineStr">
        <is>
          <t>outcome_loans</t>
        </is>
      </c>
    </row>
    <row r="262">
      <c r="A262" t="inlineStr">
        <is>
          <t>Split by SYS_FLAG</t>
        </is>
      </c>
      <c r="B262" t="inlineStr">
        <is>
          <t>Bad loans</t>
        </is>
      </c>
      <c r="C262" t="n">
        <v>924</v>
      </c>
      <c r="D262" t="inlineStr">
        <is>
          <t>ORIG_BAL 49,152 - 59,984</t>
        </is>
      </c>
      <c r="E262" t="inlineStr">
        <is>
          <t>Branch</t>
        </is>
      </c>
      <c r="F262" t="inlineStr">
        <is>
          <t>Y</t>
        </is>
      </c>
      <c r="G262" t="n">
        <v>226</v>
      </c>
      <c r="H262" t="n">
        <v>1.708052660295702</v>
      </c>
      <c r="J262" t="n">
        <v>41</v>
      </c>
      <c r="K262">
        <f>'_pockets'!$AI$924</f>
        <v/>
      </c>
      <c r="L262">
        <f>'_pockets'!$AJ$924</f>
        <v/>
      </c>
      <c r="M262">
        <f>IF(AND($A262='Pockets'!$D$17,$B262='Pockets'!$C$17,OR('Pockets'!$E$17="All",AND('Pockets'!$E$17="Worse and material",$K262="Yes",$L262="Yes"),AND('Pockets'!$E$17="Worse or not sure",OR($K262="Yes",$K262="Not sure")))),1,0)</f>
        <v/>
      </c>
      <c r="N262">
        <f>$N261+$M262</f>
        <v/>
      </c>
      <c r="O262" t="inlineStr">
        <is>
          <t>three-way</t>
        </is>
      </c>
      <c r="P262" t="inlineStr">
        <is>
          <t>outcome_loans</t>
        </is>
      </c>
    </row>
    <row r="263">
      <c r="A263" t="inlineStr">
        <is>
          <t>Split by SYS_FLAG</t>
        </is>
      </c>
      <c r="B263" t="inlineStr">
        <is>
          <t>Bad loans</t>
        </is>
      </c>
      <c r="C263" t="n">
        <v>649</v>
      </c>
      <c r="D263" t="inlineStr">
        <is>
          <t>FICO 496 - 653</t>
        </is>
      </c>
      <c r="E263" t="inlineStr">
        <is>
          <t>ASSET_CLASS 4</t>
        </is>
      </c>
      <c r="F263" t="inlineStr">
        <is>
          <t>N</t>
        </is>
      </c>
      <c r="G263" t="n">
        <v>203</v>
      </c>
      <c r="H263" t="n">
        <v>1.748455889302835</v>
      </c>
      <c r="J263" t="n">
        <v>42</v>
      </c>
      <c r="K263">
        <f>'_pockets'!$AI$649</f>
        <v/>
      </c>
      <c r="L263">
        <f>'_pockets'!$AJ$649</f>
        <v/>
      </c>
      <c r="M263">
        <f>IF(AND($A263='Pockets'!$D$17,$B263='Pockets'!$C$17,OR('Pockets'!$E$17="All",AND('Pockets'!$E$17="Worse and material",$K263="Yes",$L263="Yes"),AND('Pockets'!$E$17="Worse or not sure",OR($K263="Yes",$K263="Not sure")))),1,0)</f>
        <v/>
      </c>
      <c r="N263">
        <f>$N262+$M263</f>
        <v/>
      </c>
      <c r="O263" t="inlineStr">
        <is>
          <t>three-way</t>
        </is>
      </c>
      <c r="P263" t="inlineStr">
        <is>
          <t>outcome_loans</t>
        </is>
      </c>
    </row>
    <row r="264">
      <c r="A264" t="inlineStr">
        <is>
          <t>Split by SYS_FLAG</t>
        </is>
      </c>
      <c r="B264" t="inlineStr">
        <is>
          <t>Bad loans</t>
        </is>
      </c>
      <c r="C264" t="n">
        <v>1124</v>
      </c>
      <c r="D264" t="inlineStr">
        <is>
          <t>ORIG_BAL 49,152 - 59,984</t>
        </is>
      </c>
      <c r="E264" t="inlineStr">
        <is>
          <t>ASSET_CLASS 2</t>
        </is>
      </c>
      <c r="F264" t="inlineStr">
        <is>
          <t>Y</t>
        </is>
      </c>
      <c r="G264" t="n">
        <v>197</v>
      </c>
      <c r="H264" t="n">
        <v>1.760198333487843</v>
      </c>
      <c r="J264" t="n">
        <v>43</v>
      </c>
      <c r="K264">
        <f>'_pockets'!$AI$1124</f>
        <v/>
      </c>
      <c r="L264">
        <f>'_pockets'!$AJ$1124</f>
        <v/>
      </c>
      <c r="M264">
        <f>IF(AND($A264='Pockets'!$D$17,$B264='Pockets'!$C$17,OR('Pockets'!$E$17="All",AND('Pockets'!$E$17="Worse and material",$K264="Yes",$L264="Yes"),AND('Pockets'!$E$17="Worse or not sure",OR($K264="Yes",$K264="Not sure")))),1,0)</f>
        <v/>
      </c>
      <c r="N264">
        <f>$N263+$M264</f>
        <v/>
      </c>
      <c r="O264" t="inlineStr">
        <is>
          <t>three-way</t>
        </is>
      </c>
      <c r="P264" t="inlineStr">
        <is>
          <t>outcome_loans</t>
        </is>
      </c>
    </row>
    <row r="265">
      <c r="A265" t="inlineStr">
        <is>
          <t>Split by SYS_FLAG</t>
        </is>
      </c>
      <c r="B265" t="inlineStr">
        <is>
          <t>Bad loans</t>
        </is>
      </c>
      <c r="C265" t="n">
        <v>1169</v>
      </c>
      <c r="D265" t="inlineStr">
        <is>
          <t>ORIG_BAL 15,449 - 26,323</t>
        </is>
      </c>
      <c r="E265" t="inlineStr">
        <is>
          <t>ASSET_CLASS 4</t>
        </is>
      </c>
      <c r="F265" t="inlineStr">
        <is>
          <t>Y</t>
        </is>
      </c>
      <c r="G265" t="n">
        <v>190</v>
      </c>
      <c r="H265" t="n">
        <v>1.774627678477992</v>
      </c>
      <c r="J265" t="n">
        <v>44</v>
      </c>
      <c r="K265">
        <f>'_pockets'!$AI$1169</f>
        <v/>
      </c>
      <c r="L265">
        <f>'_pockets'!$AJ$1169</f>
        <v/>
      </c>
      <c r="M265">
        <f>IF(AND($A265='Pockets'!$D$17,$B265='Pockets'!$C$17,OR('Pockets'!$E$17="All",AND('Pockets'!$E$17="Worse and material",$K265="Yes",$L265="Yes"),AND('Pockets'!$E$17="Worse or not sure",OR($K265="Yes",$K265="Not sure")))),1,0)</f>
        <v/>
      </c>
      <c r="N265">
        <f>$N264+$M265</f>
        <v/>
      </c>
      <c r="O265" t="inlineStr">
        <is>
          <t>three-way</t>
        </is>
      </c>
      <c r="P265" t="inlineStr">
        <is>
          <t>outcome_loans</t>
        </is>
      </c>
    </row>
    <row r="266">
      <c r="A266" t="inlineStr">
        <is>
          <t>Split by SYS_FLAG</t>
        </is>
      </c>
      <c r="B266" t="inlineStr">
        <is>
          <t>Bad loans</t>
        </is>
      </c>
      <c r="C266" t="n">
        <v>1134</v>
      </c>
      <c r="D266" t="inlineStr">
        <is>
          <t>ORIG_BAL 15,449 - 26,323</t>
        </is>
      </c>
      <c r="E266" t="inlineStr">
        <is>
          <t>ASSET_CLASS 1</t>
        </is>
      </c>
      <c r="F266" t="inlineStr">
        <is>
          <t>Y</t>
        </is>
      </c>
      <c r="G266" t="n">
        <v>180</v>
      </c>
      <c r="H266" t="n">
        <v>1.796752114093341</v>
      </c>
      <c r="J266" t="n">
        <v>45</v>
      </c>
      <c r="K266">
        <f>'_pockets'!$AI$1134</f>
        <v/>
      </c>
      <c r="L266">
        <f>'_pockets'!$AJ$1134</f>
        <v/>
      </c>
      <c r="M266">
        <f>IF(AND($A266='Pockets'!$D$17,$B266='Pockets'!$C$17,OR('Pockets'!$E$17="All",AND('Pockets'!$E$17="Worse and material",$K266="Yes",$L266="Yes"),AND('Pockets'!$E$17="Worse or not sure",OR($K266="Yes",$K266="Not sure")))),1,0)</f>
        <v/>
      </c>
      <c r="N266">
        <f>$N265+$M266</f>
        <v/>
      </c>
      <c r="O266" t="inlineStr">
        <is>
          <t>three-way</t>
        </is>
      </c>
      <c r="P266" t="inlineStr">
        <is>
          <t>outcome_loans</t>
        </is>
      </c>
    </row>
    <row r="267">
      <c r="A267" t="inlineStr">
        <is>
          <t>Split by SYS_FLAG</t>
        </is>
      </c>
      <c r="B267" t="inlineStr">
        <is>
          <t>Bad loans</t>
        </is>
      </c>
      <c r="C267" t="n">
        <v>714</v>
      </c>
      <c r="D267" t="inlineStr">
        <is>
          <t>FICO 654 - 685</t>
        </is>
      </c>
      <c r="E267" t="inlineStr">
        <is>
          <t>ASSET_CLASS 2</t>
        </is>
      </c>
      <c r="F267" t="inlineStr">
        <is>
          <t>Y</t>
        </is>
      </c>
      <c r="G267" t="n">
        <v>163</v>
      </c>
      <c r="H267" t="n">
        <v>1.83916021215109</v>
      </c>
      <c r="J267" t="n">
        <v>46</v>
      </c>
      <c r="K267">
        <f>'_pockets'!$AI$714</f>
        <v/>
      </c>
      <c r="L267">
        <f>'_pockets'!$AJ$714</f>
        <v/>
      </c>
      <c r="M267">
        <f>IF(AND($A267='Pockets'!$D$17,$B267='Pockets'!$C$17,OR('Pockets'!$E$17="All",AND('Pockets'!$E$17="Worse and material",$K267="Yes",$L267="Yes"),AND('Pockets'!$E$17="Worse or not sure",OR($K267="Yes",$K267="Not sure")))),1,0)</f>
        <v/>
      </c>
      <c r="N267">
        <f>$N266+$M267</f>
        <v/>
      </c>
      <c r="O267" t="inlineStr">
        <is>
          <t>three-way</t>
        </is>
      </c>
      <c r="P267" t="inlineStr">
        <is>
          <t>outcome_loans</t>
        </is>
      </c>
    </row>
    <row r="268">
      <c r="A268" t="inlineStr">
        <is>
          <t>Split by SYS_FLAG</t>
        </is>
      </c>
      <c r="B268" t="inlineStr">
        <is>
          <t>Bad loans</t>
        </is>
      </c>
      <c r="C268" t="n">
        <v>834</v>
      </c>
      <c r="D268" t="inlineStr">
        <is>
          <t>FICO (marked missing)</t>
        </is>
      </c>
      <c r="E268" t="inlineStr">
        <is>
          <t>ASSET_CLASS 2</t>
        </is>
      </c>
      <c r="F268" t="inlineStr">
        <is>
          <t>Y</t>
        </is>
      </c>
      <c r="G268" t="n">
        <v>18</v>
      </c>
      <c r="H268" t="n">
        <v>3.766891604626315</v>
      </c>
      <c r="J268" t="n">
        <v>47</v>
      </c>
      <c r="K268">
        <f>'_pockets'!$AI$834</f>
        <v/>
      </c>
      <c r="L268">
        <f>'_pockets'!$AJ$834</f>
        <v/>
      </c>
      <c r="M268">
        <f>IF(AND($A268='Pockets'!$D$17,$B268='Pockets'!$C$17,OR('Pockets'!$E$17="All",AND('Pockets'!$E$17="Worse and material",$K268="Yes",$L268="Yes"),AND('Pockets'!$E$17="Worse or not sure",OR($K268="Yes",$K268="Not sure")))),1,0)</f>
        <v/>
      </c>
      <c r="N268">
        <f>$N267+$M268</f>
        <v/>
      </c>
      <c r="O268" t="inlineStr">
        <is>
          <t>three-way</t>
        </is>
      </c>
      <c r="P268" t="inlineStr">
        <is>
          <t>outcome_loans</t>
        </is>
      </c>
    </row>
    <row r="269">
      <c r="A269" t="inlineStr">
        <is>
          <t>Split by SYS_FLAG</t>
        </is>
      </c>
      <c r="B269" t="inlineStr">
        <is>
          <t>Bad loans</t>
        </is>
      </c>
      <c r="C269" t="n">
        <v>864</v>
      </c>
      <c r="D269" t="inlineStr">
        <is>
          <t>ORIG_BAL 26,324 - 37,950</t>
        </is>
      </c>
      <c r="E269" t="inlineStr">
        <is>
          <t>Branch</t>
        </is>
      </c>
      <c r="F269" t="inlineStr">
        <is>
          <t>Y</t>
        </is>
      </c>
      <c r="G269" t="n">
        <v>236</v>
      </c>
      <c r="H269" t="n">
        <v>1.692439853142426</v>
      </c>
      <c r="J269" t="n">
        <v>48</v>
      </c>
      <c r="K269">
        <f>'_pockets'!$AI$864</f>
        <v/>
      </c>
      <c r="L269">
        <f>'_pockets'!$AJ$864</f>
        <v/>
      </c>
      <c r="M269">
        <f>IF(AND($A269='Pockets'!$D$17,$B269='Pockets'!$C$17,OR('Pockets'!$E$17="All",AND('Pockets'!$E$17="Worse and material",$K269="Yes",$L269="Yes"),AND('Pockets'!$E$17="Worse or not sure",OR($K269="Yes",$K269="Not sure")))),1,0)</f>
        <v/>
      </c>
      <c r="N269">
        <f>$N268+$M269</f>
        <v/>
      </c>
      <c r="O269" t="inlineStr">
        <is>
          <t>three-way</t>
        </is>
      </c>
      <c r="P269" t="inlineStr">
        <is>
          <t>outcome_loans</t>
        </is>
      </c>
    </row>
    <row r="270">
      <c r="A270" t="inlineStr">
        <is>
          <t>Split by SYS_FLAG</t>
        </is>
      </c>
      <c r="B270" t="inlineStr">
        <is>
          <t>Bad loans</t>
        </is>
      </c>
      <c r="C270" t="n">
        <v>549</v>
      </c>
      <c r="D270" t="inlineStr">
        <is>
          <t>FICO 746 - 921</t>
        </is>
      </c>
      <c r="E270" t="inlineStr">
        <is>
          <t>Broker</t>
        </is>
      </c>
      <c r="F270" t="inlineStr">
        <is>
          <t>Y</t>
        </is>
      </c>
      <c r="G270" t="n">
        <v>237</v>
      </c>
      <c r="H270" t="n">
        <v>1.690935646900933</v>
      </c>
      <c r="J270" t="n">
        <v>49</v>
      </c>
      <c r="K270">
        <f>'_pockets'!$AI$549</f>
        <v/>
      </c>
      <c r="L270">
        <f>'_pockets'!$AJ$549</f>
        <v/>
      </c>
      <c r="M270">
        <f>IF(AND($A270='Pockets'!$D$17,$B270='Pockets'!$C$17,OR('Pockets'!$E$17="All",AND('Pockets'!$E$17="Worse and material",$K270="Yes",$L270="Yes"),AND('Pockets'!$E$17="Worse or not sure",OR($K270="Yes",$K270="Not sure")))),1,0)</f>
        <v/>
      </c>
      <c r="N270">
        <f>$N269+$M270</f>
        <v/>
      </c>
      <c r="O270" t="inlineStr">
        <is>
          <t>three-way</t>
        </is>
      </c>
      <c r="P270" t="inlineStr">
        <is>
          <t>outcome_loans</t>
        </is>
      </c>
    </row>
    <row r="271">
      <c r="A271" t="inlineStr">
        <is>
          <t>Split by SYS_FLAG</t>
        </is>
      </c>
      <c r="B271" t="inlineStr">
        <is>
          <t>Bad loans</t>
        </is>
      </c>
      <c r="C271" t="n">
        <v>999</v>
      </c>
      <c r="D271" t="inlineStr">
        <is>
          <t>ORIG_BAL 26,324 - 37,950</t>
        </is>
      </c>
      <c r="E271" t="inlineStr">
        <is>
          <t>ASSET_CLASS 2</t>
        </is>
      </c>
      <c r="F271" t="inlineStr">
        <is>
          <t>Y</t>
        </is>
      </c>
      <c r="G271" t="n">
        <v>179</v>
      </c>
      <c r="H271" t="n">
        <v>1.799070701356365</v>
      </c>
      <c r="J271" t="n">
        <v>50</v>
      </c>
      <c r="K271">
        <f>'_pockets'!$AI$999</f>
        <v/>
      </c>
      <c r="L271">
        <f>'_pockets'!$AJ$999</f>
        <v/>
      </c>
      <c r="M271">
        <f>IF(AND($A271='Pockets'!$D$17,$B271='Pockets'!$C$17,OR('Pockets'!$E$17="All",AND('Pockets'!$E$17="Worse and material",$K271="Yes",$L271="Yes"),AND('Pockets'!$E$17="Worse or not sure",OR($K271="Yes",$K271="Not sure")))),1,0)</f>
        <v/>
      </c>
      <c r="N271">
        <f>$N270+$M271</f>
        <v/>
      </c>
      <c r="O271" t="inlineStr">
        <is>
          <t>three-way</t>
        </is>
      </c>
      <c r="P271" t="inlineStr">
        <is>
          <t>outcome_loans</t>
        </is>
      </c>
    </row>
    <row r="272">
      <c r="A272" t="inlineStr">
        <is>
          <t>Split by SYS_FLAG</t>
        </is>
      </c>
      <c r="B272" t="inlineStr">
        <is>
          <t>Bad loans</t>
        </is>
      </c>
      <c r="C272" t="n">
        <v>479</v>
      </c>
      <c r="D272" t="inlineStr">
        <is>
          <t>FICO 746 - 921</t>
        </is>
      </c>
      <c r="E272" t="inlineStr">
        <is>
          <t>Online</t>
        </is>
      </c>
      <c r="F272" t="inlineStr">
        <is>
          <t>Y</t>
        </is>
      </c>
      <c r="G272" t="n">
        <v>225</v>
      </c>
      <c r="H272" t="n">
        <v>1.709673609563677</v>
      </c>
      <c r="J272" t="n">
        <v>51</v>
      </c>
      <c r="K272">
        <f>'_pockets'!$AI$479</f>
        <v/>
      </c>
      <c r="L272">
        <f>'_pockets'!$AJ$479</f>
        <v/>
      </c>
      <c r="M272">
        <f>IF(AND($A272='Pockets'!$D$17,$B272='Pockets'!$C$17,OR('Pockets'!$E$17="All",AND('Pockets'!$E$17="Worse and material",$K272="Yes",$L272="Yes"),AND('Pockets'!$E$17="Worse or not sure",OR($K272="Yes",$K272="Not sure")))),1,0)</f>
        <v/>
      </c>
      <c r="N272">
        <f>$N271+$M272</f>
        <v/>
      </c>
      <c r="O272" t="inlineStr">
        <is>
          <t>three-way</t>
        </is>
      </c>
      <c r="P272" t="inlineStr">
        <is>
          <t>outcome_loans</t>
        </is>
      </c>
    </row>
    <row r="273">
      <c r="A273" t="inlineStr">
        <is>
          <t>Split by SYS_FLAG</t>
        </is>
      </c>
      <c r="B273" t="inlineStr">
        <is>
          <t>Bad loans</t>
        </is>
      </c>
      <c r="C273" t="n">
        <v>764</v>
      </c>
      <c r="D273" t="inlineStr">
        <is>
          <t>FICO 746 - 921</t>
        </is>
      </c>
      <c r="E273" t="inlineStr">
        <is>
          <t>ASSET_CLASS 3</t>
        </is>
      </c>
      <c r="F273" t="inlineStr">
        <is>
          <t>Y</t>
        </is>
      </c>
      <c r="G273" t="n">
        <v>174</v>
      </c>
      <c r="H273" t="n">
        <v>1.810975785012481</v>
      </c>
      <c r="J273" t="n">
        <v>52</v>
      </c>
      <c r="K273">
        <f>'_pockets'!$AI$764</f>
        <v/>
      </c>
      <c r="L273">
        <f>'_pockets'!$AJ$764</f>
        <v/>
      </c>
      <c r="M273">
        <f>IF(AND($A273='Pockets'!$D$17,$B273='Pockets'!$C$17,OR('Pockets'!$E$17="All",AND('Pockets'!$E$17="Worse and material",$K273="Yes",$L273="Yes"),AND('Pockets'!$E$17="Worse or not sure",OR($K273="Yes",$K273="Not sure")))),1,0)</f>
        <v/>
      </c>
      <c r="N273">
        <f>$N272+$M273</f>
        <v/>
      </c>
      <c r="O273" t="inlineStr">
        <is>
          <t>three-way</t>
        </is>
      </c>
      <c r="P273" t="inlineStr">
        <is>
          <t>outcome_loans</t>
        </is>
      </c>
    </row>
    <row r="274">
      <c r="A274" t="inlineStr">
        <is>
          <t>Split by SYS_FLAG</t>
        </is>
      </c>
      <c r="B274" t="inlineStr">
        <is>
          <t>Bad loans</t>
        </is>
      </c>
      <c r="C274" t="n">
        <v>1034</v>
      </c>
      <c r="D274" t="inlineStr">
        <is>
          <t>ORIG_BAL 26,324 - 37,950</t>
        </is>
      </c>
      <c r="E274" t="inlineStr">
        <is>
          <t>ASSET_CLASS 1</t>
        </is>
      </c>
      <c r="F274" t="inlineStr">
        <is>
          <t>Y</t>
        </is>
      </c>
      <c r="G274" t="n">
        <v>173</v>
      </c>
      <c r="H274" t="n">
        <v>1.813421387684223</v>
      </c>
      <c r="J274" t="n">
        <v>53</v>
      </c>
      <c r="K274">
        <f>'_pockets'!$AI$1034</f>
        <v/>
      </c>
      <c r="L274">
        <f>'_pockets'!$AJ$1034</f>
        <v/>
      </c>
      <c r="M274">
        <f>IF(AND($A274='Pockets'!$D$17,$B274='Pockets'!$C$17,OR('Pockets'!$E$17="All",AND('Pockets'!$E$17="Worse and material",$K274="Yes",$L274="Yes"),AND('Pockets'!$E$17="Worse or not sure",OR($K274="Yes",$K274="Not sure")))),1,0)</f>
        <v/>
      </c>
      <c r="N274">
        <f>$N273+$M274</f>
        <v/>
      </c>
      <c r="O274" t="inlineStr">
        <is>
          <t>three-way</t>
        </is>
      </c>
      <c r="P274" t="inlineStr">
        <is>
          <t>outcome_loans</t>
        </is>
      </c>
    </row>
    <row r="275">
      <c r="A275" t="inlineStr">
        <is>
          <t>Split by SYS_FLAG</t>
        </is>
      </c>
      <c r="B275" t="inlineStr">
        <is>
          <t>Bad loans</t>
        </is>
      </c>
      <c r="C275" t="n">
        <v>1189</v>
      </c>
      <c r="D275" t="inlineStr">
        <is>
          <t>ORIG_BAL 26,324 - 37,950</t>
        </is>
      </c>
      <c r="E275" t="inlineStr">
        <is>
          <t>ASSET_CLASS 4</t>
        </is>
      </c>
      <c r="F275" t="inlineStr">
        <is>
          <t>N</t>
        </is>
      </c>
      <c r="G275" t="n">
        <v>218</v>
      </c>
      <c r="H275" t="n">
        <v>1.721345364081568</v>
      </c>
      <c r="J275" t="n">
        <v>54</v>
      </c>
      <c r="K275">
        <f>'_pockets'!$AI$1189</f>
        <v/>
      </c>
      <c r="L275">
        <f>'_pockets'!$AJ$1189</f>
        <v/>
      </c>
      <c r="M275">
        <f>IF(AND($A275='Pockets'!$D$17,$B275='Pockets'!$C$17,OR('Pockets'!$E$17="All",AND('Pockets'!$E$17="Worse and material",$K275="Yes",$L275="Yes"),AND('Pockets'!$E$17="Worse or not sure",OR($K275="Yes",$K275="Not sure")))),1,0)</f>
        <v/>
      </c>
      <c r="N275">
        <f>$N274+$M275</f>
        <v/>
      </c>
      <c r="O275" t="inlineStr">
        <is>
          <t>three-way</t>
        </is>
      </c>
      <c r="P275" t="inlineStr">
        <is>
          <t>outcome_loans</t>
        </is>
      </c>
    </row>
    <row r="276">
      <c r="A276" t="inlineStr">
        <is>
          <t>Split by SYS_FLAG</t>
        </is>
      </c>
      <c r="B276" t="inlineStr">
        <is>
          <t>Bad loans</t>
        </is>
      </c>
      <c r="C276" t="n">
        <v>624</v>
      </c>
      <c r="D276" t="inlineStr">
        <is>
          <t>FICO 746 - 921</t>
        </is>
      </c>
      <c r="E276" t="inlineStr">
        <is>
          <t>ASSET_CLASS 2</t>
        </is>
      </c>
      <c r="F276" t="inlineStr">
        <is>
          <t>Y</t>
        </is>
      </c>
      <c r="G276" t="n">
        <v>180</v>
      </c>
      <c r="H276" t="n">
        <v>1.796752114093341</v>
      </c>
      <c r="J276" t="n">
        <v>55</v>
      </c>
      <c r="K276">
        <f>'_pockets'!$AI$624</f>
        <v/>
      </c>
      <c r="L276">
        <f>'_pockets'!$AJ$624</f>
        <v/>
      </c>
      <c r="M276">
        <f>IF(AND($A276='Pockets'!$D$17,$B276='Pockets'!$C$17,OR('Pockets'!$E$17="All",AND('Pockets'!$E$17="Worse and material",$K276="Yes",$L276="Yes"),AND('Pockets'!$E$17="Worse or not sure",OR($K276="Yes",$K276="Not sure")))),1,0)</f>
        <v/>
      </c>
      <c r="N276">
        <f>$N275+$M276</f>
        <v/>
      </c>
      <c r="O276" t="inlineStr">
        <is>
          <t>three-way</t>
        </is>
      </c>
      <c r="P276" t="inlineStr">
        <is>
          <t>outcome_loans</t>
        </is>
      </c>
    </row>
    <row r="277">
      <c r="A277" t="inlineStr">
        <is>
          <t>Split by SYS_FLAG</t>
        </is>
      </c>
      <c r="B277" t="inlineStr">
        <is>
          <t>Bad loans</t>
        </is>
      </c>
      <c r="C277" t="n">
        <v>739</v>
      </c>
      <c r="D277" t="inlineStr">
        <is>
          <t>FICO 712 - 745</t>
        </is>
      </c>
      <c r="E277" t="inlineStr">
        <is>
          <t>ASSET_CLASS 3</t>
        </is>
      </c>
      <c r="F277" t="inlineStr">
        <is>
          <t>Y</t>
        </is>
      </c>
      <c r="G277" t="n">
        <v>169</v>
      </c>
      <c r="H277" t="n">
        <v>1.823429948240661</v>
      </c>
      <c r="J277" t="n">
        <v>56</v>
      </c>
      <c r="K277">
        <f>'_pockets'!$AI$739</f>
        <v/>
      </c>
      <c r="L277">
        <f>'_pockets'!$AJ$739</f>
        <v/>
      </c>
      <c r="M277">
        <f>IF(AND($A277='Pockets'!$D$17,$B277='Pockets'!$C$17,OR('Pockets'!$E$17="All",AND('Pockets'!$E$17="Worse and material",$K277="Yes",$L277="Yes"),AND('Pockets'!$E$17="Worse or not sure",OR($K277="Yes",$K277="Not sure")))),1,0)</f>
        <v/>
      </c>
      <c r="N277">
        <f>$N276+$M277</f>
        <v/>
      </c>
      <c r="O277" t="inlineStr">
        <is>
          <t>three-way</t>
        </is>
      </c>
      <c r="P277" t="inlineStr">
        <is>
          <t>outcome_loans</t>
        </is>
      </c>
    </row>
    <row r="278">
      <c r="A278" t="inlineStr">
        <is>
          <t>Split by SYS_FLAG</t>
        </is>
      </c>
      <c r="B278" t="inlineStr">
        <is>
          <t>Bad loans</t>
        </is>
      </c>
      <c r="C278" t="n">
        <v>779</v>
      </c>
      <c r="D278" t="inlineStr">
        <is>
          <t>FICO 654 - 685</t>
        </is>
      </c>
      <c r="E278" t="inlineStr">
        <is>
          <t>ASSET_CLASS 3</t>
        </is>
      </c>
      <c r="F278" t="inlineStr">
        <is>
          <t>Y</t>
        </is>
      </c>
      <c r="G278" t="n">
        <v>193</v>
      </c>
      <c r="H278" t="n">
        <v>1.7683431730409</v>
      </c>
      <c r="J278" t="n">
        <v>57</v>
      </c>
      <c r="K278">
        <f>'_pockets'!$AI$779</f>
        <v/>
      </c>
      <c r="L278">
        <f>'_pockets'!$AJ$779</f>
        <v/>
      </c>
      <c r="M278">
        <f>IF(AND($A278='Pockets'!$D$17,$B278='Pockets'!$C$17,OR('Pockets'!$E$17="All",AND('Pockets'!$E$17="Worse and material",$K278="Yes",$L278="Yes"),AND('Pockets'!$E$17="Worse or not sure",OR($K278="Yes",$K278="Not sure")))),1,0)</f>
        <v/>
      </c>
      <c r="N278">
        <f>$N277+$M278</f>
        <v/>
      </c>
      <c r="O278" t="inlineStr">
        <is>
          <t>three-way</t>
        </is>
      </c>
      <c r="P278" t="inlineStr">
        <is>
          <t>outcome_loans</t>
        </is>
      </c>
    </row>
    <row r="279">
      <c r="A279" t="inlineStr">
        <is>
          <t>Split by SYS_FLAG</t>
        </is>
      </c>
      <c r="B279" t="inlineStr">
        <is>
          <t>Bad loans</t>
        </is>
      </c>
      <c r="C279" t="n">
        <v>869</v>
      </c>
      <c r="D279" t="inlineStr">
        <is>
          <t>ORIG_BAL 37,951 - 49,151</t>
        </is>
      </c>
      <c r="E279" t="inlineStr">
        <is>
          <t>Branch</t>
        </is>
      </c>
      <c r="F279" t="inlineStr">
        <is>
          <t>Y</t>
        </is>
      </c>
      <c r="G279" t="n">
        <v>257</v>
      </c>
      <c r="H279" t="n">
        <v>1.662803545702996</v>
      </c>
      <c r="J279" t="n">
        <v>58</v>
      </c>
      <c r="K279">
        <f>'_pockets'!$AI$869</f>
        <v/>
      </c>
      <c r="L279">
        <f>'_pockets'!$AJ$869</f>
        <v/>
      </c>
      <c r="M279">
        <f>IF(AND($A279='Pockets'!$D$17,$B279='Pockets'!$C$17,OR('Pockets'!$E$17="All",AND('Pockets'!$E$17="Worse and material",$K279="Yes",$L279="Yes"),AND('Pockets'!$E$17="Worse or not sure",OR($K279="Yes",$K279="Not sure")))),1,0)</f>
        <v/>
      </c>
      <c r="N279">
        <f>$N278+$M279</f>
        <v/>
      </c>
      <c r="O279" t="inlineStr">
        <is>
          <t>three-way</t>
        </is>
      </c>
      <c r="P279" t="inlineStr">
        <is>
          <t>outcome_loans</t>
        </is>
      </c>
    </row>
    <row r="280">
      <c r="A280" t="inlineStr">
        <is>
          <t>Split by SYS_FLAG</t>
        </is>
      </c>
      <c r="B280" t="inlineStr">
        <is>
          <t>Bad loans</t>
        </is>
      </c>
      <c r="C280" t="n">
        <v>699</v>
      </c>
      <c r="D280" t="inlineStr">
        <is>
          <t>FICO 654 - 685</t>
        </is>
      </c>
      <c r="E280" t="inlineStr">
        <is>
          <t>ASSET_CLASS 4</t>
        </is>
      </c>
      <c r="F280" t="inlineStr">
        <is>
          <t>N</t>
        </is>
      </c>
      <c r="G280" t="n">
        <v>219</v>
      </c>
      <c r="H280" t="n">
        <v>1.719642186694777</v>
      </c>
      <c r="J280" t="n">
        <v>59</v>
      </c>
      <c r="K280">
        <f>'_pockets'!$AI$699</f>
        <v/>
      </c>
      <c r="L280">
        <f>'_pockets'!$AJ$699</f>
        <v/>
      </c>
      <c r="M280">
        <f>IF(AND($A280='Pockets'!$D$17,$B280='Pockets'!$C$17,OR('Pockets'!$E$17="All",AND('Pockets'!$E$17="Worse and material",$K280="Yes",$L280="Yes"),AND('Pockets'!$E$17="Worse or not sure",OR($K280="Yes",$K280="Not sure")))),1,0)</f>
        <v/>
      </c>
      <c r="N280">
        <f>$N279+$M280</f>
        <v/>
      </c>
      <c r="O280" t="inlineStr">
        <is>
          <t>three-way</t>
        </is>
      </c>
      <c r="P280" t="inlineStr">
        <is>
          <t>outcome_loans</t>
        </is>
      </c>
    </row>
    <row r="281">
      <c r="A281" t="inlineStr">
        <is>
          <t>Split by SYS_FLAG</t>
        </is>
      </c>
      <c r="B281" t="inlineStr">
        <is>
          <t>Bad loans</t>
        </is>
      </c>
      <c r="C281" t="n">
        <v>664</v>
      </c>
      <c r="D281" t="inlineStr">
        <is>
          <t>FICO 746 - 921</t>
        </is>
      </c>
      <c r="E281" t="inlineStr">
        <is>
          <t>ASSET_CLASS 4</t>
        </is>
      </c>
      <c r="F281" t="inlineStr">
        <is>
          <t>Y</t>
        </is>
      </c>
      <c r="G281" t="n">
        <v>164</v>
      </c>
      <c r="H281" t="n">
        <v>1.836475914727798</v>
      </c>
      <c r="J281" t="n">
        <v>60</v>
      </c>
      <c r="K281">
        <f>'_pockets'!$AI$664</f>
        <v/>
      </c>
      <c r="L281">
        <f>'_pockets'!$AJ$664</f>
        <v/>
      </c>
      <c r="M281">
        <f>IF(AND($A281='Pockets'!$D$17,$B281='Pockets'!$C$17,OR('Pockets'!$E$17="All",AND('Pockets'!$E$17="Worse and material",$K281="Yes",$L281="Yes"),AND('Pockets'!$E$17="Worse or not sure",OR($K281="Yes",$K281="Not sure")))),1,0)</f>
        <v/>
      </c>
      <c r="N281">
        <f>$N280+$M281</f>
        <v/>
      </c>
      <c r="O281" t="inlineStr">
        <is>
          <t>three-way</t>
        </is>
      </c>
      <c r="P281" t="inlineStr">
        <is>
          <t>outcome_loans</t>
        </is>
      </c>
    </row>
    <row r="282">
      <c r="A282" t="inlineStr">
        <is>
          <t>Split by SYS_FLAG</t>
        </is>
      </c>
      <c r="B282" t="inlineStr">
        <is>
          <t>Bad loans</t>
        </is>
      </c>
      <c r="C282" t="n">
        <v>949</v>
      </c>
      <c r="D282" t="inlineStr">
        <is>
          <t>ORIG_BAL 49,152 - 59,984</t>
        </is>
      </c>
      <c r="E282" t="inlineStr">
        <is>
          <t>Broker</t>
        </is>
      </c>
      <c r="F282" t="inlineStr">
        <is>
          <t>N</t>
        </is>
      </c>
      <c r="G282" t="n">
        <v>278</v>
      </c>
      <c r="H282" t="n">
        <v>1.636742156051363</v>
      </c>
      <c r="J282" t="n">
        <v>61</v>
      </c>
      <c r="K282">
        <f>'_pockets'!$AI$949</f>
        <v/>
      </c>
      <c r="L282">
        <f>'_pockets'!$AJ$949</f>
        <v/>
      </c>
      <c r="M282">
        <f>IF(AND($A282='Pockets'!$D$17,$B282='Pockets'!$C$17,OR('Pockets'!$E$17="All",AND('Pockets'!$E$17="Worse and material",$K282="Yes",$L282="Yes"),AND('Pockets'!$E$17="Worse or not sure",OR($K282="Yes",$K282="Not sure")))),1,0)</f>
        <v/>
      </c>
      <c r="N282">
        <f>$N281+$M282</f>
        <v/>
      </c>
      <c r="O282" t="inlineStr">
        <is>
          <t>three-way</t>
        </is>
      </c>
      <c r="P282" t="inlineStr">
        <is>
          <t>outcome_loans</t>
        </is>
      </c>
    </row>
    <row r="283">
      <c r="A283" t="inlineStr">
        <is>
          <t>Split by SYS_FLAG</t>
        </is>
      </c>
      <c r="B283" t="inlineStr">
        <is>
          <t>Bad loans</t>
        </is>
      </c>
      <c r="C283" t="n">
        <v>639</v>
      </c>
      <c r="D283" t="inlineStr">
        <is>
          <t>FICO 712 - 745</t>
        </is>
      </c>
      <c r="E283" t="inlineStr">
        <is>
          <t>ASSET_CLASS 4</t>
        </is>
      </c>
      <c r="F283" t="inlineStr">
        <is>
          <t>N</t>
        </is>
      </c>
      <c r="G283" t="n">
        <v>220</v>
      </c>
      <c r="H283" t="n">
        <v>1.717951169134258</v>
      </c>
      <c r="J283" t="n">
        <v>62</v>
      </c>
      <c r="K283">
        <f>'_pockets'!$AI$639</f>
        <v/>
      </c>
      <c r="L283">
        <f>'_pockets'!$AJ$639</f>
        <v/>
      </c>
      <c r="M283">
        <f>IF(AND($A283='Pockets'!$D$17,$B283='Pockets'!$C$17,OR('Pockets'!$E$17="All",AND('Pockets'!$E$17="Worse and material",$K283="Yes",$L283="Yes"),AND('Pockets'!$E$17="Worse or not sure",OR($K283="Yes",$K283="Not sure")))),1,0)</f>
        <v/>
      </c>
      <c r="N283">
        <f>$N282+$M283</f>
        <v/>
      </c>
      <c r="O283" t="inlineStr">
        <is>
          <t>three-way</t>
        </is>
      </c>
      <c r="P283" t="inlineStr">
        <is>
          <t>outcome_loans</t>
        </is>
      </c>
    </row>
    <row r="284">
      <c r="A284" t="inlineStr">
        <is>
          <t>Split by SYS_FLAG</t>
        </is>
      </c>
      <c r="B284" t="inlineStr">
        <is>
          <t>Bad loans</t>
        </is>
      </c>
      <c r="C284" t="n">
        <v>609</v>
      </c>
      <c r="D284" t="inlineStr">
        <is>
          <t>FICO 712 - 745</t>
        </is>
      </c>
      <c r="E284" t="inlineStr">
        <is>
          <t>ASSET_CLASS 2</t>
        </is>
      </c>
      <c r="F284" t="inlineStr">
        <is>
          <t>Y</t>
        </is>
      </c>
      <c r="G284" t="n">
        <v>184</v>
      </c>
      <c r="H284" t="n">
        <v>1.787676144367746</v>
      </c>
      <c r="J284" t="n">
        <v>63</v>
      </c>
      <c r="K284">
        <f>'_pockets'!$AI$609</f>
        <v/>
      </c>
      <c r="L284">
        <f>'_pockets'!$AJ$609</f>
        <v/>
      </c>
      <c r="M284">
        <f>IF(AND($A284='Pockets'!$D$17,$B284='Pockets'!$C$17,OR('Pockets'!$E$17="All",AND('Pockets'!$E$17="Worse and material",$K284="Yes",$L284="Yes"),AND('Pockets'!$E$17="Worse or not sure",OR($K284="Yes",$K284="Not sure")))),1,0)</f>
        <v/>
      </c>
      <c r="N284">
        <f>$N283+$M284</f>
        <v/>
      </c>
      <c r="O284" t="inlineStr">
        <is>
          <t>three-way</t>
        </is>
      </c>
      <c r="P284" t="inlineStr">
        <is>
          <t>outcome_loans</t>
        </is>
      </c>
    </row>
    <row r="285">
      <c r="A285" t="inlineStr">
        <is>
          <t>Split by SYS_FLAG</t>
        </is>
      </c>
      <c r="B285" t="inlineStr">
        <is>
          <t>Bad loans</t>
        </is>
      </c>
      <c r="C285" t="n">
        <v>444</v>
      </c>
      <c r="D285" t="inlineStr">
        <is>
          <t>FICO 686 - 711</t>
        </is>
      </c>
      <c r="E285" t="inlineStr">
        <is>
          <t>Broker</t>
        </is>
      </c>
      <c r="F285" t="inlineStr">
        <is>
          <t>Y</t>
        </is>
      </c>
      <c r="G285" t="n">
        <v>230</v>
      </c>
      <c r="H285" t="n">
        <v>1.701679773788075</v>
      </c>
      <c r="J285" t="n">
        <v>64</v>
      </c>
      <c r="K285">
        <f>'_pockets'!$AI$444</f>
        <v/>
      </c>
      <c r="L285">
        <f>'_pockets'!$AJ$444</f>
        <v/>
      </c>
      <c r="M285">
        <f>IF(AND($A285='Pockets'!$D$17,$B285='Pockets'!$C$17,OR('Pockets'!$E$17="All",AND('Pockets'!$E$17="Worse and material",$K285="Yes",$L285="Yes"),AND('Pockets'!$E$17="Worse or not sure",OR($K285="Yes",$K285="Not sure")))),1,0)</f>
        <v/>
      </c>
      <c r="N285">
        <f>$N284+$M285</f>
        <v/>
      </c>
      <c r="O285" t="inlineStr">
        <is>
          <t>three-way</t>
        </is>
      </c>
      <c r="P285" t="inlineStr">
        <is>
          <t>outcome_loans</t>
        </is>
      </c>
    </row>
    <row r="286">
      <c r="A286" t="inlineStr">
        <is>
          <t>Split by SYS_FLAG</t>
        </is>
      </c>
      <c r="B286" t="inlineStr">
        <is>
          <t>Bad loans</t>
        </is>
      </c>
      <c r="C286" t="n">
        <v>874</v>
      </c>
      <c r="D286" t="inlineStr">
        <is>
          <t>ORIG_BAL 15,449 - 26,323</t>
        </is>
      </c>
      <c r="E286" t="inlineStr">
        <is>
          <t>Broker</t>
        </is>
      </c>
      <c r="F286" t="inlineStr">
        <is>
          <t>N</t>
        </is>
      </c>
      <c r="G286" t="n">
        <v>293</v>
      </c>
      <c r="H286" t="n">
        <v>1.619946387626755</v>
      </c>
      <c r="J286" t="n">
        <v>65</v>
      </c>
      <c r="K286">
        <f>'_pockets'!$AI$874</f>
        <v/>
      </c>
      <c r="L286">
        <f>'_pockets'!$AJ$874</f>
        <v/>
      </c>
      <c r="M286">
        <f>IF(AND($A286='Pockets'!$D$17,$B286='Pockets'!$C$17,OR('Pockets'!$E$17="All",AND('Pockets'!$E$17="Worse and material",$K286="Yes",$L286="Yes"),AND('Pockets'!$E$17="Worse or not sure",OR($K286="Yes",$K286="Not sure")))),1,0)</f>
        <v/>
      </c>
      <c r="N286">
        <f>$N285+$M286</f>
        <v/>
      </c>
      <c r="O286" t="inlineStr">
        <is>
          <t>three-way</t>
        </is>
      </c>
      <c r="P286" t="inlineStr">
        <is>
          <t>outcome_loans</t>
        </is>
      </c>
    </row>
    <row r="287">
      <c r="A287" t="inlineStr">
        <is>
          <t>Split by SYS_FLAG</t>
        </is>
      </c>
      <c r="B287" t="inlineStr">
        <is>
          <t>Bad loans</t>
        </is>
      </c>
      <c r="C287" t="n">
        <v>734</v>
      </c>
      <c r="D287" t="inlineStr">
        <is>
          <t>FICO (marked missing)</t>
        </is>
      </c>
      <c r="E287" t="inlineStr">
        <is>
          <t>ASSET_CLASS 3</t>
        </is>
      </c>
      <c r="F287" t="inlineStr">
        <is>
          <t>Y</t>
        </is>
      </c>
      <c r="G287" t="n">
        <v>22</v>
      </c>
      <c r="H287" t="n">
        <v>3.478265383332805</v>
      </c>
      <c r="J287" t="n">
        <v>66</v>
      </c>
      <c r="K287">
        <f>'_pockets'!$AI$734</f>
        <v/>
      </c>
      <c r="L287">
        <f>'_pockets'!$AJ$734</f>
        <v/>
      </c>
      <c r="M287">
        <f>IF(AND($A287='Pockets'!$D$17,$B287='Pockets'!$C$17,OR('Pockets'!$E$17="All",AND('Pockets'!$E$17="Worse and material",$K287="Yes",$L287="Yes"),AND('Pockets'!$E$17="Worse or not sure",OR($K287="Yes",$K287="Not sure")))),1,0)</f>
        <v/>
      </c>
      <c r="N287">
        <f>$N286+$M287</f>
        <v/>
      </c>
      <c r="O287" t="inlineStr">
        <is>
          <t>three-way</t>
        </is>
      </c>
      <c r="P287" t="inlineStr">
        <is>
          <t>outcome_loans</t>
        </is>
      </c>
    </row>
    <row r="288">
      <c r="A288" t="inlineStr">
        <is>
          <t>Split by SYS_FLAG</t>
        </is>
      </c>
      <c r="B288" t="inlineStr">
        <is>
          <t>Bad loans</t>
        </is>
      </c>
      <c r="C288" t="n">
        <v>449</v>
      </c>
      <c r="D288" t="inlineStr">
        <is>
          <t>FICO 712 - 745</t>
        </is>
      </c>
      <c r="E288" t="inlineStr">
        <is>
          <t>Online</t>
        </is>
      </c>
      <c r="F288" t="inlineStr">
        <is>
          <t>N</t>
        </is>
      </c>
      <c r="G288" t="n">
        <v>286</v>
      </c>
      <c r="H288" t="n">
        <v>1.627612144919008</v>
      </c>
      <c r="J288" t="n">
        <v>67</v>
      </c>
      <c r="K288">
        <f>'_pockets'!$AI$449</f>
        <v/>
      </c>
      <c r="L288">
        <f>'_pockets'!$AJ$449</f>
        <v/>
      </c>
      <c r="M288">
        <f>IF(AND($A288='Pockets'!$D$17,$B288='Pockets'!$C$17,OR('Pockets'!$E$17="All",AND('Pockets'!$E$17="Worse and material",$K288="Yes",$L288="Yes"),AND('Pockets'!$E$17="Worse or not sure",OR($K288="Yes",$K288="Not sure")))),1,0)</f>
        <v/>
      </c>
      <c r="N288">
        <f>$N287+$M288</f>
        <v/>
      </c>
      <c r="O288" t="inlineStr">
        <is>
          <t>three-way</t>
        </is>
      </c>
      <c r="P288" t="inlineStr">
        <is>
          <t>outcome_loans</t>
        </is>
      </c>
    </row>
    <row r="289">
      <c r="A289" t="inlineStr">
        <is>
          <t>Split by SYS_FLAG</t>
        </is>
      </c>
      <c r="B289" t="inlineStr">
        <is>
          <t>Bad loans</t>
        </is>
      </c>
      <c r="C289" t="n">
        <v>1089</v>
      </c>
      <c r="D289" t="inlineStr">
        <is>
          <t>ORIG_BAL 49,152 - 59,984</t>
        </is>
      </c>
      <c r="E289" t="inlineStr">
        <is>
          <t>ASSET_CLASS 3</t>
        </is>
      </c>
      <c r="F289" t="inlineStr">
        <is>
          <t>Y</t>
        </is>
      </c>
      <c r="G289" t="n">
        <v>179</v>
      </c>
      <c r="H289" t="n">
        <v>1.799070701356365</v>
      </c>
      <c r="J289" t="n">
        <v>68</v>
      </c>
      <c r="K289">
        <f>'_pockets'!$AI$1089</f>
        <v/>
      </c>
      <c r="L289">
        <f>'_pockets'!$AJ$1089</f>
        <v/>
      </c>
      <c r="M289">
        <f>IF(AND($A289='Pockets'!$D$17,$B289='Pockets'!$C$17,OR('Pockets'!$E$17="All",AND('Pockets'!$E$17="Worse and material",$K289="Yes",$L289="Yes"),AND('Pockets'!$E$17="Worse or not sure",OR($K289="Yes",$K289="Not sure")))),1,0)</f>
        <v/>
      </c>
      <c r="N289">
        <f>$N288+$M289</f>
        <v/>
      </c>
      <c r="O289" t="inlineStr">
        <is>
          <t>three-way</t>
        </is>
      </c>
      <c r="P289" t="inlineStr">
        <is>
          <t>outcome_loans</t>
        </is>
      </c>
    </row>
    <row r="290">
      <c r="A290" t="inlineStr">
        <is>
          <t>Split by SYS_FLAG</t>
        </is>
      </c>
      <c r="B290" t="inlineStr">
        <is>
          <t>Bad loans</t>
        </is>
      </c>
      <c r="C290" t="n">
        <v>529</v>
      </c>
      <c r="D290" t="inlineStr">
        <is>
          <t>FICO (marked missing)</t>
        </is>
      </c>
      <c r="E290" t="inlineStr">
        <is>
          <t>Online</t>
        </is>
      </c>
      <c r="F290" t="inlineStr">
        <is>
          <t>Y</t>
        </is>
      </c>
      <c r="G290" t="n">
        <v>25</v>
      </c>
      <c r="H290" t="n">
        <v>3.310134245763284</v>
      </c>
      <c r="J290" t="n">
        <v>69</v>
      </c>
      <c r="K290">
        <f>'_pockets'!$AI$529</f>
        <v/>
      </c>
      <c r="L290">
        <f>'_pockets'!$AJ$529</f>
        <v/>
      </c>
      <c r="M290">
        <f>IF(AND($A290='Pockets'!$D$17,$B290='Pockets'!$C$17,OR('Pockets'!$E$17="All",AND('Pockets'!$E$17="Worse and material",$K290="Yes",$L290="Yes"),AND('Pockets'!$E$17="Worse or not sure",OR($K290="Yes",$K290="Not sure")))),1,0)</f>
        <v/>
      </c>
      <c r="N290">
        <f>$N289+$M290</f>
        <v/>
      </c>
      <c r="O290" t="inlineStr">
        <is>
          <t>three-way</t>
        </is>
      </c>
      <c r="P290" t="inlineStr">
        <is>
          <t>outcome_loans</t>
        </is>
      </c>
    </row>
    <row r="291">
      <c r="A291" t="inlineStr">
        <is>
          <t>Split by SYS_FLAG</t>
        </is>
      </c>
      <c r="B291" t="inlineStr">
        <is>
          <t>Bad loans</t>
        </is>
      </c>
      <c r="C291" t="n">
        <v>1024</v>
      </c>
      <c r="D291" t="inlineStr">
        <is>
          <t>ORIG_BAL 37,951 - 49,151</t>
        </is>
      </c>
      <c r="E291" t="inlineStr">
        <is>
          <t>ASSET_CLASS 2</t>
        </is>
      </c>
      <c r="F291" t="inlineStr">
        <is>
          <t>Y</t>
        </is>
      </c>
      <c r="G291" t="n">
        <v>199</v>
      </c>
      <c r="H291" t="n">
        <v>1.756222511672635</v>
      </c>
      <c r="J291" t="n">
        <v>70</v>
      </c>
      <c r="K291">
        <f>'_pockets'!$AI$1024</f>
        <v/>
      </c>
      <c r="L291">
        <f>'_pockets'!$AJ$1024</f>
        <v/>
      </c>
      <c r="M291">
        <f>IF(AND($A291='Pockets'!$D$17,$B291='Pockets'!$C$17,OR('Pockets'!$E$17="All",AND('Pockets'!$E$17="Worse and material",$K291="Yes",$L291="Yes"),AND('Pockets'!$E$17="Worse or not sure",OR($K291="Yes",$K291="Not sure")))),1,0)</f>
        <v/>
      </c>
      <c r="N291">
        <f>$N290+$M291</f>
        <v/>
      </c>
      <c r="O291" t="inlineStr">
        <is>
          <t>three-way</t>
        </is>
      </c>
      <c r="P291" t="inlineStr">
        <is>
          <t>outcome_loans</t>
        </is>
      </c>
    </row>
    <row r="292">
      <c r="A292" t="inlineStr">
        <is>
          <t>Split by SYS_FLAG</t>
        </is>
      </c>
      <c r="B292" t="inlineStr">
        <is>
          <t>Bad loans</t>
        </is>
      </c>
      <c r="C292" t="n">
        <v>584</v>
      </c>
      <c r="D292" t="inlineStr">
        <is>
          <t>FICO (marked missing)</t>
        </is>
      </c>
      <c r="E292" t="inlineStr">
        <is>
          <t>Broker</t>
        </is>
      </c>
      <c r="F292" t="inlineStr">
        <is>
          <t>N</t>
        </is>
      </c>
      <c r="G292" t="n">
        <v>29</v>
      </c>
      <c r="H292" t="n">
        <v>3.129201097431379</v>
      </c>
      <c r="J292" t="n">
        <v>71</v>
      </c>
      <c r="K292">
        <f>'_pockets'!$AI$584</f>
        <v/>
      </c>
      <c r="L292">
        <f>'_pockets'!$AJ$584</f>
        <v/>
      </c>
      <c r="M292">
        <f>IF(AND($A292='Pockets'!$D$17,$B292='Pockets'!$C$17,OR('Pockets'!$E$17="All",AND('Pockets'!$E$17="Worse and material",$K292="Yes",$L292="Yes"),AND('Pockets'!$E$17="Worse or not sure",OR($K292="Yes",$K292="Not sure")))),1,0)</f>
        <v/>
      </c>
      <c r="N292">
        <f>$N291+$M292</f>
        <v/>
      </c>
      <c r="O292" t="inlineStr">
        <is>
          <t>three-way</t>
        </is>
      </c>
      <c r="P292" t="inlineStr">
        <is>
          <t>outcome_loans</t>
        </is>
      </c>
    </row>
    <row r="293">
      <c r="A293" t="inlineStr">
        <is>
          <t>Split by SYS_FLAG</t>
        </is>
      </c>
      <c r="B293" t="inlineStr">
        <is>
          <t>Bad loans</t>
        </is>
      </c>
      <c r="C293" t="n">
        <v>879</v>
      </c>
      <c r="D293" t="inlineStr">
        <is>
          <t>ORIG_BAL 15,449 - 26,323</t>
        </is>
      </c>
      <c r="E293" t="inlineStr">
        <is>
          <t>Online</t>
        </is>
      </c>
      <c r="F293" t="inlineStr">
        <is>
          <t>N</t>
        </is>
      </c>
      <c r="G293" t="n">
        <v>300</v>
      </c>
      <c r="H293" t="n">
        <v>1.612563103422725</v>
      </c>
      <c r="J293" t="n">
        <v>72</v>
      </c>
      <c r="K293">
        <f>'_pockets'!$AI$879</f>
        <v/>
      </c>
      <c r="L293">
        <f>'_pockets'!$AJ$879</f>
        <v/>
      </c>
      <c r="M293">
        <f>IF(AND($A293='Pockets'!$D$17,$B293='Pockets'!$C$17,OR('Pockets'!$E$17="All",AND('Pockets'!$E$17="Worse and material",$K293="Yes",$L293="Yes"),AND('Pockets'!$E$17="Worse or not sure",OR($K293="Yes",$K293="Not sure")))),1,0)</f>
        <v/>
      </c>
      <c r="N293">
        <f>$N292+$M293</f>
        <v/>
      </c>
      <c r="O293" t="inlineStr">
        <is>
          <t>three-way</t>
        </is>
      </c>
      <c r="P293" t="inlineStr">
        <is>
          <t>outcome_loans</t>
        </is>
      </c>
    </row>
    <row r="294">
      <c r="A294" t="inlineStr">
        <is>
          <t>Split by SYS_FLAG</t>
        </is>
      </c>
      <c r="B294" t="inlineStr">
        <is>
          <t>Bad loans</t>
        </is>
      </c>
      <c r="C294" t="n">
        <v>829</v>
      </c>
      <c r="D294" t="inlineStr">
        <is>
          <t>FICO (marked missing)</t>
        </is>
      </c>
      <c r="E294" t="inlineStr">
        <is>
          <t>ASSET_CLASS 1</t>
        </is>
      </c>
      <c r="F294" t="inlineStr">
        <is>
          <t>Y</t>
        </is>
      </c>
      <c r="G294" t="n">
        <v>15</v>
      </c>
      <c r="H294" t="n">
        <v>4.05726502244459</v>
      </c>
      <c r="J294" t="n">
        <v>73</v>
      </c>
      <c r="K294">
        <f>'_pockets'!$AI$829</f>
        <v/>
      </c>
      <c r="L294">
        <f>'_pockets'!$AJ$829</f>
        <v/>
      </c>
      <c r="M294">
        <f>IF(AND($A294='Pockets'!$D$17,$B294='Pockets'!$C$17,OR('Pockets'!$E$17="All",AND('Pockets'!$E$17="Worse and material",$K294="Yes",$L294="Yes"),AND('Pockets'!$E$17="Worse or not sure",OR($K294="Yes",$K294="Not sure")))),1,0)</f>
        <v/>
      </c>
      <c r="N294">
        <f>$N293+$M294</f>
        <v/>
      </c>
      <c r="O294" t="inlineStr">
        <is>
          <t>three-way</t>
        </is>
      </c>
      <c r="P294" t="inlineStr">
        <is>
          <t>outcome_loans</t>
        </is>
      </c>
    </row>
    <row r="295">
      <c r="A295" t="inlineStr">
        <is>
          <t>Split by SYS_FLAG</t>
        </is>
      </c>
      <c r="B295" t="inlineStr">
        <is>
          <t>Bad loans</t>
        </is>
      </c>
      <c r="C295" t="n">
        <v>544</v>
      </c>
      <c r="D295" t="inlineStr">
        <is>
          <t>FICO 496 - 653</t>
        </is>
      </c>
      <c r="E295" t="inlineStr">
        <is>
          <t>Online</t>
        </is>
      </c>
      <c r="F295" t="inlineStr">
        <is>
          <t>Y</t>
        </is>
      </c>
      <c r="G295" t="n">
        <v>226</v>
      </c>
      <c r="H295" t="n">
        <v>1.708052660295702</v>
      </c>
      <c r="J295" t="n">
        <v>74</v>
      </c>
      <c r="K295">
        <f>'_pockets'!$AI$544</f>
        <v/>
      </c>
      <c r="L295">
        <f>'_pockets'!$AJ$544</f>
        <v/>
      </c>
      <c r="M295">
        <f>IF(AND($A295='Pockets'!$D$17,$B295='Pockets'!$C$17,OR('Pockets'!$E$17="All",AND('Pockets'!$E$17="Worse and material",$K295="Yes",$L295="Yes"),AND('Pockets'!$E$17="Worse or not sure",OR($K295="Yes",$K295="Not sure")))),1,0)</f>
        <v/>
      </c>
      <c r="N295">
        <f>$N294+$M295</f>
        <v/>
      </c>
      <c r="O295" t="inlineStr">
        <is>
          <t>three-way</t>
        </is>
      </c>
      <c r="P295" t="inlineStr">
        <is>
          <t>outcome_loans</t>
        </is>
      </c>
    </row>
    <row r="296">
      <c r="A296" t="inlineStr">
        <is>
          <t>Split by SYS_FLAG</t>
        </is>
      </c>
      <c r="B296" t="inlineStr">
        <is>
          <t>Bad loans</t>
        </is>
      </c>
      <c r="C296" t="n">
        <v>494</v>
      </c>
      <c r="D296" t="inlineStr">
        <is>
          <t>FICO 496 - 653</t>
        </is>
      </c>
      <c r="E296" t="inlineStr">
        <is>
          <t>Branch</t>
        </is>
      </c>
      <c r="F296" t="inlineStr">
        <is>
          <t>Y</t>
        </is>
      </c>
      <c r="G296" t="n">
        <v>231</v>
      </c>
      <c r="H296" t="n">
        <v>1.700113662524463</v>
      </c>
      <c r="J296" t="n">
        <v>75</v>
      </c>
      <c r="K296">
        <f>'_pockets'!$AI$494</f>
        <v/>
      </c>
      <c r="L296">
        <f>'_pockets'!$AJ$494</f>
        <v/>
      </c>
      <c r="M296">
        <f>IF(AND($A296='Pockets'!$D$17,$B296='Pockets'!$C$17,OR('Pockets'!$E$17="All",AND('Pockets'!$E$17="Worse and material",$K296="Yes",$L296="Yes"),AND('Pockets'!$E$17="Worse or not sure",OR($K296="Yes",$K296="Not sure")))),1,0)</f>
        <v/>
      </c>
      <c r="N296">
        <f>$N295+$M296</f>
        <v/>
      </c>
      <c r="O296" t="inlineStr">
        <is>
          <t>three-way</t>
        </is>
      </c>
      <c r="P296" t="inlineStr">
        <is>
          <t>outcome_loans</t>
        </is>
      </c>
    </row>
    <row r="297">
      <c r="A297" t="inlineStr">
        <is>
          <t>Split by SYS_FLAG</t>
        </is>
      </c>
      <c r="B297" t="inlineStr">
        <is>
          <t>Bad loans</t>
        </is>
      </c>
      <c r="C297" t="n">
        <v>794</v>
      </c>
      <c r="D297" t="inlineStr">
        <is>
          <t>FICO 496 - 653</t>
        </is>
      </c>
      <c r="E297" t="inlineStr">
        <is>
          <t>ASSET_CLASS 2</t>
        </is>
      </c>
      <c r="F297" t="inlineStr">
        <is>
          <t>Y</t>
        </is>
      </c>
      <c r="G297" t="n">
        <v>181</v>
      </c>
      <c r="H297" t="n">
        <v>1.794453646254576</v>
      </c>
      <c r="J297" t="n">
        <v>76</v>
      </c>
      <c r="K297">
        <f>'_pockets'!$AI$794</f>
        <v/>
      </c>
      <c r="L297">
        <f>'_pockets'!$AJ$794</f>
        <v/>
      </c>
      <c r="M297">
        <f>IF(AND($A297='Pockets'!$D$17,$B297='Pockets'!$C$17,OR('Pockets'!$E$17="All",AND('Pockets'!$E$17="Worse and material",$K297="Yes",$L297="Yes"),AND('Pockets'!$E$17="Worse or not sure",OR($K297="Yes",$K297="Not sure")))),1,0)</f>
        <v/>
      </c>
      <c r="N297">
        <f>$N296+$M297</f>
        <v/>
      </c>
      <c r="O297" t="inlineStr">
        <is>
          <t>three-way</t>
        </is>
      </c>
      <c r="P297" t="inlineStr">
        <is>
          <t>outcome_loans</t>
        </is>
      </c>
    </row>
    <row r="298">
      <c r="A298" t="inlineStr">
        <is>
          <t>Split by SYS_FLAG</t>
        </is>
      </c>
      <c r="B298" t="inlineStr">
        <is>
          <t>Bad loans</t>
        </is>
      </c>
      <c r="C298" t="n">
        <v>674</v>
      </c>
      <c r="D298" t="inlineStr">
        <is>
          <t>FICO 496 - 653</t>
        </is>
      </c>
      <c r="E298" t="inlineStr">
        <is>
          <t>ASSET_CLASS 3</t>
        </is>
      </c>
      <c r="F298" t="inlineStr">
        <is>
          <t>N</t>
        </is>
      </c>
      <c r="G298" t="n">
        <v>184</v>
      </c>
      <c r="H298" t="n">
        <v>1.787676144367746</v>
      </c>
      <c r="J298" t="n">
        <v>77</v>
      </c>
      <c r="K298">
        <f>'_pockets'!$AI$674</f>
        <v/>
      </c>
      <c r="L298">
        <f>'_pockets'!$AJ$674</f>
        <v/>
      </c>
      <c r="M298">
        <f>IF(AND($A298='Pockets'!$D$17,$B298='Pockets'!$C$17,OR('Pockets'!$E$17="All",AND('Pockets'!$E$17="Worse and material",$K298="Yes",$L298="Yes"),AND('Pockets'!$E$17="Worse or not sure",OR($K298="Yes",$K298="Not sure")))),1,0)</f>
        <v/>
      </c>
      <c r="N298">
        <f>$N297+$M298</f>
        <v/>
      </c>
      <c r="O298" t="inlineStr">
        <is>
          <t>three-way</t>
        </is>
      </c>
      <c r="P298" t="inlineStr">
        <is>
          <t>outcome_loans</t>
        </is>
      </c>
    </row>
    <row r="299">
      <c r="A299" t="inlineStr">
        <is>
          <t>Split by SYS_FLAG</t>
        </is>
      </c>
      <c r="B299" t="inlineStr">
        <is>
          <t>Bad loans</t>
        </is>
      </c>
      <c r="C299" t="n">
        <v>614</v>
      </c>
      <c r="D299" t="inlineStr">
        <is>
          <t>FICO 496 - 653</t>
        </is>
      </c>
      <c r="E299" t="inlineStr">
        <is>
          <t>ASSET_CLASS 2</t>
        </is>
      </c>
      <c r="F299" t="inlineStr">
        <is>
          <t>N</t>
        </is>
      </c>
      <c r="G299" t="n">
        <v>212</v>
      </c>
      <c r="H299" t="n">
        <v>1.731828000356066</v>
      </c>
      <c r="J299" t="n">
        <v>78</v>
      </c>
      <c r="K299">
        <f>'_pockets'!$AI$614</f>
        <v/>
      </c>
      <c r="L299">
        <f>'_pockets'!$AJ$614</f>
        <v/>
      </c>
      <c r="M299">
        <f>IF(AND($A299='Pockets'!$D$17,$B299='Pockets'!$C$17,OR('Pockets'!$E$17="All",AND('Pockets'!$E$17="Worse and material",$K299="Yes",$L299="Yes"),AND('Pockets'!$E$17="Worse or not sure",OR($K299="Yes",$K299="Not sure")))),1,0)</f>
        <v/>
      </c>
      <c r="N299">
        <f>$N298+$M299</f>
        <v/>
      </c>
      <c r="O299" t="inlineStr">
        <is>
          <t>three-way</t>
        </is>
      </c>
      <c r="P299" t="inlineStr">
        <is>
          <t>outcome_loans</t>
        </is>
      </c>
    </row>
    <row r="300">
      <c r="A300" t="inlineStr">
        <is>
          <t>Split by SYS_FLAG</t>
        </is>
      </c>
      <c r="B300" t="inlineStr">
        <is>
          <t>Bad loans</t>
        </is>
      </c>
      <c r="C300" t="n">
        <v>934</v>
      </c>
      <c r="D300" t="inlineStr">
        <is>
          <t>ORIG_BAL 15,449 - 26,323</t>
        </is>
      </c>
      <c r="E300" t="inlineStr">
        <is>
          <t>Online</t>
        </is>
      </c>
      <c r="F300" t="inlineStr">
        <is>
          <t>Y</t>
        </is>
      </c>
      <c r="G300" t="n">
        <v>238</v>
      </c>
      <c r="H300" t="n">
        <v>1.689441369237026</v>
      </c>
      <c r="J300" t="n">
        <v>79</v>
      </c>
      <c r="K300">
        <f>'_pockets'!$AI$934</f>
        <v/>
      </c>
      <c r="L300">
        <f>'_pockets'!$AJ$934</f>
        <v/>
      </c>
      <c r="M300">
        <f>IF(AND($A300='Pockets'!$D$17,$B300='Pockets'!$C$17,OR('Pockets'!$E$17="All",AND('Pockets'!$E$17="Worse and material",$K300="Yes",$L300="Yes"),AND('Pockets'!$E$17="Worse or not sure",OR($K300="Yes",$K300="Not sure")))),1,0)</f>
        <v/>
      </c>
      <c r="N300">
        <f>$N299+$M300</f>
        <v/>
      </c>
      <c r="O300" t="inlineStr">
        <is>
          <t>three-way</t>
        </is>
      </c>
      <c r="P300" t="inlineStr">
        <is>
          <t>outcome_loans</t>
        </is>
      </c>
    </row>
    <row r="301">
      <c r="A301" t="inlineStr">
        <is>
          <t>Split by SYS_FLAG</t>
        </is>
      </c>
      <c r="B301" t="inlineStr">
        <is>
          <t>Bad loans</t>
        </is>
      </c>
      <c r="C301" t="n">
        <v>429</v>
      </c>
      <c r="D301" t="inlineStr">
        <is>
          <t>FICO 496 - 653</t>
        </is>
      </c>
      <c r="E301" t="inlineStr">
        <is>
          <t>Branch</t>
        </is>
      </c>
      <c r="F301" t="inlineStr">
        <is>
          <t>N</t>
        </is>
      </c>
      <c r="G301" t="n">
        <v>270</v>
      </c>
      <c r="H301" t="n">
        <v>1.64629441685791</v>
      </c>
      <c r="J301" t="n">
        <v>80</v>
      </c>
      <c r="K301">
        <f>'_pockets'!$AI$429</f>
        <v/>
      </c>
      <c r="L301">
        <f>'_pockets'!$AJ$429</f>
        <v/>
      </c>
      <c r="M301">
        <f>IF(AND($A301='Pockets'!$D$17,$B301='Pockets'!$C$17,OR('Pockets'!$E$17="All",AND('Pockets'!$E$17="Worse and material",$K301="Yes",$L301="Yes"),AND('Pockets'!$E$17="Worse or not sure",OR($K301="Yes",$K301="Not sure")))),1,0)</f>
        <v/>
      </c>
      <c r="N301">
        <f>$N300+$M301</f>
        <v/>
      </c>
      <c r="O301" t="inlineStr">
        <is>
          <t>three-way</t>
        </is>
      </c>
      <c r="P301" t="inlineStr">
        <is>
          <t>outcome_loans</t>
        </is>
      </c>
    </row>
    <row r="302">
      <c r="A302" t="inlineStr">
        <is>
          <t>Split by SYS_FLAG</t>
        </is>
      </c>
      <c r="B302" t="inlineStr">
        <is>
          <t>Bad loans</t>
        </is>
      </c>
      <c r="C302" t="n">
        <v>1129</v>
      </c>
      <c r="D302" t="inlineStr">
        <is>
          <t>ORIG_BAL 15,449 - 26,323</t>
        </is>
      </c>
      <c r="E302" t="inlineStr">
        <is>
          <t>ASSET_CLASS 3</t>
        </is>
      </c>
      <c r="F302" t="inlineStr">
        <is>
          <t>N</t>
        </is>
      </c>
      <c r="G302" t="n">
        <v>234</v>
      </c>
      <c r="H302" t="n">
        <v>1.695478486271386</v>
      </c>
      <c r="J302" t="n">
        <v>81</v>
      </c>
      <c r="K302">
        <f>'_pockets'!$AI$1129</f>
        <v/>
      </c>
      <c r="L302">
        <f>'_pockets'!$AJ$1129</f>
        <v/>
      </c>
      <c r="M302">
        <f>IF(AND($A302='Pockets'!$D$17,$B302='Pockets'!$C$17,OR('Pockets'!$E$17="All",AND('Pockets'!$E$17="Worse and material",$K302="Yes",$L302="Yes"),AND('Pockets'!$E$17="Worse or not sure",OR($K302="Yes",$K302="Not sure")))),1,0)</f>
        <v/>
      </c>
      <c r="N302">
        <f>$N301+$M302</f>
        <v/>
      </c>
      <c r="O302" t="inlineStr">
        <is>
          <t>three-way</t>
        </is>
      </c>
      <c r="P302" t="inlineStr">
        <is>
          <t>outcome_loans</t>
        </is>
      </c>
    </row>
    <row r="303">
      <c r="A303" t="inlineStr">
        <is>
          <t>Split by SYS_FLAG</t>
        </is>
      </c>
      <c r="B303" t="inlineStr">
        <is>
          <t>Bad loans</t>
        </is>
      </c>
      <c r="C303" t="n">
        <v>629</v>
      </c>
      <c r="D303" t="inlineStr">
        <is>
          <t>FICO 496 - 653</t>
        </is>
      </c>
      <c r="E303" t="inlineStr">
        <is>
          <t>ASSET_CLASS 1</t>
        </is>
      </c>
      <c r="F303" t="inlineStr">
        <is>
          <t>N</t>
        </is>
      </c>
      <c r="G303" t="n">
        <v>234</v>
      </c>
      <c r="H303" t="n">
        <v>1.695478486271386</v>
      </c>
      <c r="J303" t="n">
        <v>82</v>
      </c>
      <c r="K303">
        <f>'_pockets'!$AI$629</f>
        <v/>
      </c>
      <c r="L303">
        <f>'_pockets'!$AJ$629</f>
        <v/>
      </c>
      <c r="M303">
        <f>IF(AND($A303='Pockets'!$D$17,$B303='Pockets'!$C$17,OR('Pockets'!$E$17="All",AND('Pockets'!$E$17="Worse and material",$K303="Yes",$L303="Yes"),AND('Pockets'!$E$17="Worse or not sure",OR($K303="Yes",$K303="Not sure")))),1,0)</f>
        <v/>
      </c>
      <c r="N303">
        <f>$N302+$M303</f>
        <v/>
      </c>
      <c r="O303" t="inlineStr">
        <is>
          <t>three-way</t>
        </is>
      </c>
      <c r="P303" t="inlineStr">
        <is>
          <t>outcome_loans</t>
        </is>
      </c>
    </row>
    <row r="304">
      <c r="A304" t="inlineStr">
        <is>
          <t>Split by SYS_FLAG</t>
        </is>
      </c>
      <c r="B304" t="inlineStr">
        <is>
          <t>Bad loans</t>
        </is>
      </c>
      <c r="C304" t="n">
        <v>1029</v>
      </c>
      <c r="D304" t="inlineStr">
        <is>
          <t>ORIG_BAL 15,449 - 26,323</t>
        </is>
      </c>
      <c r="E304" t="inlineStr">
        <is>
          <t>ASSET_CLASS 1</t>
        </is>
      </c>
      <c r="F304" t="inlineStr">
        <is>
          <t>N</t>
        </is>
      </c>
      <c r="G304" t="n">
        <v>224</v>
      </c>
      <c r="H304" t="n">
        <v>1.711305903675129</v>
      </c>
      <c r="J304" t="n">
        <v>83</v>
      </c>
      <c r="K304">
        <f>'_pockets'!$AI$1029</f>
        <v/>
      </c>
      <c r="L304">
        <f>'_pockets'!$AJ$1029</f>
        <v/>
      </c>
      <c r="M304">
        <f>IF(AND($A304='Pockets'!$D$17,$B304='Pockets'!$C$17,OR('Pockets'!$E$17="All",AND('Pockets'!$E$17="Worse and material",$K304="Yes",$L304="Yes"),AND('Pockets'!$E$17="Worse or not sure",OR($K304="Yes",$K304="Not sure")))),1,0)</f>
        <v/>
      </c>
      <c r="N304">
        <f>$N303+$M304</f>
        <v/>
      </c>
      <c r="O304" t="inlineStr">
        <is>
          <t>three-way</t>
        </is>
      </c>
      <c r="P304" t="inlineStr">
        <is>
          <t>outcome_loans</t>
        </is>
      </c>
    </row>
    <row r="305">
      <c r="A305" t="inlineStr">
        <is>
          <t>Split by SYS_FLAG</t>
        </is>
      </c>
      <c r="B305" t="inlineStr">
        <is>
          <t>Bad loans</t>
        </is>
      </c>
      <c r="C305" t="n">
        <v>1159</v>
      </c>
      <c r="D305" t="inlineStr">
        <is>
          <t>ORIG_BAL 37,951 - 49,151</t>
        </is>
      </c>
      <c r="E305" t="inlineStr">
        <is>
          <t>ASSET_CLASS 1</t>
        </is>
      </c>
      <c r="F305" t="inlineStr">
        <is>
          <t>Y</t>
        </is>
      </c>
      <c r="G305" t="n">
        <v>177</v>
      </c>
      <c r="H305" t="n">
        <v>1.803769399799352</v>
      </c>
      <c r="J305" t="n">
        <v>84</v>
      </c>
      <c r="K305">
        <f>'_pockets'!$AI$1159</f>
        <v/>
      </c>
      <c r="L305">
        <f>'_pockets'!$AJ$1159</f>
        <v/>
      </c>
      <c r="M305">
        <f>IF(AND($A305='Pockets'!$D$17,$B305='Pockets'!$C$17,OR('Pockets'!$E$17="All",AND('Pockets'!$E$17="Worse and material",$K305="Yes",$L305="Yes"),AND('Pockets'!$E$17="Worse or not sure",OR($K305="Yes",$K305="Not sure")))),1,0)</f>
        <v/>
      </c>
      <c r="N305">
        <f>$N304+$M305</f>
        <v/>
      </c>
      <c r="O305" t="inlineStr">
        <is>
          <t>three-way</t>
        </is>
      </c>
      <c r="P305" t="inlineStr">
        <is>
          <t>outcome_loans</t>
        </is>
      </c>
    </row>
    <row r="306">
      <c r="A306" t="inlineStr">
        <is>
          <t>Split by SYS_FLAG</t>
        </is>
      </c>
      <c r="B306" t="inlineStr">
        <is>
          <t>Bad dollars</t>
        </is>
      </c>
      <c r="C306" t="n">
        <v>540</v>
      </c>
      <c r="D306" t="inlineStr">
        <is>
          <t>FICO 496 - 653</t>
        </is>
      </c>
      <c r="E306" t="inlineStr">
        <is>
          <t>Broker</t>
        </is>
      </c>
      <c r="F306" t="inlineStr">
        <is>
          <t>Y</t>
        </is>
      </c>
      <c r="G306" t="n">
        <v>265</v>
      </c>
      <c r="H306" t="n">
        <v>1.731069331063485</v>
      </c>
      <c r="J306" t="n">
        <v>1</v>
      </c>
      <c r="K306">
        <f>'_pockets'!$AI$540</f>
        <v/>
      </c>
      <c r="L306">
        <f>'_pockets'!$AJ$540</f>
        <v/>
      </c>
      <c r="M306">
        <f>IF(AND($A306='Pockets'!$D$17,$B306='Pockets'!$C$17,OR('Pockets'!$E$17="All",AND('Pockets'!$E$17="Worse and material",$K306="Yes",$L306="Yes"),AND('Pockets'!$E$17="Worse or not sure",OR($K306="Yes",$K306="Not sure")))),1,0)</f>
        <v/>
      </c>
      <c r="N306">
        <f>$N305+$M306</f>
        <v/>
      </c>
      <c r="O306" t="inlineStr">
        <is>
          <t>three-way</t>
        </is>
      </c>
      <c r="P306" t="inlineStr">
        <is>
          <t>outcome_booked</t>
        </is>
      </c>
    </row>
    <row r="307">
      <c r="A307" t="inlineStr">
        <is>
          <t>Split by SYS_FLAG</t>
        </is>
      </c>
      <c r="B307" t="inlineStr">
        <is>
          <t>Bad dollars</t>
        </is>
      </c>
      <c r="C307" t="n">
        <v>785</v>
      </c>
      <c r="D307" t="inlineStr">
        <is>
          <t>FICO 496 - 653</t>
        </is>
      </c>
      <c r="E307" t="inlineStr">
        <is>
          <t>ASSET_CLASS 4</t>
        </is>
      </c>
      <c r="F307" t="inlineStr">
        <is>
          <t>Y</t>
        </is>
      </c>
      <c r="G307" t="n">
        <v>189</v>
      </c>
      <c r="H307" t="n">
        <v>1.878721832492019</v>
      </c>
      <c r="J307" t="n">
        <v>2</v>
      </c>
      <c r="K307">
        <f>'_pockets'!$AI$785</f>
        <v/>
      </c>
      <c r="L307">
        <f>'_pockets'!$AJ$785</f>
        <v/>
      </c>
      <c r="M307">
        <f>IF(AND($A307='Pockets'!$D$17,$B307='Pockets'!$C$17,OR('Pockets'!$E$17="All",AND('Pockets'!$E$17="Worse and material",$K307="Yes",$L307="Yes"),AND('Pockets'!$E$17="Worse or not sure",OR($K307="Yes",$K307="Not sure")))),1,0)</f>
        <v/>
      </c>
      <c r="N307">
        <f>$N306+$M307</f>
        <v/>
      </c>
      <c r="O307" t="inlineStr">
        <is>
          <t>three-way</t>
        </is>
      </c>
      <c r="P307" t="inlineStr">
        <is>
          <t>outcome_booked</t>
        </is>
      </c>
    </row>
    <row r="308">
      <c r="A308" t="inlineStr">
        <is>
          <t>Split by SYS_FLAG</t>
        </is>
      </c>
      <c r="B308" t="inlineStr">
        <is>
          <t>Bad dollars</t>
        </is>
      </c>
      <c r="C308" t="n">
        <v>1150</v>
      </c>
      <c r="D308" t="inlineStr">
        <is>
          <t>ORIG_BAL 37,951 - 49,151</t>
        </is>
      </c>
      <c r="E308" t="inlineStr">
        <is>
          <t>ASSET_CLASS 4</t>
        </is>
      </c>
      <c r="F308" t="inlineStr">
        <is>
          <t>Y</t>
        </is>
      </c>
      <c r="G308" t="n">
        <v>189</v>
      </c>
      <c r="H308" t="n">
        <v>1.878721832492019</v>
      </c>
      <c r="J308" t="n">
        <v>3</v>
      </c>
      <c r="K308">
        <f>'_pockets'!$AI$1150</f>
        <v/>
      </c>
      <c r="L308">
        <f>'_pockets'!$AJ$1150</f>
        <v/>
      </c>
      <c r="M308">
        <f>IF(AND($A308='Pockets'!$D$17,$B308='Pockets'!$C$17,OR('Pockets'!$E$17="All",AND('Pockets'!$E$17="Worse and material",$K308="Yes",$L308="Yes"),AND('Pockets'!$E$17="Worse or not sure",OR($K308="Yes",$K308="Not sure")))),1,0)</f>
        <v/>
      </c>
      <c r="N308">
        <f>$N307+$M308</f>
        <v/>
      </c>
      <c r="O308" t="inlineStr">
        <is>
          <t>three-way</t>
        </is>
      </c>
      <c r="P308" t="inlineStr">
        <is>
          <t>outcome_booked</t>
        </is>
      </c>
    </row>
    <row r="309">
      <c r="A309" t="inlineStr">
        <is>
          <t>Split by SYS_FLAG</t>
        </is>
      </c>
      <c r="B309" t="inlineStr">
        <is>
          <t>Bad dollars</t>
        </is>
      </c>
      <c r="C309" t="n">
        <v>970</v>
      </c>
      <c r="D309" t="inlineStr">
        <is>
          <t>ORIG_BAL 37,951 - 49,151</t>
        </is>
      </c>
      <c r="E309" t="inlineStr">
        <is>
          <t>Broker</t>
        </is>
      </c>
      <c r="F309" t="inlineStr">
        <is>
          <t>Y</t>
        </is>
      </c>
      <c r="G309" t="n">
        <v>249</v>
      </c>
      <c r="H309" t="n">
        <v>1.756157756901132</v>
      </c>
      <c r="J309" t="n">
        <v>4</v>
      </c>
      <c r="K309">
        <f>'_pockets'!$AI$970</f>
        <v/>
      </c>
      <c r="L309">
        <f>'_pockets'!$AJ$970</f>
        <v/>
      </c>
      <c r="M309">
        <f>IF(AND($A309='Pockets'!$D$17,$B309='Pockets'!$C$17,OR('Pockets'!$E$17="All",AND('Pockets'!$E$17="Worse and material",$K309="Yes",$L309="Yes"),AND('Pockets'!$E$17="Worse or not sure",OR($K309="Yes",$K309="Not sure")))),1,0)</f>
        <v/>
      </c>
      <c r="N309">
        <f>$N308+$M309</f>
        <v/>
      </c>
      <c r="O309" t="inlineStr">
        <is>
          <t>three-way</t>
        </is>
      </c>
      <c r="P309" t="inlineStr">
        <is>
          <t>outcome_booked</t>
        </is>
      </c>
    </row>
    <row r="310">
      <c r="A310" t="inlineStr">
        <is>
          <t>Split by SYS_FLAG</t>
        </is>
      </c>
      <c r="B310" t="inlineStr">
        <is>
          <t>Bad dollars</t>
        </is>
      </c>
      <c r="C310" t="n">
        <v>975</v>
      </c>
      <c r="D310" t="inlineStr">
        <is>
          <t>ORIG_BAL 37,951 - 49,151</t>
        </is>
      </c>
      <c r="E310" t="inlineStr">
        <is>
          <t>Online</t>
        </is>
      </c>
      <c r="F310" t="inlineStr">
        <is>
          <t>Y</t>
        </is>
      </c>
      <c r="G310" t="n">
        <v>254</v>
      </c>
      <c r="H310" t="n">
        <v>1.748050825405188</v>
      </c>
      <c r="J310" t="n">
        <v>5</v>
      </c>
      <c r="K310">
        <f>'_pockets'!$AI$975</f>
        <v/>
      </c>
      <c r="L310">
        <f>'_pockets'!$AJ$975</f>
        <v/>
      </c>
      <c r="M310">
        <f>IF(AND($A310='Pockets'!$D$17,$B310='Pockets'!$C$17,OR('Pockets'!$E$17="All",AND('Pockets'!$E$17="Worse and material",$K310="Yes",$L310="Yes"),AND('Pockets'!$E$17="Worse or not sure",OR($K310="Yes",$K310="Not sure")))),1,0)</f>
        <v/>
      </c>
      <c r="N310">
        <f>$N309+$M310</f>
        <v/>
      </c>
      <c r="O310" t="inlineStr">
        <is>
          <t>three-way</t>
        </is>
      </c>
      <c r="P310" t="inlineStr">
        <is>
          <t>outcome_booked</t>
        </is>
      </c>
    </row>
    <row r="311">
      <c r="A311" t="inlineStr">
        <is>
          <t>Split by SYS_FLAG</t>
        </is>
      </c>
      <c r="B311" t="inlineStr">
        <is>
          <t>Bad dollars</t>
        </is>
      </c>
      <c r="C311" t="n">
        <v>510</v>
      </c>
      <c r="D311" t="inlineStr">
        <is>
          <t>FICO 712 - 745</t>
        </is>
      </c>
      <c r="E311" t="inlineStr">
        <is>
          <t>Online</t>
        </is>
      </c>
      <c r="F311" t="inlineStr">
        <is>
          <t>Y</t>
        </is>
      </c>
      <c r="G311" t="n">
        <v>278</v>
      </c>
      <c r="H311" t="n">
        <v>1.712376281476606</v>
      </c>
      <c r="J311" t="n">
        <v>6</v>
      </c>
      <c r="K311">
        <f>'_pockets'!$AI$510</f>
        <v/>
      </c>
      <c r="L311">
        <f>'_pockets'!$AJ$510</f>
        <v/>
      </c>
      <c r="M311">
        <f>IF(AND($A311='Pockets'!$D$17,$B311='Pockets'!$C$17,OR('Pockets'!$E$17="All",AND('Pockets'!$E$17="Worse and material",$K311="Yes",$L311="Yes"),AND('Pockets'!$E$17="Worse or not sure",OR($K311="Yes",$K311="Not sure")))),1,0)</f>
        <v/>
      </c>
      <c r="N311">
        <f>$N310+$M311</f>
        <v/>
      </c>
      <c r="O311" t="inlineStr">
        <is>
          <t>three-way</t>
        </is>
      </c>
      <c r="P311" t="inlineStr">
        <is>
          <t>outcome_booked</t>
        </is>
      </c>
    </row>
    <row r="312">
      <c r="A312" t="inlineStr">
        <is>
          <t>Split by SYS_FLAG</t>
        </is>
      </c>
      <c r="B312" t="inlineStr">
        <is>
          <t>Bad dollars</t>
        </is>
      </c>
      <c r="C312" t="n">
        <v>1155</v>
      </c>
      <c r="D312" t="inlineStr">
        <is>
          <t>ORIG_BAL 49,152 - 59,984</t>
        </is>
      </c>
      <c r="E312" t="inlineStr">
        <is>
          <t>ASSET_CLASS 4</t>
        </is>
      </c>
      <c r="F312" t="inlineStr">
        <is>
          <t>Y</t>
        </is>
      </c>
      <c r="G312" t="n">
        <v>171</v>
      </c>
      <c r="H312" t="n">
        <v>1.92830024767384</v>
      </c>
      <c r="J312" t="n">
        <v>7</v>
      </c>
      <c r="K312">
        <f>'_pockets'!$AI$1155</f>
        <v/>
      </c>
      <c r="L312">
        <f>'_pockets'!$AJ$1155</f>
        <v/>
      </c>
      <c r="M312">
        <f>IF(AND($A312='Pockets'!$D$17,$B312='Pockets'!$C$17,OR('Pockets'!$E$17="All",AND('Pockets'!$E$17="Worse and material",$K312="Yes",$L312="Yes"),AND('Pockets'!$E$17="Worse or not sure",OR($K312="Yes",$K312="Not sure")))),1,0)</f>
        <v/>
      </c>
      <c r="N312">
        <f>$N311+$M312</f>
        <v/>
      </c>
      <c r="O312" t="inlineStr">
        <is>
          <t>three-way</t>
        </is>
      </c>
      <c r="P312" t="inlineStr">
        <is>
          <t>outcome_booked</t>
        </is>
      </c>
    </row>
    <row r="313">
      <c r="A313" t="inlineStr">
        <is>
          <t>Split by SYS_FLAG</t>
        </is>
      </c>
      <c r="B313" t="inlineStr">
        <is>
          <t>Bad dollars</t>
        </is>
      </c>
      <c r="C313" t="n">
        <v>475</v>
      </c>
      <c r="D313" t="inlineStr">
        <is>
          <t>FICO 686 - 711</t>
        </is>
      </c>
      <c r="E313" t="inlineStr">
        <is>
          <t>Online</t>
        </is>
      </c>
      <c r="F313" t="inlineStr">
        <is>
          <t>Y</t>
        </is>
      </c>
      <c r="G313" t="n">
        <v>249</v>
      </c>
      <c r="H313" t="n">
        <v>1.756157756901132</v>
      </c>
      <c r="J313" t="n">
        <v>8</v>
      </c>
      <c r="K313">
        <f>'_pockets'!$AI$475</f>
        <v/>
      </c>
      <c r="L313">
        <f>'_pockets'!$AJ$475</f>
        <v/>
      </c>
      <c r="M313">
        <f>IF(AND($A313='Pockets'!$D$17,$B313='Pockets'!$C$17,OR('Pockets'!$E$17="All",AND('Pockets'!$E$17="Worse and material",$K313="Yes",$L313="Yes"),AND('Pockets'!$E$17="Worse or not sure",OR($K313="Yes",$K313="Not sure")))),1,0)</f>
        <v/>
      </c>
      <c r="N313">
        <f>$N312+$M313</f>
        <v/>
      </c>
      <c r="O313" t="inlineStr">
        <is>
          <t>three-way</t>
        </is>
      </c>
      <c r="P313" t="inlineStr">
        <is>
          <t>outcome_booked</t>
        </is>
      </c>
    </row>
    <row r="314">
      <c r="A314" t="inlineStr">
        <is>
          <t>Split by SYS_FLAG</t>
        </is>
      </c>
      <c r="B314" t="inlineStr">
        <is>
          <t>Bad dollars</t>
        </is>
      </c>
      <c r="C314" t="n">
        <v>620</v>
      </c>
      <c r="D314" t="inlineStr">
        <is>
          <t>FICO 712 - 745</t>
        </is>
      </c>
      <c r="E314" t="inlineStr">
        <is>
          <t>ASSET_CLASS 4</t>
        </is>
      </c>
      <c r="F314" t="inlineStr">
        <is>
          <t>Y</t>
        </is>
      </c>
      <c r="G314" t="n">
        <v>207</v>
      </c>
      <c r="H314" t="n">
        <v>1.836098601592007</v>
      </c>
      <c r="J314" t="n">
        <v>9</v>
      </c>
      <c r="K314">
        <f>'_pockets'!$AI$620</f>
        <v/>
      </c>
      <c r="L314">
        <f>'_pockets'!$AJ$620</f>
        <v/>
      </c>
      <c r="M314">
        <f>IF(AND($A314='Pockets'!$D$17,$B314='Pockets'!$C$17,OR('Pockets'!$E$17="All",AND('Pockets'!$E$17="Worse and material",$K314="Yes",$L314="Yes"),AND('Pockets'!$E$17="Worse or not sure",OR($K314="Yes",$K314="Not sure")))),1,0)</f>
        <v/>
      </c>
      <c r="N314">
        <f>$N313+$M314</f>
        <v/>
      </c>
      <c r="O314" t="inlineStr">
        <is>
          <t>three-way</t>
        </is>
      </c>
      <c r="P314" t="inlineStr">
        <is>
          <t>outcome_booked</t>
        </is>
      </c>
    </row>
    <row r="315">
      <c r="A315" t="inlineStr">
        <is>
          <t>Split by SYS_FLAG</t>
        </is>
      </c>
      <c r="B315" t="inlineStr">
        <is>
          <t>Bad dollars</t>
        </is>
      </c>
      <c r="C315" t="n">
        <v>805</v>
      </c>
      <c r="D315" t="inlineStr">
        <is>
          <t>FICO 654 - 685</t>
        </is>
      </c>
      <c r="E315" t="inlineStr">
        <is>
          <t>ASSET_CLASS 4</t>
        </is>
      </c>
      <c r="F315" t="inlineStr">
        <is>
          <t>Y</t>
        </is>
      </c>
      <c r="G315" t="n">
        <v>191</v>
      </c>
      <c r="H315" t="n">
        <v>1.873673686041768</v>
      </c>
      <c r="J315" t="n">
        <v>10</v>
      </c>
      <c r="K315">
        <f>'_pockets'!$AI$805</f>
        <v/>
      </c>
      <c r="L315">
        <f>'_pockets'!$AJ$805</f>
        <v/>
      </c>
      <c r="M315">
        <f>IF(AND($A315='Pockets'!$D$17,$B315='Pockets'!$C$17,OR('Pockets'!$E$17="All",AND('Pockets'!$E$17="Worse and material",$K315="Yes",$L315="Yes"),AND('Pockets'!$E$17="Worse or not sure",OR($K315="Yes",$K315="Not sure")))),1,0)</f>
        <v/>
      </c>
      <c r="N315">
        <f>$N314+$M315</f>
        <v/>
      </c>
      <c r="O315" t="inlineStr">
        <is>
          <t>three-way</t>
        </is>
      </c>
      <c r="P315" t="inlineStr">
        <is>
          <t>outcome_booked</t>
        </is>
      </c>
    </row>
    <row r="316">
      <c r="A316" t="inlineStr">
        <is>
          <t>Split by SYS_FLAG</t>
        </is>
      </c>
      <c r="B316" t="inlineStr">
        <is>
          <t>Bad dollars</t>
        </is>
      </c>
      <c r="C316" t="n">
        <v>560</v>
      </c>
      <c r="D316" t="inlineStr">
        <is>
          <t>FICO 654 - 685</t>
        </is>
      </c>
      <c r="E316" t="inlineStr">
        <is>
          <t>Online</t>
        </is>
      </c>
      <c r="F316" t="inlineStr">
        <is>
          <t>Y</t>
        </is>
      </c>
      <c r="G316" t="n">
        <v>236</v>
      </c>
      <c r="H316" t="n">
        <v>1.778490395996388</v>
      </c>
      <c r="J316" t="n">
        <v>11</v>
      </c>
      <c r="K316">
        <f>'_pockets'!$AI$560</f>
        <v/>
      </c>
      <c r="L316">
        <f>'_pockets'!$AJ$560</f>
        <v/>
      </c>
      <c r="M316">
        <f>IF(AND($A316='Pockets'!$D$17,$B316='Pockets'!$C$17,OR('Pockets'!$E$17="All",AND('Pockets'!$E$17="Worse and material",$K316="Yes",$L316="Yes"),AND('Pockets'!$E$17="Worse or not sure",OR($K316="Yes",$K316="Not sure")))),1,0)</f>
        <v/>
      </c>
      <c r="N316">
        <f>$N315+$M316</f>
        <v/>
      </c>
      <c r="O316" t="inlineStr">
        <is>
          <t>three-way</t>
        </is>
      </c>
      <c r="P316" t="inlineStr">
        <is>
          <t>outcome_booked</t>
        </is>
      </c>
    </row>
    <row r="317">
      <c r="A317" t="inlineStr">
        <is>
          <t>Split by SYS_FLAG</t>
        </is>
      </c>
      <c r="B317" t="inlineStr">
        <is>
          <t>Bad dollars</t>
        </is>
      </c>
      <c r="C317" t="n">
        <v>1020</v>
      </c>
      <c r="D317" t="inlineStr">
        <is>
          <t>ORIG_BAL 26,324 - 37,950</t>
        </is>
      </c>
      <c r="E317" t="inlineStr">
        <is>
          <t>ASSET_CLASS 4</t>
        </is>
      </c>
      <c r="F317" t="inlineStr">
        <is>
          <t>Y</t>
        </is>
      </c>
      <c r="G317" t="n">
        <v>194</v>
      </c>
      <c r="H317" t="n">
        <v>1.866256320082394</v>
      </c>
      <c r="J317" t="n">
        <v>12</v>
      </c>
      <c r="K317">
        <f>'_pockets'!$AI$1020</f>
        <v/>
      </c>
      <c r="L317">
        <f>'_pockets'!$AJ$1020</f>
        <v/>
      </c>
      <c r="M317">
        <f>IF(AND($A317='Pockets'!$D$17,$B317='Pockets'!$C$17,OR('Pockets'!$E$17="All",AND('Pockets'!$E$17="Worse and material",$K317="Yes",$L317="Yes"),AND('Pockets'!$E$17="Worse or not sure",OR($K317="Yes",$K317="Not sure")))),1,0)</f>
        <v/>
      </c>
      <c r="N317">
        <f>$N316+$M317</f>
        <v/>
      </c>
      <c r="O317" t="inlineStr">
        <is>
          <t>three-way</t>
        </is>
      </c>
      <c r="P317" t="inlineStr">
        <is>
          <t>outcome_booked</t>
        </is>
      </c>
    </row>
    <row r="318">
      <c r="A318" t="inlineStr">
        <is>
          <t>Split by SYS_FLAG</t>
        </is>
      </c>
      <c r="B318" t="inlineStr">
        <is>
          <t>Bad dollars</t>
        </is>
      </c>
      <c r="C318" t="n">
        <v>955</v>
      </c>
      <c r="D318" t="inlineStr">
        <is>
          <t>ORIG_BAL 49,152 - 59,984</t>
        </is>
      </c>
      <c r="E318" t="inlineStr">
        <is>
          <t>Broker</t>
        </is>
      </c>
      <c r="F318" t="inlineStr">
        <is>
          <t>Y</t>
        </is>
      </c>
      <c r="G318" t="n">
        <v>242</v>
      </c>
      <c r="H318" t="n">
        <v>1.767948202126342</v>
      </c>
      <c r="J318" t="n">
        <v>13</v>
      </c>
      <c r="K318">
        <f>'_pockets'!$AI$955</f>
        <v/>
      </c>
      <c r="L318">
        <f>'_pockets'!$AJ$955</f>
        <v/>
      </c>
      <c r="M318">
        <f>IF(AND($A318='Pockets'!$D$17,$B318='Pockets'!$C$17,OR('Pockets'!$E$17="All",AND('Pockets'!$E$17="Worse and material",$K318="Yes",$L318="Yes"),AND('Pockets'!$E$17="Worse or not sure",OR($K318="Yes",$K318="Not sure")))),1,0)</f>
        <v/>
      </c>
      <c r="N318">
        <f>$N317+$M318</f>
        <v/>
      </c>
      <c r="O318" t="inlineStr">
        <is>
          <t>three-way</t>
        </is>
      </c>
      <c r="P318" t="inlineStr">
        <is>
          <t>outcome_booked</t>
        </is>
      </c>
    </row>
    <row r="319">
      <c r="A319" t="inlineStr">
        <is>
          <t>Split by SYS_FLAG</t>
        </is>
      </c>
      <c r="B319" t="inlineStr">
        <is>
          <t>Bad dollars</t>
        </is>
      </c>
      <c r="C319" t="n">
        <v>900</v>
      </c>
      <c r="D319" t="inlineStr">
        <is>
          <t>ORIG_BAL 49,152 - 59,984</t>
        </is>
      </c>
      <c r="E319" t="inlineStr">
        <is>
          <t>Online</t>
        </is>
      </c>
      <c r="F319" t="inlineStr">
        <is>
          <t>Y</t>
        </is>
      </c>
      <c r="G319" t="n">
        <v>274</v>
      </c>
      <c r="H319" t="n">
        <v>1.717979259067084</v>
      </c>
      <c r="J319" t="n">
        <v>14</v>
      </c>
      <c r="K319">
        <f>'_pockets'!$AI$900</f>
        <v/>
      </c>
      <c r="L319">
        <f>'_pockets'!$AJ$900</f>
        <v/>
      </c>
      <c r="M319">
        <f>IF(AND($A319='Pockets'!$D$17,$B319='Pockets'!$C$17,OR('Pockets'!$E$17="All",AND('Pockets'!$E$17="Worse and material",$K319="Yes",$L319="Yes"),AND('Pockets'!$E$17="Worse or not sure",OR($K319="Yes",$K319="Not sure")))),1,0)</f>
        <v/>
      </c>
      <c r="N319">
        <f>$N318+$M319</f>
        <v/>
      </c>
      <c r="O319" t="inlineStr">
        <is>
          <t>three-way</t>
        </is>
      </c>
      <c r="P319" t="inlineStr">
        <is>
          <t>outcome_booked</t>
        </is>
      </c>
    </row>
    <row r="320">
      <c r="A320" t="inlineStr">
        <is>
          <t>Split by SYS_FLAG</t>
        </is>
      </c>
      <c r="B320" t="inlineStr">
        <is>
          <t>Bad dollars</t>
        </is>
      </c>
      <c r="C320" t="n">
        <v>1055</v>
      </c>
      <c r="D320" t="inlineStr">
        <is>
          <t>ORIG_BAL 49,152 - 59,984</t>
        </is>
      </c>
      <c r="E320" t="inlineStr">
        <is>
          <t>ASSET_CLASS 1</t>
        </is>
      </c>
      <c r="F320" t="inlineStr">
        <is>
          <t>Y</t>
        </is>
      </c>
      <c r="G320" t="n">
        <v>195</v>
      </c>
      <c r="H320" t="n">
        <v>1.863824055426152</v>
      </c>
      <c r="J320" t="n">
        <v>15</v>
      </c>
      <c r="K320">
        <f>'_pockets'!$AI$1055</f>
        <v/>
      </c>
      <c r="L320">
        <f>'_pockets'!$AJ$1055</f>
        <v/>
      </c>
      <c r="M320">
        <f>IF(AND($A320='Pockets'!$D$17,$B320='Pockets'!$C$17,OR('Pockets'!$E$17="All",AND('Pockets'!$E$17="Worse and material",$K320="Yes",$L320="Yes"),AND('Pockets'!$E$17="Worse or not sure",OR($K320="Yes",$K320="Not sure")))),1,0)</f>
        <v/>
      </c>
      <c r="N320">
        <f>$N319+$M320</f>
        <v/>
      </c>
      <c r="O320" t="inlineStr">
        <is>
          <t>three-way</t>
        </is>
      </c>
      <c r="P320" t="inlineStr">
        <is>
          <t>outcome_booked</t>
        </is>
      </c>
    </row>
    <row r="321">
      <c r="A321" t="inlineStr">
        <is>
          <t>Split by SYS_FLAG</t>
        </is>
      </c>
      <c r="B321" t="inlineStr">
        <is>
          <t>Bad dollars</t>
        </is>
      </c>
      <c r="C321" t="n">
        <v>1140</v>
      </c>
      <c r="D321" t="inlineStr">
        <is>
          <t>ORIG_BAL 37,951 - 49,151</t>
        </is>
      </c>
      <c r="E321" t="inlineStr">
        <is>
          <t>ASSET_CLASS 3</t>
        </is>
      </c>
      <c r="F321" t="inlineStr">
        <is>
          <t>Y</t>
        </is>
      </c>
      <c r="G321" t="n">
        <v>195</v>
      </c>
      <c r="H321" t="n">
        <v>1.863824055426152</v>
      </c>
      <c r="J321" t="n">
        <v>16</v>
      </c>
      <c r="K321">
        <f>'_pockets'!$AI$1140</f>
        <v/>
      </c>
      <c r="L321">
        <f>'_pockets'!$AJ$1140</f>
        <v/>
      </c>
      <c r="M321">
        <f>IF(AND($A321='Pockets'!$D$17,$B321='Pockets'!$C$17,OR('Pockets'!$E$17="All",AND('Pockets'!$E$17="Worse and material",$K321="Yes",$L321="Yes"),AND('Pockets'!$E$17="Worse or not sure",OR($K321="Yes",$K321="Not sure")))),1,0)</f>
        <v/>
      </c>
      <c r="N321">
        <f>$N320+$M321</f>
        <v/>
      </c>
      <c r="O321" t="inlineStr">
        <is>
          <t>three-way</t>
        </is>
      </c>
      <c r="P321" t="inlineStr">
        <is>
          <t>outcome_booked</t>
        </is>
      </c>
    </row>
    <row r="322">
      <c r="A322" t="inlineStr">
        <is>
          <t>Split by SYS_FLAG</t>
        </is>
      </c>
      <c r="B322" t="inlineStr">
        <is>
          <t>Bad dollars</t>
        </is>
      </c>
      <c r="C322" t="n">
        <v>440</v>
      </c>
      <c r="D322" t="inlineStr">
        <is>
          <t>FICO 496 - 653</t>
        </is>
      </c>
      <c r="E322" t="inlineStr">
        <is>
          <t>Broker</t>
        </is>
      </c>
      <c r="F322" t="inlineStr">
        <is>
          <t>N</t>
        </is>
      </c>
      <c r="G322" t="n">
        <v>258</v>
      </c>
      <c r="H322" t="n">
        <v>1.741744008205755</v>
      </c>
      <c r="J322" t="n">
        <v>17</v>
      </c>
      <c r="K322">
        <f>'_pockets'!$AI$440</f>
        <v/>
      </c>
      <c r="L322">
        <f>'_pockets'!$AJ$440</f>
        <v/>
      </c>
      <c r="M322">
        <f>IF(AND($A322='Pockets'!$D$17,$B322='Pockets'!$C$17,OR('Pockets'!$E$17="All",AND('Pockets'!$E$17="Worse and material",$K322="Yes",$L322="Yes"),AND('Pockets'!$E$17="Worse or not sure",OR($K322="Yes",$K322="Not sure")))),1,0)</f>
        <v/>
      </c>
      <c r="N322">
        <f>$N321+$M322</f>
        <v/>
      </c>
      <c r="O322" t="inlineStr">
        <is>
          <t>three-way</t>
        </is>
      </c>
      <c r="P322" t="inlineStr">
        <is>
          <t>outcome_booked</t>
        </is>
      </c>
    </row>
    <row r="323">
      <c r="A323" t="inlineStr">
        <is>
          <t>Split by SYS_FLAG</t>
        </is>
      </c>
      <c r="B323" t="inlineStr">
        <is>
          <t>Bad dollars</t>
        </is>
      </c>
      <c r="C323" t="n">
        <v>485</v>
      </c>
      <c r="D323" t="inlineStr">
        <is>
          <t>FICO 654 - 685</t>
        </is>
      </c>
      <c r="E323" t="inlineStr">
        <is>
          <t>Branch</t>
        </is>
      </c>
      <c r="F323" t="inlineStr">
        <is>
          <t>Y</t>
        </is>
      </c>
      <c r="G323" t="n">
        <v>254</v>
      </c>
      <c r="H323" t="n">
        <v>1.748050825405188</v>
      </c>
      <c r="J323" t="n">
        <v>18</v>
      </c>
      <c r="K323">
        <f>'_pockets'!$AI$485</f>
        <v/>
      </c>
      <c r="L323">
        <f>'_pockets'!$AJ$485</f>
        <v/>
      </c>
      <c r="M323">
        <f>IF(AND($A323='Pockets'!$D$17,$B323='Pockets'!$C$17,OR('Pockets'!$E$17="All",AND('Pockets'!$E$17="Worse and material",$K323="Yes",$L323="Yes"),AND('Pockets'!$E$17="Worse or not sure",OR($K323="Yes",$K323="Not sure")))),1,0)</f>
        <v/>
      </c>
      <c r="N323">
        <f>$N322+$M323</f>
        <v/>
      </c>
      <c r="O323" t="inlineStr">
        <is>
          <t>three-way</t>
        </is>
      </c>
      <c r="P323" t="inlineStr">
        <is>
          <t>outcome_booked</t>
        </is>
      </c>
    </row>
    <row r="324">
      <c r="A324" t="inlineStr">
        <is>
          <t>Split by SYS_FLAG</t>
        </is>
      </c>
      <c r="B324" t="inlineStr">
        <is>
          <t>Bad dollars</t>
        </is>
      </c>
      <c r="C324" t="n">
        <v>760</v>
      </c>
      <c r="D324" t="inlineStr">
        <is>
          <t>FICO 496 - 653</t>
        </is>
      </c>
      <c r="E324" t="inlineStr">
        <is>
          <t>ASSET_CLASS 1</t>
        </is>
      </c>
      <c r="F324" t="inlineStr">
        <is>
          <t>Y</t>
        </is>
      </c>
      <c r="G324" t="n">
        <v>186</v>
      </c>
      <c r="H324" t="n">
        <v>1.886454664827914</v>
      </c>
      <c r="J324" t="n">
        <v>19</v>
      </c>
      <c r="K324">
        <f>'_pockets'!$AI$760</f>
        <v/>
      </c>
      <c r="L324">
        <f>'_pockets'!$AJ$760</f>
        <v/>
      </c>
      <c r="M324">
        <f>IF(AND($A324='Pockets'!$D$17,$B324='Pockets'!$C$17,OR('Pockets'!$E$17="All",AND('Pockets'!$E$17="Worse and material",$K324="Yes",$L324="Yes"),AND('Pockets'!$E$17="Worse or not sure",OR($K324="Yes",$K324="Not sure")))),1,0)</f>
        <v/>
      </c>
      <c r="N324">
        <f>$N323+$M324</f>
        <v/>
      </c>
      <c r="O324" t="inlineStr">
        <is>
          <t>three-way</t>
        </is>
      </c>
      <c r="P324" t="inlineStr">
        <is>
          <t>outcome_booked</t>
        </is>
      </c>
    </row>
    <row r="325">
      <c r="A325" t="inlineStr">
        <is>
          <t>Split by SYS_FLAG</t>
        </is>
      </c>
      <c r="B325" t="inlineStr">
        <is>
          <t>Bad dollars</t>
        </is>
      </c>
      <c r="C325" t="n">
        <v>905</v>
      </c>
      <c r="D325" t="inlineStr">
        <is>
          <t>ORIG_BAL 26,324 - 37,950</t>
        </is>
      </c>
      <c r="E325" t="inlineStr">
        <is>
          <t>Online</t>
        </is>
      </c>
      <c r="F325" t="inlineStr">
        <is>
          <t>Y</t>
        </is>
      </c>
      <c r="G325" t="n">
        <v>231</v>
      </c>
      <c r="H325" t="n">
        <v>1.787603677458908</v>
      </c>
      <c r="J325" t="n">
        <v>20</v>
      </c>
      <c r="K325">
        <f>'_pockets'!$AI$905</f>
        <v/>
      </c>
      <c r="L325">
        <f>'_pockets'!$AJ$905</f>
        <v/>
      </c>
      <c r="M325">
        <f>IF(AND($A325='Pockets'!$D$17,$B325='Pockets'!$C$17,OR('Pockets'!$E$17="All",AND('Pockets'!$E$17="Worse and material",$K325="Yes",$L325="Yes"),AND('Pockets'!$E$17="Worse or not sure",OR($K325="Yes",$K325="Not sure")))),1,0)</f>
        <v/>
      </c>
      <c r="N325">
        <f>$N324+$M325</f>
        <v/>
      </c>
      <c r="O325" t="inlineStr">
        <is>
          <t>three-way</t>
        </is>
      </c>
      <c r="P325" t="inlineStr">
        <is>
          <t>outcome_booked</t>
        </is>
      </c>
    </row>
    <row r="326">
      <c r="A326" t="inlineStr">
        <is>
          <t>Split by SYS_FLAG</t>
        </is>
      </c>
      <c r="B326" t="inlineStr">
        <is>
          <t>Bad dollars</t>
        </is>
      </c>
      <c r="C326" t="n">
        <v>980</v>
      </c>
      <c r="D326" t="inlineStr">
        <is>
          <t>ORIG_BAL 15,449 - 26,323</t>
        </is>
      </c>
      <c r="E326" t="inlineStr">
        <is>
          <t>Broker</t>
        </is>
      </c>
      <c r="F326" t="inlineStr">
        <is>
          <t>Y</t>
        </is>
      </c>
      <c r="G326" t="n">
        <v>244</v>
      </c>
      <c r="H326" t="n">
        <v>1.764525179215748</v>
      </c>
      <c r="J326" t="n">
        <v>21</v>
      </c>
      <c r="K326">
        <f>'_pockets'!$AI$980</f>
        <v/>
      </c>
      <c r="L326">
        <f>'_pockets'!$AJ$980</f>
        <v/>
      </c>
      <c r="M326">
        <f>IF(AND($A326='Pockets'!$D$17,$B326='Pockets'!$C$17,OR('Pockets'!$E$17="All",AND('Pockets'!$E$17="Worse and material",$K326="Yes",$L326="Yes"),AND('Pockets'!$E$17="Worse or not sure",OR($K326="Yes",$K326="Not sure")))),1,0)</f>
        <v/>
      </c>
      <c r="N326">
        <f>$N325+$M326</f>
        <v/>
      </c>
      <c r="O326" t="inlineStr">
        <is>
          <t>three-way</t>
        </is>
      </c>
      <c r="P326" t="inlineStr">
        <is>
          <t>outcome_booked</t>
        </is>
      </c>
    </row>
    <row r="327">
      <c r="A327" t="inlineStr">
        <is>
          <t>Split by SYS_FLAG</t>
        </is>
      </c>
      <c r="B327" t="inlineStr">
        <is>
          <t>Bad dollars</t>
        </is>
      </c>
      <c r="C327" t="n">
        <v>925</v>
      </c>
      <c r="D327" t="inlineStr">
        <is>
          <t>ORIG_BAL 49,152 - 59,984</t>
        </is>
      </c>
      <c r="E327" t="inlineStr">
        <is>
          <t>Branch</t>
        </is>
      </c>
      <c r="F327" t="inlineStr">
        <is>
          <t>Y</t>
        </is>
      </c>
      <c r="G327" t="n">
        <v>226</v>
      </c>
      <c r="H327" t="n">
        <v>1.797033429832368</v>
      </c>
      <c r="J327" t="n">
        <v>22</v>
      </c>
      <c r="K327">
        <f>'_pockets'!$AI$925</f>
        <v/>
      </c>
      <c r="L327">
        <f>'_pockets'!$AJ$925</f>
        <v/>
      </c>
      <c r="M327">
        <f>IF(AND($A327='Pockets'!$D$17,$B327='Pockets'!$C$17,OR('Pockets'!$E$17="All",AND('Pockets'!$E$17="Worse and material",$K327="Yes",$L327="Yes"),AND('Pockets'!$E$17="Worse or not sure",OR($K327="Yes",$K327="Not sure")))),1,0)</f>
        <v/>
      </c>
      <c r="N327">
        <f>$N326+$M327</f>
        <v/>
      </c>
      <c r="O327" t="inlineStr">
        <is>
          <t>three-way</t>
        </is>
      </c>
      <c r="P327" t="inlineStr">
        <is>
          <t>outcome_booked</t>
        </is>
      </c>
    </row>
    <row r="328">
      <c r="A328" t="inlineStr">
        <is>
          <t>Split by SYS_FLAG</t>
        </is>
      </c>
      <c r="B328" t="inlineStr">
        <is>
          <t>Bad dollars</t>
        </is>
      </c>
      <c r="C328" t="n">
        <v>815</v>
      </c>
      <c r="D328" t="inlineStr">
        <is>
          <t>FICO 686 - 711</t>
        </is>
      </c>
      <c r="E328" t="inlineStr">
        <is>
          <t>ASSET_CLASS 3</t>
        </is>
      </c>
      <c r="F328" t="inlineStr">
        <is>
          <t>Y</t>
        </is>
      </c>
      <c r="G328" t="n">
        <v>196</v>
      </c>
      <c r="H328" t="n">
        <v>1.861411441103017</v>
      </c>
      <c r="J328" t="n">
        <v>23</v>
      </c>
      <c r="K328">
        <f>'_pockets'!$AI$815</f>
        <v/>
      </c>
      <c r="L328">
        <f>'_pockets'!$AJ$815</f>
        <v/>
      </c>
      <c r="M328">
        <f>IF(AND($A328='Pockets'!$D$17,$B328='Pockets'!$C$17,OR('Pockets'!$E$17="All",AND('Pockets'!$E$17="Worse and material",$K328="Yes",$L328="Yes"),AND('Pockets'!$E$17="Worse or not sure",OR($K328="Yes",$K328="Not sure")))),1,0)</f>
        <v/>
      </c>
      <c r="N328">
        <f>$N327+$M328</f>
        <v/>
      </c>
      <c r="O328" t="inlineStr">
        <is>
          <t>three-way</t>
        </is>
      </c>
      <c r="P328" t="inlineStr">
        <is>
          <t>outcome_booked</t>
        </is>
      </c>
    </row>
    <row r="329">
      <c r="A329" t="inlineStr">
        <is>
          <t>Split by SYS_FLAG</t>
        </is>
      </c>
      <c r="B329" t="inlineStr">
        <is>
          <t>Bad dollars</t>
        </is>
      </c>
      <c r="C329" t="n">
        <v>1125</v>
      </c>
      <c r="D329" t="inlineStr">
        <is>
          <t>ORIG_BAL 49,152 - 59,984</t>
        </is>
      </c>
      <c r="E329" t="inlineStr">
        <is>
          <t>ASSET_CLASS 2</t>
        </is>
      </c>
      <c r="F329" t="inlineStr">
        <is>
          <t>Y</t>
        </is>
      </c>
      <c r="G329" t="n">
        <v>197</v>
      </c>
      <c r="H329" t="n">
        <v>1.859018217468696</v>
      </c>
      <c r="J329" t="n">
        <v>24</v>
      </c>
      <c r="K329">
        <f>'_pockets'!$AI$1125</f>
        <v/>
      </c>
      <c r="L329">
        <f>'_pockets'!$AJ$1125</f>
        <v/>
      </c>
      <c r="M329">
        <f>IF(AND($A329='Pockets'!$D$17,$B329='Pockets'!$C$17,OR('Pockets'!$E$17="All",AND('Pockets'!$E$17="Worse and material",$K329="Yes",$L329="Yes"),AND('Pockets'!$E$17="Worse or not sure",OR($K329="Yes",$K329="Not sure")))),1,0)</f>
        <v/>
      </c>
      <c r="N329">
        <f>$N328+$M329</f>
        <v/>
      </c>
      <c r="O329" t="inlineStr">
        <is>
          <t>three-way</t>
        </is>
      </c>
      <c r="P329" t="inlineStr">
        <is>
          <t>outcome_booked</t>
        </is>
      </c>
    </row>
    <row r="330">
      <c r="A330" t="inlineStr">
        <is>
          <t>Split by SYS_FLAG</t>
        </is>
      </c>
      <c r="B330" t="inlineStr">
        <is>
          <t>Bad dollars</t>
        </is>
      </c>
      <c r="C330" t="n">
        <v>690</v>
      </c>
      <c r="D330" t="inlineStr">
        <is>
          <t>FICO 496 - 653</t>
        </is>
      </c>
      <c r="E330" t="inlineStr">
        <is>
          <t>ASSET_CLASS 3</t>
        </is>
      </c>
      <c r="F330" t="inlineStr">
        <is>
          <t>Y</t>
        </is>
      </c>
      <c r="G330" t="n">
        <v>166</v>
      </c>
      <c r="H330" t="n">
        <v>1.943567469394093</v>
      </c>
      <c r="J330" t="n">
        <v>25</v>
      </c>
      <c r="K330">
        <f>'_pockets'!$AI$690</f>
        <v/>
      </c>
      <c r="L330">
        <f>'_pockets'!$AJ$690</f>
        <v/>
      </c>
      <c r="M330">
        <f>IF(AND($A330='Pockets'!$D$17,$B330='Pockets'!$C$17,OR('Pockets'!$E$17="All",AND('Pockets'!$E$17="Worse and material",$K330="Yes",$L330="Yes"),AND('Pockets'!$E$17="Worse or not sure",OR($K330="Yes",$K330="Not sure")))),1,0)</f>
        <v/>
      </c>
      <c r="N330">
        <f>$N329+$M330</f>
        <v/>
      </c>
      <c r="O330" t="inlineStr">
        <is>
          <t>three-way</t>
        </is>
      </c>
      <c r="P330" t="inlineStr">
        <is>
          <t>outcome_booked</t>
        </is>
      </c>
    </row>
    <row r="331">
      <c r="A331" t="inlineStr">
        <is>
          <t>Split by SYS_FLAG</t>
        </is>
      </c>
      <c r="B331" t="inlineStr">
        <is>
          <t>Bad dollars</t>
        </is>
      </c>
      <c r="C331" t="n">
        <v>625</v>
      </c>
      <c r="D331" t="inlineStr">
        <is>
          <t>FICO 746 - 921</t>
        </is>
      </c>
      <c r="E331" t="inlineStr">
        <is>
          <t>ASSET_CLASS 2</t>
        </is>
      </c>
      <c r="F331" t="inlineStr">
        <is>
          <t>Y</t>
        </is>
      </c>
      <c r="G331" t="n">
        <v>180</v>
      </c>
      <c r="H331" t="n">
        <v>1.902529037069279</v>
      </c>
      <c r="J331" t="n">
        <v>26</v>
      </c>
      <c r="K331">
        <f>'_pockets'!$AI$625</f>
        <v/>
      </c>
      <c r="L331">
        <f>'_pockets'!$AJ$625</f>
        <v/>
      </c>
      <c r="M331">
        <f>IF(AND($A331='Pockets'!$D$17,$B331='Pockets'!$C$17,OR('Pockets'!$E$17="All",AND('Pockets'!$E$17="Worse and material",$K331="Yes",$L331="Yes"),AND('Pockets'!$E$17="Worse or not sure",OR($K331="Yes",$K331="Not sure")))),1,0)</f>
        <v/>
      </c>
      <c r="N331">
        <f>$N330+$M331</f>
        <v/>
      </c>
      <c r="O331" t="inlineStr">
        <is>
          <t>three-way</t>
        </is>
      </c>
      <c r="P331" t="inlineStr">
        <is>
          <t>outcome_booked</t>
        </is>
      </c>
    </row>
    <row r="332">
      <c r="A332" t="inlineStr">
        <is>
          <t>Split by SYS_FLAG</t>
        </is>
      </c>
      <c r="B332" t="inlineStr">
        <is>
          <t>Bad dollars</t>
        </is>
      </c>
      <c r="C332" t="n">
        <v>780</v>
      </c>
      <c r="D332" t="inlineStr">
        <is>
          <t>FICO 654 - 685</t>
        </is>
      </c>
      <c r="E332" t="inlineStr">
        <is>
          <t>ASSET_CLASS 3</t>
        </is>
      </c>
      <c r="F332" t="inlineStr">
        <is>
          <t>Y</t>
        </is>
      </c>
      <c r="G332" t="n">
        <v>193</v>
      </c>
      <c r="H332" t="n">
        <v>1.868708499572346</v>
      </c>
      <c r="J332" t="n">
        <v>27</v>
      </c>
      <c r="K332">
        <f>'_pockets'!$AI$780</f>
        <v/>
      </c>
      <c r="L332">
        <f>'_pockets'!$AJ$780</f>
        <v/>
      </c>
      <c r="M332">
        <f>IF(AND($A332='Pockets'!$D$17,$B332='Pockets'!$C$17,OR('Pockets'!$E$17="All",AND('Pockets'!$E$17="Worse and material",$K332="Yes",$L332="Yes"),AND('Pockets'!$E$17="Worse or not sure",OR($K332="Yes",$K332="Not sure")))),1,0)</f>
        <v/>
      </c>
      <c r="N332">
        <f>$N331+$M332</f>
        <v/>
      </c>
      <c r="O332" t="inlineStr">
        <is>
          <t>three-way</t>
        </is>
      </c>
      <c r="P332" t="inlineStr">
        <is>
          <t>outcome_booked</t>
        </is>
      </c>
    </row>
    <row r="333">
      <c r="A333" t="inlineStr">
        <is>
          <t>Split by SYS_FLAG</t>
        </is>
      </c>
      <c r="B333" t="inlineStr">
        <is>
          <t>Bad dollars</t>
        </is>
      </c>
      <c r="C333" t="n">
        <v>845</v>
      </c>
      <c r="D333" t="inlineStr">
        <is>
          <t>ORIG_BAL 26,324 - 37,950</t>
        </is>
      </c>
      <c r="E333" t="inlineStr">
        <is>
          <t>Broker</t>
        </is>
      </c>
      <c r="F333" t="inlineStr">
        <is>
          <t>Y</t>
        </is>
      </c>
      <c r="G333" t="n">
        <v>248</v>
      </c>
      <c r="H333" t="n">
        <v>1.757809966586656</v>
      </c>
      <c r="J333" t="n">
        <v>28</v>
      </c>
      <c r="K333">
        <f>'_pockets'!$AI$845</f>
        <v/>
      </c>
      <c r="L333">
        <f>'_pockets'!$AJ$845</f>
        <v/>
      </c>
      <c r="M333">
        <f>IF(AND($A333='Pockets'!$D$17,$B333='Pockets'!$C$17,OR('Pockets'!$E$17="All",AND('Pockets'!$E$17="Worse and material",$K333="Yes",$L333="Yes"),AND('Pockets'!$E$17="Worse or not sure",OR($K333="Yes",$K333="Not sure")))),1,0)</f>
        <v/>
      </c>
      <c r="N333">
        <f>$N332+$M333</f>
        <v/>
      </c>
      <c r="O333" t="inlineStr">
        <is>
          <t>three-way</t>
        </is>
      </c>
      <c r="P333" t="inlineStr">
        <is>
          <t>outcome_booked</t>
        </is>
      </c>
    </row>
    <row r="334">
      <c r="A334" t="inlineStr">
        <is>
          <t>Split by SYS_FLAG</t>
        </is>
      </c>
      <c r="B334" t="inlineStr">
        <is>
          <t>Bad dollars</t>
        </is>
      </c>
      <c r="C334" t="n">
        <v>715</v>
      </c>
      <c r="D334" t="inlineStr">
        <is>
          <t>FICO 654 - 685</t>
        </is>
      </c>
      <c r="E334" t="inlineStr">
        <is>
          <t>ASSET_CLASS 2</t>
        </is>
      </c>
      <c r="F334" t="inlineStr">
        <is>
          <t>Y</t>
        </is>
      </c>
      <c r="G334" t="n">
        <v>163</v>
      </c>
      <c r="H334" t="n">
        <v>1.953082810453426</v>
      </c>
      <c r="J334" t="n">
        <v>29</v>
      </c>
      <c r="K334">
        <f>'_pockets'!$AI$715</f>
        <v/>
      </c>
      <c r="L334">
        <f>'_pockets'!$AJ$715</f>
        <v/>
      </c>
      <c r="M334">
        <f>IF(AND($A334='Pockets'!$D$17,$B334='Pockets'!$C$17,OR('Pockets'!$E$17="All",AND('Pockets'!$E$17="Worse and material",$K334="Yes",$L334="Yes"),AND('Pockets'!$E$17="Worse or not sure",OR($K334="Yes",$K334="Not sure")))),1,0)</f>
        <v/>
      </c>
      <c r="N334">
        <f>$N333+$M334</f>
        <v/>
      </c>
      <c r="O334" t="inlineStr">
        <is>
          <t>three-way</t>
        </is>
      </c>
      <c r="P334" t="inlineStr">
        <is>
          <t>outcome_booked</t>
        </is>
      </c>
    </row>
    <row r="335">
      <c r="A335" t="inlineStr">
        <is>
          <t>Split by SYS_FLAG</t>
        </is>
      </c>
      <c r="B335" t="inlineStr">
        <is>
          <t>Bad dollars</t>
        </is>
      </c>
      <c r="C335" t="n">
        <v>435</v>
      </c>
      <c r="D335" t="inlineStr">
        <is>
          <t>FICO 746 - 921</t>
        </is>
      </c>
      <c r="E335" t="inlineStr">
        <is>
          <t>Branch</t>
        </is>
      </c>
      <c r="F335" t="inlineStr">
        <is>
          <t>Y</t>
        </is>
      </c>
      <c r="G335" t="n">
        <v>239</v>
      </c>
      <c r="H335" t="n">
        <v>1.773167162528496</v>
      </c>
      <c r="J335" t="n">
        <v>30</v>
      </c>
      <c r="K335">
        <f>'_pockets'!$AI$435</f>
        <v/>
      </c>
      <c r="L335">
        <f>'_pockets'!$AJ$435</f>
        <v/>
      </c>
      <c r="M335">
        <f>IF(AND($A335='Pockets'!$D$17,$B335='Pockets'!$C$17,OR('Pockets'!$E$17="All",AND('Pockets'!$E$17="Worse and material",$K335="Yes",$L335="Yes"),AND('Pockets'!$E$17="Worse or not sure",OR($K335="Yes",$K335="Not sure")))),1,0)</f>
        <v/>
      </c>
      <c r="N335">
        <f>$N334+$M335</f>
        <v/>
      </c>
      <c r="O335" t="inlineStr">
        <is>
          <t>three-way</t>
        </is>
      </c>
      <c r="P335" t="inlineStr">
        <is>
          <t>outcome_booked</t>
        </is>
      </c>
    </row>
    <row r="336">
      <c r="A336" t="inlineStr">
        <is>
          <t>Split by SYS_FLAG</t>
        </is>
      </c>
      <c r="B336" t="inlineStr">
        <is>
          <t>Bad dollars</t>
        </is>
      </c>
      <c r="C336" t="n">
        <v>930</v>
      </c>
      <c r="D336" t="inlineStr">
        <is>
          <t>ORIG_BAL 5,005 - 15,448</t>
        </is>
      </c>
      <c r="E336" t="inlineStr">
        <is>
          <t>Online</t>
        </is>
      </c>
      <c r="F336" t="inlineStr">
        <is>
          <t>Y</t>
        </is>
      </c>
      <c r="G336" t="n">
        <v>242</v>
      </c>
      <c r="H336" t="n">
        <v>1.767948202126342</v>
      </c>
      <c r="J336" t="n">
        <v>31</v>
      </c>
      <c r="K336">
        <f>'_pockets'!$AI$930</f>
        <v/>
      </c>
      <c r="L336">
        <f>'_pockets'!$AJ$930</f>
        <v/>
      </c>
      <c r="M336">
        <f>IF(AND($A336='Pockets'!$D$17,$B336='Pockets'!$C$17,OR('Pockets'!$E$17="All",AND('Pockets'!$E$17="Worse and material",$K336="Yes",$L336="Yes"),AND('Pockets'!$E$17="Worse or not sure",OR($K336="Yes",$K336="Not sure")))),1,0)</f>
        <v/>
      </c>
      <c r="N336">
        <f>$N335+$M336</f>
        <v/>
      </c>
      <c r="O336" t="inlineStr">
        <is>
          <t>three-way</t>
        </is>
      </c>
      <c r="P336" t="inlineStr">
        <is>
          <t>outcome_booked</t>
        </is>
      </c>
    </row>
    <row r="337">
      <c r="A337" t="inlineStr">
        <is>
          <t>Split by SYS_FLAG</t>
        </is>
      </c>
      <c r="B337" t="inlineStr">
        <is>
          <t>Bad dollars</t>
        </is>
      </c>
      <c r="C337" t="n">
        <v>655</v>
      </c>
      <c r="D337" t="inlineStr">
        <is>
          <t>FICO 686 - 711</t>
        </is>
      </c>
      <c r="E337" t="inlineStr">
        <is>
          <t>ASSET_CLASS 4</t>
        </is>
      </c>
      <c r="F337" t="inlineStr">
        <is>
          <t>Y</t>
        </is>
      </c>
      <c r="G337" t="n">
        <v>172</v>
      </c>
      <c r="H337" t="n">
        <v>1.925331509381614</v>
      </c>
      <c r="J337" t="n">
        <v>32</v>
      </c>
      <c r="K337">
        <f>'_pockets'!$AI$655</f>
        <v/>
      </c>
      <c r="L337">
        <f>'_pockets'!$AJ$655</f>
        <v/>
      </c>
      <c r="M337">
        <f>IF(AND($A337='Pockets'!$D$17,$B337='Pockets'!$C$17,OR('Pockets'!$E$17="All",AND('Pockets'!$E$17="Worse and material",$K337="Yes",$L337="Yes"),AND('Pockets'!$E$17="Worse or not sure",OR($K337="Yes",$K337="Not sure")))),1,0)</f>
        <v/>
      </c>
      <c r="N337">
        <f>$N336+$M337</f>
        <v/>
      </c>
      <c r="O337" t="inlineStr">
        <is>
          <t>three-way</t>
        </is>
      </c>
      <c r="P337" t="inlineStr">
        <is>
          <t>outcome_booked</t>
        </is>
      </c>
    </row>
    <row r="338">
      <c r="A338" t="inlineStr">
        <is>
          <t>Split by SYS_FLAG</t>
        </is>
      </c>
      <c r="B338" t="inlineStr">
        <is>
          <t>Bad dollars</t>
        </is>
      </c>
      <c r="C338" t="n">
        <v>1040</v>
      </c>
      <c r="D338" t="inlineStr">
        <is>
          <t>ORIG_BAL 15,449 - 26,323</t>
        </is>
      </c>
      <c r="E338" t="inlineStr">
        <is>
          <t>ASSET_CLASS 4</t>
        </is>
      </c>
      <c r="F338" t="inlineStr">
        <is>
          <t>N</t>
        </is>
      </c>
      <c r="G338" t="n">
        <v>223</v>
      </c>
      <c r="H338" t="n">
        <v>1.802850820303666</v>
      </c>
      <c r="J338" t="n">
        <v>33</v>
      </c>
      <c r="K338">
        <f>'_pockets'!$AI$1040</f>
        <v/>
      </c>
      <c r="L338">
        <f>'_pockets'!$AJ$1040</f>
        <v/>
      </c>
      <c r="M338">
        <f>IF(AND($A338='Pockets'!$D$17,$B338='Pockets'!$C$17,OR('Pockets'!$E$17="All",AND('Pockets'!$E$17="Worse and material",$K338="Yes",$L338="Yes"),AND('Pockets'!$E$17="Worse or not sure",OR($K338="Yes",$K338="Not sure")))),1,0)</f>
        <v/>
      </c>
      <c r="N338">
        <f>$N337+$M338</f>
        <v/>
      </c>
      <c r="O338" t="inlineStr">
        <is>
          <t>three-way</t>
        </is>
      </c>
      <c r="P338" t="inlineStr">
        <is>
          <t>outcome_booked</t>
        </is>
      </c>
    </row>
    <row r="339">
      <c r="A339" t="inlineStr">
        <is>
          <t>Split by SYS_FLAG</t>
        </is>
      </c>
      <c r="B339" t="inlineStr">
        <is>
          <t>Bad dollars</t>
        </is>
      </c>
      <c r="C339" t="n">
        <v>725</v>
      </c>
      <c r="D339" t="inlineStr">
        <is>
          <t>FICO 746 - 921</t>
        </is>
      </c>
      <c r="E339" t="inlineStr">
        <is>
          <t>ASSET_CLASS 1</t>
        </is>
      </c>
      <c r="F339" t="inlineStr">
        <is>
          <t>Y</t>
        </is>
      </c>
      <c r="G339" t="n">
        <v>183</v>
      </c>
      <c r="H339" t="n">
        <v>1.894387517377712</v>
      </c>
      <c r="J339" t="n">
        <v>34</v>
      </c>
      <c r="K339">
        <f>'_pockets'!$AI$725</f>
        <v/>
      </c>
      <c r="L339">
        <f>'_pockets'!$AJ$725</f>
        <v/>
      </c>
      <c r="M339">
        <f>IF(AND($A339='Pockets'!$D$17,$B339='Pockets'!$C$17,OR('Pockets'!$E$17="All",AND('Pockets'!$E$17="Worse and material",$K339="Yes",$L339="Yes"),AND('Pockets'!$E$17="Worse or not sure",OR($K339="Yes",$K339="Not sure")))),1,0)</f>
        <v/>
      </c>
      <c r="N339">
        <f>$N338+$M339</f>
        <v/>
      </c>
      <c r="O339" t="inlineStr">
        <is>
          <t>three-way</t>
        </is>
      </c>
      <c r="P339" t="inlineStr">
        <is>
          <t>outcome_booked</t>
        </is>
      </c>
    </row>
    <row r="340">
      <c r="A340" t="inlineStr">
        <is>
          <t>Split by SYS_FLAG</t>
        </is>
      </c>
      <c r="B340" t="inlineStr">
        <is>
          <t>Bad dollars</t>
        </is>
      </c>
      <c r="C340" t="n">
        <v>550</v>
      </c>
      <c r="D340" t="inlineStr">
        <is>
          <t>FICO 746 - 921</t>
        </is>
      </c>
      <c r="E340" t="inlineStr">
        <is>
          <t>Broker</t>
        </is>
      </c>
      <c r="F340" t="inlineStr">
        <is>
          <t>Y</t>
        </is>
      </c>
      <c r="G340" t="n">
        <v>237</v>
      </c>
      <c r="H340" t="n">
        <v>1.776704187791218</v>
      </c>
      <c r="J340" t="n">
        <v>35</v>
      </c>
      <c r="K340">
        <f>'_pockets'!$AI$550</f>
        <v/>
      </c>
      <c r="L340">
        <f>'_pockets'!$AJ$550</f>
        <v/>
      </c>
      <c r="M340">
        <f>IF(AND($A340='Pockets'!$D$17,$B340='Pockets'!$C$17,OR('Pockets'!$E$17="All",AND('Pockets'!$E$17="Worse and material",$K340="Yes",$L340="Yes"),AND('Pockets'!$E$17="Worse or not sure",OR($K340="Yes",$K340="Not sure")))),1,0)</f>
        <v/>
      </c>
      <c r="N340">
        <f>$N339+$M340</f>
        <v/>
      </c>
      <c r="O340" t="inlineStr">
        <is>
          <t>three-way</t>
        </is>
      </c>
      <c r="P340" t="inlineStr">
        <is>
          <t>outcome_booked</t>
        </is>
      </c>
    </row>
    <row r="341">
      <c r="A341" t="inlineStr">
        <is>
          <t>Split by SYS_FLAG</t>
        </is>
      </c>
      <c r="B341" t="inlineStr">
        <is>
          <t>Bad dollars</t>
        </is>
      </c>
      <c r="C341" t="n">
        <v>480</v>
      </c>
      <c r="D341" t="inlineStr">
        <is>
          <t>FICO 746 - 921</t>
        </is>
      </c>
      <c r="E341" t="inlineStr">
        <is>
          <t>Online</t>
        </is>
      </c>
      <c r="F341" t="inlineStr">
        <is>
          <t>Y</t>
        </is>
      </c>
      <c r="G341" t="n">
        <v>225</v>
      </c>
      <c r="H341" t="n">
        <v>1.798958958563741</v>
      </c>
      <c r="J341" t="n">
        <v>36</v>
      </c>
      <c r="K341">
        <f>'_pockets'!$AI$480</f>
        <v/>
      </c>
      <c r="L341">
        <f>'_pockets'!$AJ$480</f>
        <v/>
      </c>
      <c r="M341">
        <f>IF(AND($A341='Pockets'!$D$17,$B341='Pockets'!$C$17,OR('Pockets'!$E$17="All",AND('Pockets'!$E$17="Worse and material",$K341="Yes",$L341="Yes"),AND('Pockets'!$E$17="Worse or not sure",OR($K341="Yes",$K341="Not sure")))),1,0)</f>
        <v/>
      </c>
      <c r="N341">
        <f>$N340+$M341</f>
        <v/>
      </c>
      <c r="O341" t="inlineStr">
        <is>
          <t>three-way</t>
        </is>
      </c>
      <c r="P341" t="inlineStr">
        <is>
          <t>outcome_booked</t>
        </is>
      </c>
    </row>
    <row r="342">
      <c r="A342" t="inlineStr">
        <is>
          <t>Split by SYS_FLAG</t>
        </is>
      </c>
      <c r="B342" t="inlineStr">
        <is>
          <t>Bad dollars</t>
        </is>
      </c>
      <c r="C342" t="n">
        <v>590</v>
      </c>
      <c r="D342" t="inlineStr">
        <is>
          <t>FICO (marked missing)</t>
        </is>
      </c>
      <c r="E342" t="inlineStr">
        <is>
          <t>Broker</t>
        </is>
      </c>
      <c r="F342" t="inlineStr">
        <is>
          <t>Y</t>
        </is>
      </c>
      <c r="G342" t="n">
        <v>25</v>
      </c>
      <c r="H342" t="n">
        <v>3.792822861026263</v>
      </c>
      <c r="J342" t="n">
        <v>37</v>
      </c>
      <c r="K342">
        <f>'_pockets'!$AI$590</f>
        <v/>
      </c>
      <c r="L342">
        <f>'_pockets'!$AJ$590</f>
        <v/>
      </c>
      <c r="M342">
        <f>IF(AND($A342='Pockets'!$D$17,$B342='Pockets'!$C$17,OR('Pockets'!$E$17="All",AND('Pockets'!$E$17="Worse and material",$K342="Yes",$L342="Yes"),AND('Pockets'!$E$17="Worse or not sure",OR($K342="Yes",$K342="Not sure")))),1,0)</f>
        <v/>
      </c>
      <c r="N342">
        <f>$N341+$M342</f>
        <v/>
      </c>
      <c r="O342" t="inlineStr">
        <is>
          <t>three-way</t>
        </is>
      </c>
      <c r="P342" t="inlineStr">
        <is>
          <t>outcome_booked</t>
        </is>
      </c>
    </row>
    <row r="343">
      <c r="A343" t="inlineStr">
        <is>
          <t>Split by SYS_FLAG</t>
        </is>
      </c>
      <c r="B343" t="inlineStr">
        <is>
          <t>Bad dollars</t>
        </is>
      </c>
      <c r="C343" t="n">
        <v>1000</v>
      </c>
      <c r="D343" t="inlineStr">
        <is>
          <t>ORIG_BAL 26,324 - 37,950</t>
        </is>
      </c>
      <c r="E343" t="inlineStr">
        <is>
          <t>ASSET_CLASS 2</t>
        </is>
      </c>
      <c r="F343" t="inlineStr">
        <is>
          <t>Y</t>
        </is>
      </c>
      <c r="G343" t="n">
        <v>179</v>
      </c>
      <c r="H343" t="n">
        <v>1.905290817268532</v>
      </c>
      <c r="J343" t="n">
        <v>38</v>
      </c>
      <c r="K343">
        <f>'_pockets'!$AI$1000</f>
        <v/>
      </c>
      <c r="L343">
        <f>'_pockets'!$AJ$1000</f>
        <v/>
      </c>
      <c r="M343">
        <f>IF(AND($A343='Pockets'!$D$17,$B343='Pockets'!$C$17,OR('Pockets'!$E$17="All",AND('Pockets'!$E$17="Worse and material",$K343="Yes",$L343="Yes"),AND('Pockets'!$E$17="Worse or not sure",OR($K343="Yes",$K343="Not sure")))),1,0)</f>
        <v/>
      </c>
      <c r="N343">
        <f>$N342+$M343</f>
        <v/>
      </c>
      <c r="O343" t="inlineStr">
        <is>
          <t>three-way</t>
        </is>
      </c>
      <c r="P343" t="inlineStr">
        <is>
          <t>outcome_booked</t>
        </is>
      </c>
    </row>
    <row r="344">
      <c r="A344" t="inlineStr">
        <is>
          <t>Split by SYS_FLAG</t>
        </is>
      </c>
      <c r="B344" t="inlineStr">
        <is>
          <t>Bad dollars</t>
        </is>
      </c>
      <c r="C344" t="n">
        <v>1145</v>
      </c>
      <c r="D344" t="inlineStr">
        <is>
          <t>ORIG_BAL 15,449 - 26,323</t>
        </is>
      </c>
      <c r="E344" t="inlineStr">
        <is>
          <t>ASSET_CLASS 3</t>
        </is>
      </c>
      <c r="F344" t="inlineStr">
        <is>
          <t>Y</t>
        </is>
      </c>
      <c r="G344" t="n">
        <v>193</v>
      </c>
      <c r="H344" t="n">
        <v>1.868708499572346</v>
      </c>
      <c r="J344" t="n">
        <v>39</v>
      </c>
      <c r="K344">
        <f>'_pockets'!$AI$1145</f>
        <v/>
      </c>
      <c r="L344">
        <f>'_pockets'!$AJ$1145</f>
        <v/>
      </c>
      <c r="M344">
        <f>IF(AND($A344='Pockets'!$D$17,$B344='Pockets'!$C$17,OR('Pockets'!$E$17="All",AND('Pockets'!$E$17="Worse and material",$K344="Yes",$L344="Yes"),AND('Pockets'!$E$17="Worse or not sure",OR($K344="Yes",$K344="Not sure")))),1,0)</f>
        <v/>
      </c>
      <c r="N344">
        <f>$N343+$M344</f>
        <v/>
      </c>
      <c r="O344" t="inlineStr">
        <is>
          <t>three-way</t>
        </is>
      </c>
      <c r="P344" t="inlineStr">
        <is>
          <t>outcome_booked</t>
        </is>
      </c>
    </row>
    <row r="345">
      <c r="A345" t="inlineStr">
        <is>
          <t>Split by SYS_FLAG</t>
        </is>
      </c>
      <c r="B345" t="inlineStr">
        <is>
          <t>Bad dollars</t>
        </is>
      </c>
      <c r="C345" t="n">
        <v>1190</v>
      </c>
      <c r="D345" t="inlineStr">
        <is>
          <t>ORIG_BAL 26,324 - 37,950</t>
        </is>
      </c>
      <c r="E345" t="inlineStr">
        <is>
          <t>ASSET_CLASS 4</t>
        </is>
      </c>
      <c r="F345" t="inlineStr">
        <is>
          <t>N</t>
        </is>
      </c>
      <c r="G345" t="n">
        <v>218</v>
      </c>
      <c r="H345" t="n">
        <v>1.812826034990193</v>
      </c>
      <c r="J345" t="n">
        <v>40</v>
      </c>
      <c r="K345">
        <f>'_pockets'!$AI$1190</f>
        <v/>
      </c>
      <c r="L345">
        <f>'_pockets'!$AJ$1190</f>
        <v/>
      </c>
      <c r="M345">
        <f>IF(AND($A345='Pockets'!$D$17,$B345='Pockets'!$C$17,OR('Pockets'!$E$17="All",AND('Pockets'!$E$17="Worse and material",$K345="Yes",$L345="Yes"),AND('Pockets'!$E$17="Worse or not sure",OR($K345="Yes",$K345="Not sure")))),1,0)</f>
        <v/>
      </c>
      <c r="N345">
        <f>$N344+$M345</f>
        <v/>
      </c>
      <c r="O345" t="inlineStr">
        <is>
          <t>three-way</t>
        </is>
      </c>
      <c r="P345" t="inlineStr">
        <is>
          <t>outcome_booked</t>
        </is>
      </c>
    </row>
    <row r="346">
      <c r="A346" t="inlineStr">
        <is>
          <t>Split by SYS_FLAG</t>
        </is>
      </c>
      <c r="B346" t="inlineStr">
        <is>
          <t>Bad dollars</t>
        </is>
      </c>
      <c r="C346" t="n">
        <v>835</v>
      </c>
      <c r="D346" t="inlineStr">
        <is>
          <t>FICO (marked missing)</t>
        </is>
      </c>
      <c r="E346" t="inlineStr">
        <is>
          <t>ASSET_CLASS 2</t>
        </is>
      </c>
      <c r="F346" t="inlineStr">
        <is>
          <t>Y</t>
        </is>
      </c>
      <c r="G346" t="n">
        <v>18</v>
      </c>
      <c r="H346" t="n">
        <v>4.40845194303626</v>
      </c>
      <c r="J346" t="n">
        <v>41</v>
      </c>
      <c r="K346">
        <f>'_pockets'!$AI$835</f>
        <v/>
      </c>
      <c r="L346">
        <f>'_pockets'!$AJ$835</f>
        <v/>
      </c>
      <c r="M346">
        <f>IF(AND($A346='Pockets'!$D$17,$B346='Pockets'!$C$17,OR('Pockets'!$E$17="All",AND('Pockets'!$E$17="Worse and material",$K346="Yes",$L346="Yes"),AND('Pockets'!$E$17="Worse or not sure",OR($K346="Yes",$K346="Not sure")))),1,0)</f>
        <v/>
      </c>
      <c r="N346">
        <f>$N345+$M346</f>
        <v/>
      </c>
      <c r="O346" t="inlineStr">
        <is>
          <t>three-way</t>
        </is>
      </c>
      <c r="P346" t="inlineStr">
        <is>
          <t>outcome_booked</t>
        </is>
      </c>
    </row>
    <row r="347">
      <c r="A347" t="inlineStr">
        <is>
          <t>Split by SYS_FLAG</t>
        </is>
      </c>
      <c r="B347" t="inlineStr">
        <is>
          <t>Bad dollars</t>
        </is>
      </c>
      <c r="C347" t="n">
        <v>650</v>
      </c>
      <c r="D347" t="inlineStr">
        <is>
          <t>FICO 496 - 653</t>
        </is>
      </c>
      <c r="E347" t="inlineStr">
        <is>
          <t>ASSET_CLASS 4</t>
        </is>
      </c>
      <c r="F347" t="inlineStr">
        <is>
          <t>N</t>
        </is>
      </c>
      <c r="G347" t="n">
        <v>203</v>
      </c>
      <c r="H347" t="n">
        <v>1.845052124002008</v>
      </c>
      <c r="J347" t="n">
        <v>42</v>
      </c>
      <c r="K347">
        <f>'_pockets'!$AI$650</f>
        <v/>
      </c>
      <c r="L347">
        <f>'_pockets'!$AJ$650</f>
        <v/>
      </c>
      <c r="M347">
        <f>IF(AND($A347='Pockets'!$D$17,$B347='Pockets'!$C$17,OR('Pockets'!$E$17="All",AND('Pockets'!$E$17="Worse and material",$K347="Yes",$L347="Yes"),AND('Pockets'!$E$17="Worse or not sure",OR($K347="Yes",$K347="Not sure")))),1,0)</f>
        <v/>
      </c>
      <c r="N347">
        <f>$N346+$M347</f>
        <v/>
      </c>
      <c r="O347" t="inlineStr">
        <is>
          <t>three-way</t>
        </is>
      </c>
      <c r="P347" t="inlineStr">
        <is>
          <t>outcome_booked</t>
        </is>
      </c>
    </row>
    <row r="348">
      <c r="A348" t="inlineStr">
        <is>
          <t>Split by SYS_FLAG</t>
        </is>
      </c>
      <c r="B348" t="inlineStr">
        <is>
          <t>Bad dollars</t>
        </is>
      </c>
      <c r="C348" t="n">
        <v>1135</v>
      </c>
      <c r="D348" t="inlineStr">
        <is>
          <t>ORIG_BAL 15,449 - 26,323</t>
        </is>
      </c>
      <c r="E348" t="inlineStr">
        <is>
          <t>ASSET_CLASS 1</t>
        </is>
      </c>
      <c r="F348" t="inlineStr">
        <is>
          <t>Y</t>
        </is>
      </c>
      <c r="G348" t="n">
        <v>180</v>
      </c>
      <c r="H348" t="n">
        <v>1.902529037069279</v>
      </c>
      <c r="J348" t="n">
        <v>43</v>
      </c>
      <c r="K348">
        <f>'_pockets'!$AI$1135</f>
        <v/>
      </c>
      <c r="L348">
        <f>'_pockets'!$AJ$1135</f>
        <v/>
      </c>
      <c r="M348">
        <f>IF(AND($A348='Pockets'!$D$17,$B348='Pockets'!$C$17,OR('Pockets'!$E$17="All",AND('Pockets'!$E$17="Worse and material",$K348="Yes",$L348="Yes"),AND('Pockets'!$E$17="Worse or not sure",OR($K348="Yes",$K348="Not sure")))),1,0)</f>
        <v/>
      </c>
      <c r="N348">
        <f>$N347+$M348</f>
        <v/>
      </c>
      <c r="O348" t="inlineStr">
        <is>
          <t>three-way</t>
        </is>
      </c>
      <c r="P348" t="inlineStr">
        <is>
          <t>outcome_booked</t>
        </is>
      </c>
    </row>
    <row r="349">
      <c r="A349" t="inlineStr">
        <is>
          <t>Split by SYS_FLAG</t>
        </is>
      </c>
      <c r="B349" t="inlineStr">
        <is>
          <t>Bad dollars</t>
        </is>
      </c>
      <c r="C349" t="n">
        <v>670</v>
      </c>
      <c r="D349" t="inlineStr">
        <is>
          <t>FICO 654 - 685</t>
        </is>
      </c>
      <c r="E349" t="inlineStr">
        <is>
          <t>ASSET_CLASS 1</t>
        </is>
      </c>
      <c r="F349" t="inlineStr">
        <is>
          <t>Y</t>
        </is>
      </c>
      <c r="G349" t="n">
        <v>187</v>
      </c>
      <c r="H349" t="n">
        <v>1.883855242127517</v>
      </c>
      <c r="J349" t="n">
        <v>44</v>
      </c>
      <c r="K349">
        <f>'_pockets'!$AI$670</f>
        <v/>
      </c>
      <c r="L349">
        <f>'_pockets'!$AJ$670</f>
        <v/>
      </c>
      <c r="M349">
        <f>IF(AND($A349='Pockets'!$D$17,$B349='Pockets'!$C$17,OR('Pockets'!$E$17="All",AND('Pockets'!$E$17="Worse and material",$K349="Yes",$L349="Yes"),AND('Pockets'!$E$17="Worse or not sure",OR($K349="Yes",$K349="Not sure")))),1,0)</f>
        <v/>
      </c>
      <c r="N349">
        <f>$N348+$M349</f>
        <v/>
      </c>
      <c r="O349" t="inlineStr">
        <is>
          <t>three-way</t>
        </is>
      </c>
      <c r="P349" t="inlineStr">
        <is>
          <t>outcome_booked</t>
        </is>
      </c>
    </row>
    <row r="350">
      <c r="A350" t="inlineStr">
        <is>
          <t>Split by SYS_FLAG</t>
        </is>
      </c>
      <c r="B350" t="inlineStr">
        <is>
          <t>Bad dollars</t>
        </is>
      </c>
      <c r="C350" t="n">
        <v>950</v>
      </c>
      <c r="D350" t="inlineStr">
        <is>
          <t>ORIG_BAL 49,152 - 59,984</t>
        </is>
      </c>
      <c r="E350" t="inlineStr">
        <is>
          <t>Broker</t>
        </is>
      </c>
      <c r="F350" t="inlineStr">
        <is>
          <t>N</t>
        </is>
      </c>
      <c r="G350" t="n">
        <v>278</v>
      </c>
      <c r="H350" t="n">
        <v>1.712376281476606</v>
      </c>
      <c r="J350" t="n">
        <v>45</v>
      </c>
      <c r="K350">
        <f>'_pockets'!$AI$950</f>
        <v/>
      </c>
      <c r="L350">
        <f>'_pockets'!$AJ$950</f>
        <v/>
      </c>
      <c r="M350">
        <f>IF(AND($A350='Pockets'!$D$17,$B350='Pockets'!$C$17,OR('Pockets'!$E$17="All",AND('Pockets'!$E$17="Worse and material",$K350="Yes",$L350="Yes"),AND('Pockets'!$E$17="Worse or not sure",OR($K350="Yes",$K350="Not sure")))),1,0)</f>
        <v/>
      </c>
      <c r="N350">
        <f>$N349+$M350</f>
        <v/>
      </c>
      <c r="O350" t="inlineStr">
        <is>
          <t>three-way</t>
        </is>
      </c>
      <c r="P350" t="inlineStr">
        <is>
          <t>outcome_booked</t>
        </is>
      </c>
    </row>
    <row r="351">
      <c r="A351" t="inlineStr">
        <is>
          <t>Split by SYS_FLAG</t>
        </is>
      </c>
      <c r="B351" t="inlineStr">
        <is>
          <t>Bad dollars</t>
        </is>
      </c>
      <c r="C351" t="n">
        <v>865</v>
      </c>
      <c r="D351" t="inlineStr">
        <is>
          <t>ORIG_BAL 26,324 - 37,950</t>
        </is>
      </c>
      <c r="E351" t="inlineStr">
        <is>
          <t>Branch</t>
        </is>
      </c>
      <c r="F351" t="inlineStr">
        <is>
          <t>Y</t>
        </is>
      </c>
      <c r="G351" t="n">
        <v>236</v>
      </c>
      <c r="H351" t="n">
        <v>1.778490395996388</v>
      </c>
      <c r="J351" t="n">
        <v>46</v>
      </c>
      <c r="K351">
        <f>'_pockets'!$AI$865</f>
        <v/>
      </c>
      <c r="L351">
        <f>'_pockets'!$AJ$865</f>
        <v/>
      </c>
      <c r="M351">
        <f>IF(AND($A351='Pockets'!$D$17,$B351='Pockets'!$C$17,OR('Pockets'!$E$17="All",AND('Pockets'!$E$17="Worse and material",$K351="Yes",$L351="Yes"),AND('Pockets'!$E$17="Worse or not sure",OR($K351="Yes",$K351="Not sure")))),1,0)</f>
        <v/>
      </c>
      <c r="N351">
        <f>$N350+$M351</f>
        <v/>
      </c>
      <c r="O351" t="inlineStr">
        <is>
          <t>three-way</t>
        </is>
      </c>
      <c r="P351" t="inlineStr">
        <is>
          <t>outcome_booked</t>
        </is>
      </c>
    </row>
    <row r="352">
      <c r="A352" t="inlineStr">
        <is>
          <t>Split by SYS_FLAG</t>
        </is>
      </c>
      <c r="B352" t="inlineStr">
        <is>
          <t>Bad dollars</t>
        </is>
      </c>
      <c r="C352" t="n">
        <v>520</v>
      </c>
      <c r="D352" t="inlineStr">
        <is>
          <t>FICO 654 - 685</t>
        </is>
      </c>
      <c r="E352" t="inlineStr">
        <is>
          <t>Broker</t>
        </is>
      </c>
      <c r="F352" t="inlineStr">
        <is>
          <t>Y</t>
        </is>
      </c>
      <c r="G352" t="n">
        <v>244</v>
      </c>
      <c r="H352" t="n">
        <v>1.764525179215748</v>
      </c>
      <c r="J352" t="n">
        <v>47</v>
      </c>
      <c r="K352">
        <f>'_pockets'!$AI$520</f>
        <v/>
      </c>
      <c r="L352">
        <f>'_pockets'!$AJ$520</f>
        <v/>
      </c>
      <c r="M352">
        <f>IF(AND($A352='Pockets'!$D$17,$B352='Pockets'!$C$17,OR('Pockets'!$E$17="All",AND('Pockets'!$E$17="Worse and material",$K352="Yes",$L352="Yes"),AND('Pockets'!$E$17="Worse or not sure",OR($K352="Yes",$K352="Not sure")))),1,0)</f>
        <v/>
      </c>
      <c r="N352">
        <f>$N351+$M352</f>
        <v/>
      </c>
      <c r="O352" t="inlineStr">
        <is>
          <t>three-way</t>
        </is>
      </c>
      <c r="P352" t="inlineStr">
        <is>
          <t>outcome_booked</t>
        </is>
      </c>
    </row>
    <row r="353">
      <c r="A353" t="inlineStr">
        <is>
          <t>Split by SYS_FLAG</t>
        </is>
      </c>
      <c r="B353" t="inlineStr">
        <is>
          <t>Bad dollars</t>
        </is>
      </c>
      <c r="C353" t="n">
        <v>635</v>
      </c>
      <c r="D353" t="inlineStr">
        <is>
          <t>FICO 686 - 711</t>
        </is>
      </c>
      <c r="E353" t="inlineStr">
        <is>
          <t>ASSET_CLASS 1</t>
        </is>
      </c>
      <c r="F353" t="inlineStr">
        <is>
          <t>Y</t>
        </is>
      </c>
      <c r="G353" t="n">
        <v>167</v>
      </c>
      <c r="H353" t="n">
        <v>1.940456088306094</v>
      </c>
      <c r="J353" t="n">
        <v>48</v>
      </c>
      <c r="K353">
        <f>'_pockets'!$AI$635</f>
        <v/>
      </c>
      <c r="L353">
        <f>'_pockets'!$AJ$635</f>
        <v/>
      </c>
      <c r="M353">
        <f>IF(AND($A353='Pockets'!$D$17,$B353='Pockets'!$C$17,OR('Pockets'!$E$17="All",AND('Pockets'!$E$17="Worse and material",$K353="Yes",$L353="Yes"),AND('Pockets'!$E$17="Worse or not sure",OR($K353="Yes",$K353="Not sure")))),1,0)</f>
        <v/>
      </c>
      <c r="N353">
        <f>$N352+$M353</f>
        <v/>
      </c>
      <c r="O353" t="inlineStr">
        <is>
          <t>three-way</t>
        </is>
      </c>
      <c r="P353" t="inlineStr">
        <is>
          <t>outcome_booked</t>
        </is>
      </c>
    </row>
    <row r="354">
      <c r="A354" t="inlineStr">
        <is>
          <t>Split by SYS_FLAG</t>
        </is>
      </c>
      <c r="B354" t="inlineStr">
        <is>
          <t>Bad dollars</t>
        </is>
      </c>
      <c r="C354" t="n">
        <v>1170</v>
      </c>
      <c r="D354" t="inlineStr">
        <is>
          <t>ORIG_BAL 15,449 - 26,323</t>
        </is>
      </c>
      <c r="E354" t="inlineStr">
        <is>
          <t>ASSET_CLASS 4</t>
        </is>
      </c>
      <c r="F354" t="inlineStr">
        <is>
          <t>Y</t>
        </is>
      </c>
      <c r="G354" t="n">
        <v>190</v>
      </c>
      <c r="H354" t="n">
        <v>1.876187247372801</v>
      </c>
      <c r="J354" t="n">
        <v>49</v>
      </c>
      <c r="K354">
        <f>'_pockets'!$AI$1170</f>
        <v/>
      </c>
      <c r="L354">
        <f>'_pockets'!$AJ$1170</f>
        <v/>
      </c>
      <c r="M354">
        <f>IF(AND($A354='Pockets'!$D$17,$B354='Pockets'!$C$17,OR('Pockets'!$E$17="All",AND('Pockets'!$E$17="Worse and material",$K354="Yes",$L354="Yes"),AND('Pockets'!$E$17="Worse or not sure",OR($K354="Yes",$K354="Not sure")))),1,0)</f>
        <v/>
      </c>
      <c r="N354">
        <f>$N353+$M354</f>
        <v/>
      </c>
      <c r="O354" t="inlineStr">
        <is>
          <t>three-way</t>
        </is>
      </c>
      <c r="P354" t="inlineStr">
        <is>
          <t>outcome_booked</t>
        </is>
      </c>
    </row>
    <row r="355">
      <c r="A355" t="inlineStr">
        <is>
          <t>Split by SYS_FLAG</t>
        </is>
      </c>
      <c r="B355" t="inlineStr">
        <is>
          <t>Bad dollars</t>
        </is>
      </c>
      <c r="C355" t="n">
        <v>890</v>
      </c>
      <c r="D355" t="inlineStr">
        <is>
          <t>ORIG_BAL 5,005 - 15,448</t>
        </is>
      </c>
      <c r="E355" t="inlineStr">
        <is>
          <t>Broker</t>
        </is>
      </c>
      <c r="F355" t="inlineStr">
        <is>
          <t>Y</t>
        </is>
      </c>
      <c r="G355" t="n">
        <v>237</v>
      </c>
      <c r="H355" t="n">
        <v>1.776704187791218</v>
      </c>
      <c r="J355" t="n">
        <v>50</v>
      </c>
      <c r="K355">
        <f>'_pockets'!$AI$890</f>
        <v/>
      </c>
      <c r="L355">
        <f>'_pockets'!$AJ$890</f>
        <v/>
      </c>
      <c r="M355">
        <f>IF(AND($A355='Pockets'!$D$17,$B355='Pockets'!$C$17,OR('Pockets'!$E$17="All",AND('Pockets'!$E$17="Worse and material",$K355="Yes",$L355="Yes"),AND('Pockets'!$E$17="Worse or not sure",OR($K355="Yes",$K355="Not sure")))),1,0)</f>
        <v/>
      </c>
      <c r="N355">
        <f>$N354+$M355</f>
        <v/>
      </c>
      <c r="O355" t="inlineStr">
        <is>
          <t>three-way</t>
        </is>
      </c>
      <c r="P355" t="inlineStr">
        <is>
          <t>outcome_booked</t>
        </is>
      </c>
    </row>
    <row r="356">
      <c r="A356" t="inlineStr">
        <is>
          <t>Split by SYS_FLAG</t>
        </is>
      </c>
      <c r="B356" t="inlineStr">
        <is>
          <t>Bad dollars</t>
        </is>
      </c>
      <c r="C356" t="n">
        <v>1045</v>
      </c>
      <c r="D356" t="inlineStr">
        <is>
          <t>ORIG_BAL 5,005 - 15,448</t>
        </is>
      </c>
      <c r="E356" t="inlineStr">
        <is>
          <t>ASSET_CLASS 4</t>
        </is>
      </c>
      <c r="F356" t="inlineStr">
        <is>
          <t>Y</t>
        </is>
      </c>
      <c r="G356" t="n">
        <v>196</v>
      </c>
      <c r="H356" t="n">
        <v>1.861411441103017</v>
      </c>
      <c r="J356" t="n">
        <v>51</v>
      </c>
      <c r="K356">
        <f>'_pockets'!$AI$1045</f>
        <v/>
      </c>
      <c r="L356">
        <f>'_pockets'!$AJ$1045</f>
        <v/>
      </c>
      <c r="M356">
        <f>IF(AND($A356='Pockets'!$D$17,$B356='Pockets'!$C$17,OR('Pockets'!$E$17="All",AND('Pockets'!$E$17="Worse and material",$K356="Yes",$L356="Yes"),AND('Pockets'!$E$17="Worse or not sure",OR($K356="Yes",$K356="Not sure")))),1,0)</f>
        <v/>
      </c>
      <c r="N356">
        <f>$N355+$M356</f>
        <v/>
      </c>
      <c r="O356" t="inlineStr">
        <is>
          <t>three-way</t>
        </is>
      </c>
      <c r="P356" t="inlineStr">
        <is>
          <t>outcome_booked</t>
        </is>
      </c>
    </row>
    <row r="357">
      <c r="A357" t="inlineStr">
        <is>
          <t>Split by SYS_FLAG</t>
        </is>
      </c>
      <c r="B357" t="inlineStr">
        <is>
          <t>Bad dollars</t>
        </is>
      </c>
      <c r="C357" t="n">
        <v>1035</v>
      </c>
      <c r="D357" t="inlineStr">
        <is>
          <t>ORIG_BAL 26,324 - 37,950</t>
        </is>
      </c>
      <c r="E357" t="inlineStr">
        <is>
          <t>ASSET_CLASS 1</t>
        </is>
      </c>
      <c r="F357" t="inlineStr">
        <is>
          <t>Y</t>
        </is>
      </c>
      <c r="G357" t="n">
        <v>173</v>
      </c>
      <c r="H357" t="n">
        <v>1.922390012464813</v>
      </c>
      <c r="J357" t="n">
        <v>52</v>
      </c>
      <c r="K357">
        <f>'_pockets'!$AI$1035</f>
        <v/>
      </c>
      <c r="L357">
        <f>'_pockets'!$AJ$1035</f>
        <v/>
      </c>
      <c r="M357">
        <f>IF(AND($A357='Pockets'!$D$17,$B357='Pockets'!$C$17,OR('Pockets'!$E$17="All",AND('Pockets'!$E$17="Worse and material",$K357="Yes",$L357="Yes"),AND('Pockets'!$E$17="Worse or not sure",OR($K357="Yes",$K357="Not sure")))),1,0)</f>
        <v/>
      </c>
      <c r="N357">
        <f>$N356+$M357</f>
        <v/>
      </c>
      <c r="O357" t="inlineStr">
        <is>
          <t>three-way</t>
        </is>
      </c>
      <c r="P357" t="inlineStr">
        <is>
          <t>outcome_booked</t>
        </is>
      </c>
    </row>
    <row r="358">
      <c r="A358" t="inlineStr">
        <is>
          <t>Split by SYS_FLAG</t>
        </is>
      </c>
      <c r="B358" t="inlineStr">
        <is>
          <t>Bad dollars</t>
        </is>
      </c>
      <c r="C358" t="n">
        <v>1095</v>
      </c>
      <c r="D358" t="inlineStr">
        <is>
          <t>ORIG_BAL 5,005 - 15,448</t>
        </is>
      </c>
      <c r="E358" t="inlineStr">
        <is>
          <t>ASSET_CLASS 4</t>
        </is>
      </c>
      <c r="F358" t="inlineStr">
        <is>
          <t>N</t>
        </is>
      </c>
      <c r="G358" t="n">
        <v>229</v>
      </c>
      <c r="H358" t="n">
        <v>1.791336598660566</v>
      </c>
      <c r="J358" t="n">
        <v>53</v>
      </c>
      <c r="K358">
        <f>'_pockets'!$AI$1095</f>
        <v/>
      </c>
      <c r="L358">
        <f>'_pockets'!$AJ$1095</f>
        <v/>
      </c>
      <c r="M358">
        <f>IF(AND($A358='Pockets'!$D$17,$B358='Pockets'!$C$17,OR('Pockets'!$E$17="All",AND('Pockets'!$E$17="Worse and material",$K358="Yes",$L358="Yes"),AND('Pockets'!$E$17="Worse or not sure",OR($K358="Yes",$K358="Not sure")))),1,0)</f>
        <v/>
      </c>
      <c r="N358">
        <f>$N357+$M358</f>
        <v/>
      </c>
      <c r="O358" t="inlineStr">
        <is>
          <t>three-way</t>
        </is>
      </c>
      <c r="P358" t="inlineStr">
        <is>
          <t>outcome_booked</t>
        </is>
      </c>
    </row>
    <row r="359">
      <c r="A359" t="inlineStr">
        <is>
          <t>Split by SYS_FLAG</t>
        </is>
      </c>
      <c r="B359" t="inlineStr">
        <is>
          <t>Bad dollars</t>
        </is>
      </c>
      <c r="C359" t="n">
        <v>1110</v>
      </c>
      <c r="D359" t="inlineStr">
        <is>
          <t>ORIG_BAL 5,005 - 15,448</t>
        </is>
      </c>
      <c r="E359" t="inlineStr">
        <is>
          <t>ASSET_CLASS 2</t>
        </is>
      </c>
      <c r="F359" t="inlineStr">
        <is>
          <t>Y</t>
        </is>
      </c>
      <c r="G359" t="n">
        <v>160</v>
      </c>
      <c r="H359" t="n">
        <v>1.962880245672787</v>
      </c>
      <c r="J359" t="n">
        <v>54</v>
      </c>
      <c r="K359">
        <f>'_pockets'!$AI$1110</f>
        <v/>
      </c>
      <c r="L359">
        <f>'_pockets'!$AJ$1110</f>
        <v/>
      </c>
      <c r="M359">
        <f>IF(AND($A359='Pockets'!$D$17,$B359='Pockets'!$C$17,OR('Pockets'!$E$17="All",AND('Pockets'!$E$17="Worse and material",$K359="Yes",$L359="Yes"),AND('Pockets'!$E$17="Worse or not sure",OR($K359="Yes",$K359="Not sure")))),1,0)</f>
        <v/>
      </c>
      <c r="N359">
        <f>$N358+$M359</f>
        <v/>
      </c>
      <c r="O359" t="inlineStr">
        <is>
          <t>three-way</t>
        </is>
      </c>
      <c r="P359" t="inlineStr">
        <is>
          <t>outcome_booked</t>
        </is>
      </c>
    </row>
    <row r="360">
      <c r="A360" t="inlineStr">
        <is>
          <t>Split by SYS_FLAG</t>
        </is>
      </c>
      <c r="B360" t="inlineStr">
        <is>
          <t>Bad dollars</t>
        </is>
      </c>
      <c r="C360" t="n">
        <v>770</v>
      </c>
      <c r="D360" t="inlineStr">
        <is>
          <t>FICO 686 - 711</t>
        </is>
      </c>
      <c r="E360" t="inlineStr">
        <is>
          <t>ASSET_CLASS 2</t>
        </is>
      </c>
      <c r="F360" t="inlineStr">
        <is>
          <t>Y</t>
        </is>
      </c>
      <c r="G360" t="n">
        <v>179</v>
      </c>
      <c r="H360" t="n">
        <v>1.905290817268532</v>
      </c>
      <c r="J360" t="n">
        <v>55</v>
      </c>
      <c r="K360">
        <f>'_pockets'!$AI$770</f>
        <v/>
      </c>
      <c r="L360">
        <f>'_pockets'!$AJ$770</f>
        <v/>
      </c>
      <c r="M360">
        <f>IF(AND($A360='Pockets'!$D$17,$B360='Pockets'!$C$17,OR('Pockets'!$E$17="All",AND('Pockets'!$E$17="Worse and material",$K360="Yes",$L360="Yes"),AND('Pockets'!$E$17="Worse or not sure",OR($K360="Yes",$K360="Not sure")))),1,0)</f>
        <v/>
      </c>
      <c r="N360">
        <f>$N359+$M360</f>
        <v/>
      </c>
      <c r="O360" t="inlineStr">
        <is>
          <t>three-way</t>
        </is>
      </c>
      <c r="P360" t="inlineStr">
        <is>
          <t>outcome_booked</t>
        </is>
      </c>
    </row>
    <row r="361">
      <c r="A361" t="inlineStr">
        <is>
          <t>Split by SYS_FLAG</t>
        </is>
      </c>
      <c r="B361" t="inlineStr">
        <is>
          <t>Bad dollars</t>
        </is>
      </c>
      <c r="C361" t="n">
        <v>765</v>
      </c>
      <c r="D361" t="inlineStr">
        <is>
          <t>FICO 746 - 921</t>
        </is>
      </c>
      <c r="E361" t="inlineStr">
        <is>
          <t>ASSET_CLASS 3</t>
        </is>
      </c>
      <c r="F361" t="inlineStr">
        <is>
          <t>Y</t>
        </is>
      </c>
      <c r="G361" t="n">
        <v>174</v>
      </c>
      <c r="H361" t="n">
        <v>1.919475348677897</v>
      </c>
      <c r="J361" t="n">
        <v>56</v>
      </c>
      <c r="K361">
        <f>'_pockets'!$AI$765</f>
        <v/>
      </c>
      <c r="L361">
        <f>'_pockets'!$AJ$765</f>
        <v/>
      </c>
      <c r="M361">
        <f>IF(AND($A361='Pockets'!$D$17,$B361='Pockets'!$C$17,OR('Pockets'!$E$17="All",AND('Pockets'!$E$17="Worse and material",$K361="Yes",$L361="Yes"),AND('Pockets'!$E$17="Worse or not sure",OR($K361="Yes",$K361="Not sure")))),1,0)</f>
        <v/>
      </c>
      <c r="N361">
        <f>$N360+$M361</f>
        <v/>
      </c>
      <c r="O361" t="inlineStr">
        <is>
          <t>three-way</t>
        </is>
      </c>
      <c r="P361" t="inlineStr">
        <is>
          <t>outcome_booked</t>
        </is>
      </c>
    </row>
    <row r="362">
      <c r="A362" t="inlineStr">
        <is>
          <t>Split by SYS_FLAG</t>
        </is>
      </c>
      <c r="B362" t="inlineStr">
        <is>
          <t>Bad dollars</t>
        </is>
      </c>
      <c r="C362" t="n">
        <v>870</v>
      </c>
      <c r="D362" t="inlineStr">
        <is>
          <t>ORIG_BAL 37,951 - 49,151</t>
        </is>
      </c>
      <c r="E362" t="inlineStr">
        <is>
          <t>Branch</t>
        </is>
      </c>
      <c r="F362" t="inlineStr">
        <is>
          <t>Y</t>
        </is>
      </c>
      <c r="G362" t="n">
        <v>257</v>
      </c>
      <c r="H362" t="n">
        <v>1.743306219572847</v>
      </c>
      <c r="J362" t="n">
        <v>57</v>
      </c>
      <c r="K362">
        <f>'_pockets'!$AI$870</f>
        <v/>
      </c>
      <c r="L362">
        <f>'_pockets'!$AJ$870</f>
        <v/>
      </c>
      <c r="M362">
        <f>IF(AND($A362='Pockets'!$D$17,$B362='Pockets'!$C$17,OR('Pockets'!$E$17="All",AND('Pockets'!$E$17="Worse and material",$K362="Yes",$L362="Yes"),AND('Pockets'!$E$17="Worse or not sure",OR($K362="Yes",$K362="Not sure")))),1,0)</f>
        <v/>
      </c>
      <c r="N362">
        <f>$N361+$M362</f>
        <v/>
      </c>
      <c r="O362" t="inlineStr">
        <is>
          <t>three-way</t>
        </is>
      </c>
      <c r="P362" t="inlineStr">
        <is>
          <t>outcome_booked</t>
        </is>
      </c>
    </row>
    <row r="363">
      <c r="A363" t="inlineStr">
        <is>
          <t>Split by SYS_FLAG</t>
        </is>
      </c>
      <c r="B363" t="inlineStr">
        <is>
          <t>Bad dollars</t>
        </is>
      </c>
      <c r="C363" t="n">
        <v>700</v>
      </c>
      <c r="D363" t="inlineStr">
        <is>
          <t>FICO 654 - 685</t>
        </is>
      </c>
      <c r="E363" t="inlineStr">
        <is>
          <t>ASSET_CLASS 4</t>
        </is>
      </c>
      <c r="F363" t="inlineStr">
        <is>
          <t>N</t>
        </is>
      </c>
      <c r="G363" t="n">
        <v>219</v>
      </c>
      <c r="H363" t="n">
        <v>1.810802263524882</v>
      </c>
      <c r="J363" t="n">
        <v>58</v>
      </c>
      <c r="K363">
        <f>'_pockets'!$AI$700</f>
        <v/>
      </c>
      <c r="L363">
        <f>'_pockets'!$AJ$700</f>
        <v/>
      </c>
      <c r="M363">
        <f>IF(AND($A363='Pockets'!$D$17,$B363='Pockets'!$C$17,OR('Pockets'!$E$17="All",AND('Pockets'!$E$17="Worse and material",$K363="Yes",$L363="Yes"),AND('Pockets'!$E$17="Worse or not sure",OR($K363="Yes",$K363="Not sure")))),1,0)</f>
        <v/>
      </c>
      <c r="N363">
        <f>$N362+$M363</f>
        <v/>
      </c>
      <c r="O363" t="inlineStr">
        <is>
          <t>three-way</t>
        </is>
      </c>
      <c r="P363" t="inlineStr">
        <is>
          <t>outcome_booked</t>
        </is>
      </c>
    </row>
    <row r="364">
      <c r="A364" t="inlineStr">
        <is>
          <t>Split by SYS_FLAG</t>
        </is>
      </c>
      <c r="B364" t="inlineStr">
        <is>
          <t>Bad dollars</t>
        </is>
      </c>
      <c r="C364" t="n">
        <v>1185</v>
      </c>
      <c r="D364" t="inlineStr">
        <is>
          <t>ORIG_BAL 5,005 - 15,448</t>
        </is>
      </c>
      <c r="E364" t="inlineStr">
        <is>
          <t>ASSET_CLASS 3</t>
        </is>
      </c>
      <c r="F364" t="inlineStr">
        <is>
          <t>Y</t>
        </is>
      </c>
      <c r="G364" t="n">
        <v>184</v>
      </c>
      <c r="H364" t="n">
        <v>1.891720485451258</v>
      </c>
      <c r="J364" t="n">
        <v>59</v>
      </c>
      <c r="K364">
        <f>'_pockets'!$AI$1185</f>
        <v/>
      </c>
      <c r="L364">
        <f>'_pockets'!$AJ$1185</f>
        <v/>
      </c>
      <c r="M364">
        <f>IF(AND($A364='Pockets'!$D$17,$B364='Pockets'!$C$17,OR('Pockets'!$E$17="All",AND('Pockets'!$E$17="Worse and material",$K364="Yes",$L364="Yes"),AND('Pockets'!$E$17="Worse or not sure",OR($K364="Yes",$K364="Not sure")))),1,0)</f>
        <v/>
      </c>
      <c r="N364">
        <f>$N363+$M364</f>
        <v/>
      </c>
      <c r="O364" t="inlineStr">
        <is>
          <t>three-way</t>
        </is>
      </c>
      <c r="P364" t="inlineStr">
        <is>
          <t>outcome_booked</t>
        </is>
      </c>
    </row>
    <row r="365">
      <c r="A365" t="inlineStr">
        <is>
          <t>Split by SYS_FLAG</t>
        </is>
      </c>
      <c r="B365" t="inlineStr">
        <is>
          <t>Bad dollars</t>
        </is>
      </c>
      <c r="C365" t="n">
        <v>1115</v>
      </c>
      <c r="D365" t="inlineStr">
        <is>
          <t>ORIG_BAL 5,005 - 15,448</t>
        </is>
      </c>
      <c r="E365" t="inlineStr">
        <is>
          <t>ASSET_CLASS 1</t>
        </is>
      </c>
      <c r="F365" t="inlineStr">
        <is>
          <t>Y</t>
        </is>
      </c>
      <c r="G365" t="n">
        <v>180</v>
      </c>
      <c r="H365" t="n">
        <v>1.902529037069279</v>
      </c>
      <c r="J365" t="n">
        <v>60</v>
      </c>
      <c r="K365">
        <f>'_pockets'!$AI$1115</f>
        <v/>
      </c>
      <c r="L365">
        <f>'_pockets'!$AJ$1115</f>
        <v/>
      </c>
      <c r="M365">
        <f>IF(AND($A365='Pockets'!$D$17,$B365='Pockets'!$C$17,OR('Pockets'!$E$17="All",AND('Pockets'!$E$17="Worse and material",$K365="Yes",$L365="Yes"),AND('Pockets'!$E$17="Worse or not sure",OR($K365="Yes",$K365="Not sure")))),1,0)</f>
        <v/>
      </c>
      <c r="N365">
        <f>$N364+$M365</f>
        <v/>
      </c>
      <c r="O365" t="inlineStr">
        <is>
          <t>three-way</t>
        </is>
      </c>
      <c r="P365" t="inlineStr">
        <is>
          <t>outcome_booked</t>
        </is>
      </c>
    </row>
    <row r="366">
      <c r="A366" t="inlineStr">
        <is>
          <t>Split by SYS_FLAG</t>
        </is>
      </c>
      <c r="B366" t="inlineStr">
        <is>
          <t>Bad dollars</t>
        </is>
      </c>
      <c r="C366" t="n">
        <v>875</v>
      </c>
      <c r="D366" t="inlineStr">
        <is>
          <t>ORIG_BAL 15,449 - 26,323</t>
        </is>
      </c>
      <c r="E366" t="inlineStr">
        <is>
          <t>Broker</t>
        </is>
      </c>
      <c r="F366" t="inlineStr">
        <is>
          <t>N</t>
        </is>
      </c>
      <c r="G366" t="n">
        <v>293</v>
      </c>
      <c r="H366" t="n">
        <v>1.692444734921831</v>
      </c>
      <c r="J366" t="n">
        <v>61</v>
      </c>
      <c r="K366">
        <f>'_pockets'!$AI$875</f>
        <v/>
      </c>
      <c r="L366">
        <f>'_pockets'!$AJ$875</f>
        <v/>
      </c>
      <c r="M366">
        <f>IF(AND($A366='Pockets'!$D$17,$B366='Pockets'!$C$17,OR('Pockets'!$E$17="All",AND('Pockets'!$E$17="Worse and material",$K366="Yes",$L366="Yes"),AND('Pockets'!$E$17="Worse or not sure",OR($K366="Yes",$K366="Not sure")))),1,0)</f>
        <v/>
      </c>
      <c r="N366">
        <f>$N365+$M366</f>
        <v/>
      </c>
      <c r="O366" t="inlineStr">
        <is>
          <t>three-way</t>
        </is>
      </c>
      <c r="P366" t="inlineStr">
        <is>
          <t>outcome_booked</t>
        </is>
      </c>
    </row>
    <row r="367">
      <c r="A367" t="inlineStr">
        <is>
          <t>Split by SYS_FLAG</t>
        </is>
      </c>
      <c r="B367" t="inlineStr">
        <is>
          <t>Bad dollars</t>
        </is>
      </c>
      <c r="C367" t="n">
        <v>425</v>
      </c>
      <c r="D367" t="inlineStr">
        <is>
          <t>FICO 712 - 745</t>
        </is>
      </c>
      <c r="E367" t="inlineStr">
        <is>
          <t>Branch</t>
        </is>
      </c>
      <c r="F367" t="inlineStr">
        <is>
          <t>Y</t>
        </is>
      </c>
      <c r="G367" t="n">
        <v>230</v>
      </c>
      <c r="H367" t="n">
        <v>1.789463739229201</v>
      </c>
      <c r="J367" t="n">
        <v>62</v>
      </c>
      <c r="K367">
        <f>'_pockets'!$AI$425</f>
        <v/>
      </c>
      <c r="L367">
        <f>'_pockets'!$AJ$425</f>
        <v/>
      </c>
      <c r="M367">
        <f>IF(AND($A367='Pockets'!$D$17,$B367='Pockets'!$C$17,OR('Pockets'!$E$17="All",AND('Pockets'!$E$17="Worse and material",$K367="Yes",$L367="Yes"),AND('Pockets'!$E$17="Worse or not sure",OR($K367="Yes",$K367="Not sure")))),1,0)</f>
        <v/>
      </c>
      <c r="N367">
        <f>$N366+$M367</f>
        <v/>
      </c>
      <c r="O367" t="inlineStr">
        <is>
          <t>three-way</t>
        </is>
      </c>
      <c r="P367" t="inlineStr">
        <is>
          <t>outcome_booked</t>
        </is>
      </c>
    </row>
    <row r="368">
      <c r="A368" t="inlineStr">
        <is>
          <t>Split by SYS_FLAG</t>
        </is>
      </c>
      <c r="B368" t="inlineStr">
        <is>
          <t>Bad dollars</t>
        </is>
      </c>
      <c r="C368" t="n">
        <v>880</v>
      </c>
      <c r="D368" t="inlineStr">
        <is>
          <t>ORIG_BAL 15,449 - 26,323</t>
        </is>
      </c>
      <c r="E368" t="inlineStr">
        <is>
          <t>Online</t>
        </is>
      </c>
      <c r="F368" t="inlineStr">
        <is>
          <t>N</t>
        </is>
      </c>
      <c r="G368" t="n">
        <v>300</v>
      </c>
      <c r="H368" t="n">
        <v>1.683682821612953</v>
      </c>
      <c r="J368" t="n">
        <v>63</v>
      </c>
      <c r="K368">
        <f>'_pockets'!$AI$880</f>
        <v/>
      </c>
      <c r="L368">
        <f>'_pockets'!$AJ$880</f>
        <v/>
      </c>
      <c r="M368">
        <f>IF(AND($A368='Pockets'!$D$17,$B368='Pockets'!$C$17,OR('Pockets'!$E$17="All",AND('Pockets'!$E$17="Worse and material",$K368="Yes",$L368="Yes"),AND('Pockets'!$E$17="Worse or not sure",OR($K368="Yes",$K368="Not sure")))),1,0)</f>
        <v/>
      </c>
      <c r="N368">
        <f>$N367+$M368</f>
        <v/>
      </c>
      <c r="O368" t="inlineStr">
        <is>
          <t>three-way</t>
        </is>
      </c>
      <c r="P368" t="inlineStr">
        <is>
          <t>outcome_booked</t>
        </is>
      </c>
    </row>
    <row r="369">
      <c r="A369" t="inlineStr">
        <is>
          <t>Split by SYS_FLAG</t>
        </is>
      </c>
      <c r="B369" t="inlineStr">
        <is>
          <t>Bad dollars</t>
        </is>
      </c>
      <c r="C369" t="n">
        <v>1090</v>
      </c>
      <c r="D369" t="inlineStr">
        <is>
          <t>ORIG_BAL 49,152 - 59,984</t>
        </is>
      </c>
      <c r="E369" t="inlineStr">
        <is>
          <t>ASSET_CLASS 3</t>
        </is>
      </c>
      <c r="F369" t="inlineStr">
        <is>
          <t>Y</t>
        </is>
      </c>
      <c r="G369" t="n">
        <v>179</v>
      </c>
      <c r="H369" t="n">
        <v>1.905290817268532</v>
      </c>
      <c r="J369" t="n">
        <v>64</v>
      </c>
      <c r="K369">
        <f>'_pockets'!$AI$1090</f>
        <v/>
      </c>
      <c r="L369">
        <f>'_pockets'!$AJ$1090</f>
        <v/>
      </c>
      <c r="M369">
        <f>IF(AND($A369='Pockets'!$D$17,$B369='Pockets'!$C$17,OR('Pockets'!$E$17="All",AND('Pockets'!$E$17="Worse and material",$K369="Yes",$L369="Yes"),AND('Pockets'!$E$17="Worse or not sure",OR($K369="Yes",$K369="Not sure")))),1,0)</f>
        <v/>
      </c>
      <c r="N369">
        <f>$N368+$M369</f>
        <v/>
      </c>
      <c r="O369" t="inlineStr">
        <is>
          <t>three-way</t>
        </is>
      </c>
      <c r="P369" t="inlineStr">
        <is>
          <t>outcome_booked</t>
        </is>
      </c>
    </row>
    <row r="370">
      <c r="A370" t="inlineStr">
        <is>
          <t>Split by SYS_FLAG</t>
        </is>
      </c>
      <c r="B370" t="inlineStr">
        <is>
          <t>Bad dollars</t>
        </is>
      </c>
      <c r="C370" t="n">
        <v>445</v>
      </c>
      <c r="D370" t="inlineStr">
        <is>
          <t>FICO 686 - 711</t>
        </is>
      </c>
      <c r="E370" t="inlineStr">
        <is>
          <t>Broker</t>
        </is>
      </c>
      <c r="F370" t="inlineStr">
        <is>
          <t>Y</t>
        </is>
      </c>
      <c r="G370" t="n">
        <v>230</v>
      </c>
      <c r="H370" t="n">
        <v>1.789463739229201</v>
      </c>
      <c r="J370" t="n">
        <v>65</v>
      </c>
      <c r="K370">
        <f>'_pockets'!$AI$445</f>
        <v/>
      </c>
      <c r="L370">
        <f>'_pockets'!$AJ$445</f>
        <v/>
      </c>
      <c r="M370">
        <f>IF(AND($A370='Pockets'!$D$17,$B370='Pockets'!$C$17,OR('Pockets'!$E$17="All",AND('Pockets'!$E$17="Worse and material",$K370="Yes",$L370="Yes"),AND('Pockets'!$E$17="Worse or not sure",OR($K370="Yes",$K370="Not sure")))),1,0)</f>
        <v/>
      </c>
      <c r="N370">
        <f>$N369+$M370</f>
        <v/>
      </c>
      <c r="O370" t="inlineStr">
        <is>
          <t>three-way</t>
        </is>
      </c>
      <c r="P370" t="inlineStr">
        <is>
          <t>outcome_booked</t>
        </is>
      </c>
    </row>
    <row r="371">
      <c r="A371" t="inlineStr">
        <is>
          <t>Split by SYS_FLAG</t>
        </is>
      </c>
      <c r="B371" t="inlineStr">
        <is>
          <t>Bad dollars</t>
        </is>
      </c>
      <c r="C371" t="n">
        <v>1025</v>
      </c>
      <c r="D371" t="inlineStr">
        <is>
          <t>ORIG_BAL 37,951 - 49,151</t>
        </is>
      </c>
      <c r="E371" t="inlineStr">
        <is>
          <t>ASSET_CLASS 2</t>
        </is>
      </c>
      <c r="F371" t="inlineStr">
        <is>
          <t>Y</t>
        </is>
      </c>
      <c r="G371" t="n">
        <v>199</v>
      </c>
      <c r="H371" t="n">
        <v>1.854288927293069</v>
      </c>
      <c r="J371" t="n">
        <v>66</v>
      </c>
      <c r="K371">
        <f>'_pockets'!$AI$1025</f>
        <v/>
      </c>
      <c r="L371">
        <f>'_pockets'!$AJ$1025</f>
        <v/>
      </c>
      <c r="M371">
        <f>IF(AND($A371='Pockets'!$D$17,$B371='Pockets'!$C$17,OR('Pockets'!$E$17="All",AND('Pockets'!$E$17="Worse and material",$K371="Yes",$L371="Yes"),AND('Pockets'!$E$17="Worse or not sure",OR($K371="Yes",$K371="Not sure")))),1,0)</f>
        <v/>
      </c>
      <c r="N371">
        <f>$N370+$M371</f>
        <v/>
      </c>
      <c r="O371" t="inlineStr">
        <is>
          <t>three-way</t>
        </is>
      </c>
      <c r="P371" t="inlineStr">
        <is>
          <t>outcome_booked</t>
        </is>
      </c>
    </row>
    <row r="372">
      <c r="A372" t="inlineStr">
        <is>
          <t>Split by SYS_FLAG</t>
        </is>
      </c>
      <c r="B372" t="inlineStr">
        <is>
          <t>Bad dollars</t>
        </is>
      </c>
      <c r="C372" t="n">
        <v>735</v>
      </c>
      <c r="D372" t="inlineStr">
        <is>
          <t>FICO (marked missing)</t>
        </is>
      </c>
      <c r="E372" t="inlineStr">
        <is>
          <t>ASSET_CLASS 3</t>
        </is>
      </c>
      <c r="F372" t="inlineStr">
        <is>
          <t>Y</t>
        </is>
      </c>
      <c r="G372" t="n">
        <v>22</v>
      </c>
      <c r="H372" t="n">
        <v>4.016580485581801</v>
      </c>
      <c r="J372" t="n">
        <v>67</v>
      </c>
      <c r="K372">
        <f>'_pockets'!$AI$735</f>
        <v/>
      </c>
      <c r="L372">
        <f>'_pockets'!$AJ$735</f>
        <v/>
      </c>
      <c r="M372">
        <f>IF(AND($A372='Pockets'!$D$17,$B372='Pockets'!$C$17,OR('Pockets'!$E$17="All",AND('Pockets'!$E$17="Worse and material",$K372="Yes",$L372="Yes"),AND('Pockets'!$E$17="Worse or not sure",OR($K372="Yes",$K372="Not sure")))),1,0)</f>
        <v/>
      </c>
      <c r="N372">
        <f>$N371+$M372</f>
        <v/>
      </c>
      <c r="O372" t="inlineStr">
        <is>
          <t>three-way</t>
        </is>
      </c>
      <c r="P372" t="inlineStr">
        <is>
          <t>outcome_booked</t>
        </is>
      </c>
    </row>
    <row r="373">
      <c r="A373" t="inlineStr">
        <is>
          <t>Split by SYS_FLAG</t>
        </is>
      </c>
      <c r="B373" t="inlineStr">
        <is>
          <t>Bad dollars</t>
        </is>
      </c>
      <c r="C373" t="n">
        <v>530</v>
      </c>
      <c r="D373" t="inlineStr">
        <is>
          <t>FICO (marked missing)</t>
        </is>
      </c>
      <c r="E373" t="inlineStr">
        <is>
          <t>Online</t>
        </is>
      </c>
      <c r="F373" t="inlineStr">
        <is>
          <t>Y</t>
        </is>
      </c>
      <c r="G373" t="n">
        <v>25</v>
      </c>
      <c r="H373" t="n">
        <v>3.792822861026263</v>
      </c>
      <c r="J373" t="n">
        <v>68</v>
      </c>
      <c r="K373">
        <f>'_pockets'!$AI$530</f>
        <v/>
      </c>
      <c r="L373">
        <f>'_pockets'!$AJ$530</f>
        <v/>
      </c>
      <c r="M373">
        <f>IF(AND($A373='Pockets'!$D$17,$B373='Pockets'!$C$17,OR('Pockets'!$E$17="All",AND('Pockets'!$E$17="Worse and material",$K373="Yes",$L373="Yes"),AND('Pockets'!$E$17="Worse or not sure",OR($K373="Yes",$K373="Not sure")))),1,0)</f>
        <v/>
      </c>
      <c r="N373">
        <f>$N372+$M373</f>
        <v/>
      </c>
      <c r="O373" t="inlineStr">
        <is>
          <t>three-way</t>
        </is>
      </c>
      <c r="P373" t="inlineStr">
        <is>
          <t>outcome_booked</t>
        </is>
      </c>
    </row>
    <row r="374">
      <c r="A374" t="inlineStr">
        <is>
          <t>Split by SYS_FLAG</t>
        </is>
      </c>
      <c r="B374" t="inlineStr">
        <is>
          <t>Bad dollars</t>
        </is>
      </c>
      <c r="C374" t="n">
        <v>610</v>
      </c>
      <c r="D374" t="inlineStr">
        <is>
          <t>FICO 712 - 745</t>
        </is>
      </c>
      <c r="E374" t="inlineStr">
        <is>
          <t>ASSET_CLASS 2</t>
        </is>
      </c>
      <c r="F374" t="inlineStr">
        <is>
          <t>Y</t>
        </is>
      </c>
      <c r="G374" t="n">
        <v>183</v>
      </c>
      <c r="H374" t="n">
        <v>1.894387517377712</v>
      </c>
      <c r="J374" t="n">
        <v>69</v>
      </c>
      <c r="K374">
        <f>'_pockets'!$AI$610</f>
        <v/>
      </c>
      <c r="L374">
        <f>'_pockets'!$AJ$610</f>
        <v/>
      </c>
      <c r="M374">
        <f>IF(AND($A374='Pockets'!$D$17,$B374='Pockets'!$C$17,OR('Pockets'!$E$17="All",AND('Pockets'!$E$17="Worse and material",$K374="Yes",$L374="Yes"),AND('Pockets'!$E$17="Worse or not sure",OR($K374="Yes",$K374="Not sure")))),1,0)</f>
        <v/>
      </c>
      <c r="N374">
        <f>$N373+$M374</f>
        <v/>
      </c>
      <c r="O374" t="inlineStr">
        <is>
          <t>three-way</t>
        </is>
      </c>
      <c r="P374" t="inlineStr">
        <is>
          <t>outcome_booked</t>
        </is>
      </c>
    </row>
    <row r="375">
      <c r="A375" t="inlineStr">
        <is>
          <t>Split by SYS_FLAG</t>
        </is>
      </c>
      <c r="B375" t="inlineStr">
        <is>
          <t>Bad dollars</t>
        </is>
      </c>
      <c r="C375" t="n">
        <v>965</v>
      </c>
      <c r="D375" t="inlineStr">
        <is>
          <t>ORIG_BAL 5,005 - 15,448</t>
        </is>
      </c>
      <c r="E375" t="inlineStr">
        <is>
          <t>Branch</t>
        </is>
      </c>
      <c r="F375" t="inlineStr">
        <is>
          <t>Y</t>
        </is>
      </c>
      <c r="G375" t="n">
        <v>241</v>
      </c>
      <c r="H375" t="n">
        <v>1.769676477688372</v>
      </c>
      <c r="J375" t="n">
        <v>70</v>
      </c>
      <c r="K375">
        <f>'_pockets'!$AI$965</f>
        <v/>
      </c>
      <c r="L375">
        <f>'_pockets'!$AJ$965</f>
        <v/>
      </c>
      <c r="M375">
        <f>IF(AND($A375='Pockets'!$D$17,$B375='Pockets'!$C$17,OR('Pockets'!$E$17="All",AND('Pockets'!$E$17="Worse and material",$K375="Yes",$L375="Yes"),AND('Pockets'!$E$17="Worse or not sure",OR($K375="Yes",$K375="Not sure")))),1,0)</f>
        <v/>
      </c>
      <c r="N375">
        <f>$N374+$M375</f>
        <v/>
      </c>
      <c r="O375" t="inlineStr">
        <is>
          <t>three-way</t>
        </is>
      </c>
      <c r="P375" t="inlineStr">
        <is>
          <t>outcome_booked</t>
        </is>
      </c>
    </row>
    <row r="376">
      <c r="A376" t="inlineStr">
        <is>
          <t>Split by SYS_FLAG</t>
        </is>
      </c>
      <c r="B376" t="inlineStr">
        <is>
          <t>Bad dollars</t>
        </is>
      </c>
      <c r="C376" t="n">
        <v>665</v>
      </c>
      <c r="D376" t="inlineStr">
        <is>
          <t>FICO 746 - 921</t>
        </is>
      </c>
      <c r="E376" t="inlineStr">
        <is>
          <t>ASSET_CLASS 4</t>
        </is>
      </c>
      <c r="F376" t="inlineStr">
        <is>
          <t>Y</t>
        </is>
      </c>
      <c r="G376" t="n">
        <v>164</v>
      </c>
      <c r="H376" t="n">
        <v>1.949880350935438</v>
      </c>
      <c r="J376" t="n">
        <v>71</v>
      </c>
      <c r="K376">
        <f>'_pockets'!$AI$665</f>
        <v/>
      </c>
      <c r="L376">
        <f>'_pockets'!$AJ$665</f>
        <v/>
      </c>
      <c r="M376">
        <f>IF(AND($A376='Pockets'!$D$17,$B376='Pockets'!$C$17,OR('Pockets'!$E$17="All",AND('Pockets'!$E$17="Worse and material",$K376="Yes",$L376="Yes"),AND('Pockets'!$E$17="Worse or not sure",OR($K376="Yes",$K376="Not sure")))),1,0)</f>
        <v/>
      </c>
      <c r="N376">
        <f>$N375+$M376</f>
        <v/>
      </c>
      <c r="O376" t="inlineStr">
        <is>
          <t>three-way</t>
        </is>
      </c>
      <c r="P376" t="inlineStr">
        <is>
          <t>outcome_booked</t>
        </is>
      </c>
    </row>
    <row r="377">
      <c r="A377" t="inlineStr">
        <is>
          <t>Split by SYS_FLAG</t>
        </is>
      </c>
      <c r="B377" t="inlineStr">
        <is>
          <t>Bad dollars</t>
        </is>
      </c>
      <c r="C377" t="n">
        <v>450</v>
      </c>
      <c r="D377" t="inlineStr">
        <is>
          <t>FICO 712 - 745</t>
        </is>
      </c>
      <c r="E377" t="inlineStr">
        <is>
          <t>Online</t>
        </is>
      </c>
      <c r="F377" t="inlineStr">
        <is>
          <t>N</t>
        </is>
      </c>
      <c r="G377" t="n">
        <v>286</v>
      </c>
      <c r="H377" t="n">
        <v>1.701541679693632</v>
      </c>
      <c r="J377" t="n">
        <v>72</v>
      </c>
      <c r="K377">
        <f>'_pockets'!$AI$450</f>
        <v/>
      </c>
      <c r="L377">
        <f>'_pockets'!$AJ$450</f>
        <v/>
      </c>
      <c r="M377">
        <f>IF(AND($A377='Pockets'!$D$17,$B377='Pockets'!$C$17,OR('Pockets'!$E$17="All",AND('Pockets'!$E$17="Worse and material",$K377="Yes",$L377="Yes"),AND('Pockets'!$E$17="Worse or not sure",OR($K377="Yes",$K377="Not sure")))),1,0)</f>
        <v/>
      </c>
      <c r="N377">
        <f>$N376+$M377</f>
        <v/>
      </c>
      <c r="O377" t="inlineStr">
        <is>
          <t>three-way</t>
        </is>
      </c>
      <c r="P377" t="inlineStr">
        <is>
          <t>outcome_booked</t>
        </is>
      </c>
    </row>
    <row r="378">
      <c r="A378" t="inlineStr">
        <is>
          <t>Split by SYS_FLAG</t>
        </is>
      </c>
      <c r="B378" t="inlineStr">
        <is>
          <t>Bad dollars</t>
        </is>
      </c>
      <c r="C378" t="n">
        <v>640</v>
      </c>
      <c r="D378" t="inlineStr">
        <is>
          <t>FICO 712 - 745</t>
        </is>
      </c>
      <c r="E378" t="inlineStr">
        <is>
          <t>ASSET_CLASS 4</t>
        </is>
      </c>
      <c r="F378" t="inlineStr">
        <is>
          <t>N</t>
        </is>
      </c>
      <c r="G378" t="n">
        <v>220</v>
      </c>
      <c r="H378" t="n">
        <v>1.808793025850869</v>
      </c>
      <c r="J378" t="n">
        <v>73</v>
      </c>
      <c r="K378">
        <f>'_pockets'!$AI$640</f>
        <v/>
      </c>
      <c r="L378">
        <f>'_pockets'!$AJ$640</f>
        <v/>
      </c>
      <c r="M378">
        <f>IF(AND($A378='Pockets'!$D$17,$B378='Pockets'!$C$17,OR('Pockets'!$E$17="All",AND('Pockets'!$E$17="Worse and material",$K378="Yes",$L378="Yes"),AND('Pockets'!$E$17="Worse or not sure",OR($K378="Yes",$K378="Not sure")))),1,0)</f>
        <v/>
      </c>
      <c r="N378">
        <f>$N377+$M378</f>
        <v/>
      </c>
      <c r="O378" t="inlineStr">
        <is>
          <t>three-way</t>
        </is>
      </c>
      <c r="P378" t="inlineStr">
        <is>
          <t>outcome_booked</t>
        </is>
      </c>
    </row>
    <row r="379">
      <c r="A379" t="inlineStr">
        <is>
          <t>Split by SYS_FLAG</t>
        </is>
      </c>
      <c r="B379" t="inlineStr">
        <is>
          <t>Bad dollars</t>
        </is>
      </c>
      <c r="C379" t="n">
        <v>585</v>
      </c>
      <c r="D379" t="inlineStr">
        <is>
          <t>FICO (marked missing)</t>
        </is>
      </c>
      <c r="E379" t="inlineStr">
        <is>
          <t>Broker</t>
        </is>
      </c>
      <c r="F379" t="inlineStr">
        <is>
          <t>N</t>
        </is>
      </c>
      <c r="G379" t="n">
        <v>29</v>
      </c>
      <c r="H379" t="n">
        <v>3.555532964376312</v>
      </c>
      <c r="J379" t="n">
        <v>74</v>
      </c>
      <c r="K379">
        <f>'_pockets'!$AI$585</f>
        <v/>
      </c>
      <c r="L379">
        <f>'_pockets'!$AJ$585</f>
        <v/>
      </c>
      <c r="M379">
        <f>IF(AND($A379='Pockets'!$D$17,$B379='Pockets'!$C$17,OR('Pockets'!$E$17="All",AND('Pockets'!$E$17="Worse and material",$K379="Yes",$L379="Yes"),AND('Pockets'!$E$17="Worse or not sure",OR($K379="Yes",$K379="Not sure")))),1,0)</f>
        <v/>
      </c>
      <c r="N379">
        <f>$N378+$M379</f>
        <v/>
      </c>
      <c r="O379" t="inlineStr">
        <is>
          <t>three-way</t>
        </is>
      </c>
      <c r="P379" t="inlineStr">
        <is>
          <t>outcome_booked</t>
        </is>
      </c>
    </row>
    <row r="380">
      <c r="A380" t="inlineStr">
        <is>
          <t>Split by SYS_FLAG</t>
        </is>
      </c>
      <c r="B380" t="inlineStr">
        <is>
          <t>Bad dollars</t>
        </is>
      </c>
      <c r="C380" t="n">
        <v>810</v>
      </c>
      <c r="D380" t="inlineStr">
        <is>
          <t>FICO (marked missing)</t>
        </is>
      </c>
      <c r="E380" t="inlineStr">
        <is>
          <t>ASSET_CLASS 4</t>
        </is>
      </c>
      <c r="F380" t="inlineStr">
        <is>
          <t>Y</t>
        </is>
      </c>
      <c r="G380" t="n">
        <v>17</v>
      </c>
      <c r="H380" t="n">
        <v>4.530044787381362</v>
      </c>
      <c r="J380" t="n">
        <v>75</v>
      </c>
      <c r="K380">
        <f>'_pockets'!$AI$810</f>
        <v/>
      </c>
      <c r="L380">
        <f>'_pockets'!$AJ$810</f>
        <v/>
      </c>
      <c r="M380">
        <f>IF(AND($A380='Pockets'!$D$17,$B380='Pockets'!$C$17,OR('Pockets'!$E$17="All",AND('Pockets'!$E$17="Worse and material",$K380="Yes",$L380="Yes"),AND('Pockets'!$E$17="Worse or not sure",OR($K380="Yes",$K380="Not sure")))),1,0)</f>
        <v/>
      </c>
      <c r="N380">
        <f>$N379+$M380</f>
        <v/>
      </c>
      <c r="O380" t="inlineStr">
        <is>
          <t>three-way</t>
        </is>
      </c>
      <c r="P380" t="inlineStr">
        <is>
          <t>outcome_booked</t>
        </is>
      </c>
    </row>
    <row r="381">
      <c r="A381" t="inlineStr">
        <is>
          <t>Split by SYS_FLAG</t>
        </is>
      </c>
      <c r="B381" t="inlineStr">
        <is>
          <t>Bad dollars</t>
        </is>
      </c>
      <c r="C381" t="n">
        <v>730</v>
      </c>
      <c r="D381" t="inlineStr">
        <is>
          <t>FICO 712 - 745</t>
        </is>
      </c>
      <c r="E381" t="inlineStr">
        <is>
          <t>ASSET_CLASS 1</t>
        </is>
      </c>
      <c r="F381" t="inlineStr">
        <is>
          <t>Y</t>
        </is>
      </c>
      <c r="G381" t="n">
        <v>167</v>
      </c>
      <c r="H381" t="n">
        <v>1.940456088306094</v>
      </c>
      <c r="J381" t="n">
        <v>76</v>
      </c>
      <c r="K381">
        <f>'_pockets'!$AI$730</f>
        <v/>
      </c>
      <c r="L381">
        <f>'_pockets'!$AJ$730</f>
        <v/>
      </c>
      <c r="M381">
        <f>IF(AND($A381='Pockets'!$D$17,$B381='Pockets'!$C$17,OR('Pockets'!$E$17="All",AND('Pockets'!$E$17="Worse and material",$K381="Yes",$L381="Yes"),AND('Pockets'!$E$17="Worse or not sure",OR($K381="Yes",$K381="Not sure")))),1,0)</f>
        <v/>
      </c>
      <c r="N381">
        <f>$N380+$M381</f>
        <v/>
      </c>
      <c r="O381" t="inlineStr">
        <is>
          <t>three-way</t>
        </is>
      </c>
      <c r="P381" t="inlineStr">
        <is>
          <t>outcome_booked</t>
        </is>
      </c>
    </row>
    <row r="382">
      <c r="A382" t="inlineStr">
        <is>
          <t>Split by SYS_FLAG</t>
        </is>
      </c>
      <c r="B382" t="inlineStr">
        <is>
          <t>Bad dollars</t>
        </is>
      </c>
      <c r="C382" t="n">
        <v>545</v>
      </c>
      <c r="D382" t="inlineStr">
        <is>
          <t>FICO 496 - 653</t>
        </is>
      </c>
      <c r="E382" t="inlineStr">
        <is>
          <t>Online</t>
        </is>
      </c>
      <c r="F382" t="inlineStr">
        <is>
          <t>Y</t>
        </is>
      </c>
      <c r="G382" t="n">
        <v>226</v>
      </c>
      <c r="H382" t="n">
        <v>1.797033429832368</v>
      </c>
      <c r="J382" t="n">
        <v>77</v>
      </c>
      <c r="K382">
        <f>'_pockets'!$AI$545</f>
        <v/>
      </c>
      <c r="L382">
        <f>'_pockets'!$AJ$545</f>
        <v/>
      </c>
      <c r="M382">
        <f>IF(AND($A382='Pockets'!$D$17,$B382='Pockets'!$C$17,OR('Pockets'!$E$17="All",AND('Pockets'!$E$17="Worse and material",$K382="Yes",$L382="Yes"),AND('Pockets'!$E$17="Worse or not sure",OR($K382="Yes",$K382="Not sure")))),1,0)</f>
        <v/>
      </c>
      <c r="N382">
        <f>$N381+$M382</f>
        <v/>
      </c>
      <c r="O382" t="inlineStr">
        <is>
          <t>three-way</t>
        </is>
      </c>
      <c r="P382" t="inlineStr">
        <is>
          <t>outcome_booked</t>
        </is>
      </c>
    </row>
    <row r="383">
      <c r="A383" t="inlineStr">
        <is>
          <t>Split by SYS_FLAG</t>
        </is>
      </c>
      <c r="B383" t="inlineStr">
        <is>
          <t>Bad dollars</t>
        </is>
      </c>
      <c r="C383" t="n">
        <v>495</v>
      </c>
      <c r="D383" t="inlineStr">
        <is>
          <t>FICO 496 - 653</t>
        </is>
      </c>
      <c r="E383" t="inlineStr">
        <is>
          <t>Branch</t>
        </is>
      </c>
      <c r="F383" t="inlineStr">
        <is>
          <t>Y</t>
        </is>
      </c>
      <c r="G383" t="n">
        <v>231</v>
      </c>
      <c r="H383" t="n">
        <v>1.787603677458908</v>
      </c>
      <c r="J383" t="n">
        <v>78</v>
      </c>
      <c r="K383">
        <f>'_pockets'!$AI$495</f>
        <v/>
      </c>
      <c r="L383">
        <f>'_pockets'!$AJ$495</f>
        <v/>
      </c>
      <c r="M383">
        <f>IF(AND($A383='Pockets'!$D$17,$B383='Pockets'!$C$17,OR('Pockets'!$E$17="All",AND('Pockets'!$E$17="Worse and material",$K383="Yes",$L383="Yes"),AND('Pockets'!$E$17="Worse or not sure",OR($K383="Yes",$K383="Not sure")))),1,0)</f>
        <v/>
      </c>
      <c r="N383">
        <f>$N382+$M383</f>
        <v/>
      </c>
      <c r="O383" t="inlineStr">
        <is>
          <t>three-way</t>
        </is>
      </c>
      <c r="P383" t="inlineStr">
        <is>
          <t>outcome_booked</t>
        </is>
      </c>
    </row>
    <row r="384">
      <c r="A384" t="inlineStr">
        <is>
          <t>Split by SYS_FLAG</t>
        </is>
      </c>
      <c r="B384" t="inlineStr">
        <is>
          <t>Bad dollars</t>
        </is>
      </c>
      <c r="C384" t="n">
        <v>795</v>
      </c>
      <c r="D384" t="inlineStr">
        <is>
          <t>FICO 496 - 653</t>
        </is>
      </c>
      <c r="E384" t="inlineStr">
        <is>
          <t>ASSET_CLASS 2</t>
        </is>
      </c>
      <c r="F384" t="inlineStr">
        <is>
          <t>Y</t>
        </is>
      </c>
      <c r="G384" t="n">
        <v>181</v>
      </c>
      <c r="H384" t="n">
        <v>1.899791456879921</v>
      </c>
      <c r="J384" t="n">
        <v>79</v>
      </c>
      <c r="K384">
        <f>'_pockets'!$AI$795</f>
        <v/>
      </c>
      <c r="L384">
        <f>'_pockets'!$AJ$795</f>
        <v/>
      </c>
      <c r="M384">
        <f>IF(AND($A384='Pockets'!$D$17,$B384='Pockets'!$C$17,OR('Pockets'!$E$17="All",AND('Pockets'!$E$17="Worse and material",$K384="Yes",$L384="Yes"),AND('Pockets'!$E$17="Worse or not sure",OR($K384="Yes",$K384="Not sure")))),1,0)</f>
        <v/>
      </c>
      <c r="N384">
        <f>$N383+$M384</f>
        <v/>
      </c>
      <c r="O384" t="inlineStr">
        <is>
          <t>three-way</t>
        </is>
      </c>
      <c r="P384" t="inlineStr">
        <is>
          <t>outcome_booked</t>
        </is>
      </c>
    </row>
    <row r="385">
      <c r="A385" t="inlineStr">
        <is>
          <t>Split by SYS_FLAG</t>
        </is>
      </c>
      <c r="B385" t="inlineStr">
        <is>
          <t>Bad dollars</t>
        </is>
      </c>
      <c r="C385" t="n">
        <v>675</v>
      </c>
      <c r="D385" t="inlineStr">
        <is>
          <t>FICO 496 - 653</t>
        </is>
      </c>
      <c r="E385" t="inlineStr">
        <is>
          <t>ASSET_CLASS 3</t>
        </is>
      </c>
      <c r="F385" t="inlineStr">
        <is>
          <t>N</t>
        </is>
      </c>
      <c r="G385" t="n">
        <v>184</v>
      </c>
      <c r="H385" t="n">
        <v>1.891720485451258</v>
      </c>
      <c r="J385" t="n">
        <v>80</v>
      </c>
      <c r="K385">
        <f>'_pockets'!$AI$675</f>
        <v/>
      </c>
      <c r="L385">
        <f>'_pockets'!$AJ$675</f>
        <v/>
      </c>
      <c r="M385">
        <f>IF(AND($A385='Pockets'!$D$17,$B385='Pockets'!$C$17,OR('Pockets'!$E$17="All",AND('Pockets'!$E$17="Worse and material",$K385="Yes",$L385="Yes"),AND('Pockets'!$E$17="Worse or not sure",OR($K385="Yes",$K385="Not sure")))),1,0)</f>
        <v/>
      </c>
      <c r="N385">
        <f>$N384+$M385</f>
        <v/>
      </c>
      <c r="O385" t="inlineStr">
        <is>
          <t>three-way</t>
        </is>
      </c>
      <c r="P385" t="inlineStr">
        <is>
          <t>outcome_booked</t>
        </is>
      </c>
    </row>
    <row r="386">
      <c r="A386" t="inlineStr">
        <is>
          <t>Split by SYS_FLAG</t>
        </is>
      </c>
      <c r="B386" t="inlineStr">
        <is>
          <t>Bad dollars</t>
        </is>
      </c>
      <c r="C386" t="n">
        <v>615</v>
      </c>
      <c r="D386" t="inlineStr">
        <is>
          <t>FICO 496 - 653</t>
        </is>
      </c>
      <c r="E386" t="inlineStr">
        <is>
          <t>ASSET_CLASS 2</t>
        </is>
      </c>
      <c r="F386" t="inlineStr">
        <is>
          <t>N</t>
        </is>
      </c>
      <c r="G386" t="n">
        <v>212</v>
      </c>
      <c r="H386" t="n">
        <v>1.825283810113044</v>
      </c>
      <c r="J386" t="n">
        <v>81</v>
      </c>
      <c r="K386">
        <f>'_pockets'!$AI$615</f>
        <v/>
      </c>
      <c r="L386">
        <f>'_pockets'!$AJ$615</f>
        <v/>
      </c>
      <c r="M386">
        <f>IF(AND($A386='Pockets'!$D$17,$B386='Pockets'!$C$17,OR('Pockets'!$E$17="All",AND('Pockets'!$E$17="Worse and material",$K386="Yes",$L386="Yes"),AND('Pockets'!$E$17="Worse or not sure",OR($K386="Yes",$K386="Not sure")))),1,0)</f>
        <v/>
      </c>
      <c r="N386">
        <f>$N385+$M386</f>
        <v/>
      </c>
      <c r="O386" t="inlineStr">
        <is>
          <t>three-way</t>
        </is>
      </c>
      <c r="P386" t="inlineStr">
        <is>
          <t>outcome_booked</t>
        </is>
      </c>
    </row>
    <row r="387">
      <c r="A387" t="inlineStr">
        <is>
          <t>Split by SYS_FLAG</t>
        </is>
      </c>
      <c r="B387" t="inlineStr">
        <is>
          <t>Bad dollars</t>
        </is>
      </c>
      <c r="C387" t="n">
        <v>935</v>
      </c>
      <c r="D387" t="inlineStr">
        <is>
          <t>ORIG_BAL 15,449 - 26,323</t>
        </is>
      </c>
      <c r="E387" t="inlineStr">
        <is>
          <t>Online</t>
        </is>
      </c>
      <c r="F387" t="inlineStr">
        <is>
          <t>Y</t>
        </is>
      </c>
      <c r="G387" t="n">
        <v>238</v>
      </c>
      <c r="H387" t="n">
        <v>1.774929819505649</v>
      </c>
      <c r="J387" t="n">
        <v>82</v>
      </c>
      <c r="K387">
        <f>'_pockets'!$AI$935</f>
        <v/>
      </c>
      <c r="L387">
        <f>'_pockets'!$AJ$935</f>
        <v/>
      </c>
      <c r="M387">
        <f>IF(AND($A387='Pockets'!$D$17,$B387='Pockets'!$C$17,OR('Pockets'!$E$17="All",AND('Pockets'!$E$17="Worse and material",$K387="Yes",$L387="Yes"),AND('Pockets'!$E$17="Worse or not sure",OR($K387="Yes",$K387="Not sure")))),1,0)</f>
        <v/>
      </c>
      <c r="N387">
        <f>$N386+$M387</f>
        <v/>
      </c>
      <c r="O387" t="inlineStr">
        <is>
          <t>three-way</t>
        </is>
      </c>
      <c r="P387" t="inlineStr">
        <is>
          <t>outcome_booked</t>
        </is>
      </c>
    </row>
    <row r="388">
      <c r="A388" t="inlineStr">
        <is>
          <t>Split by SYS_FLAG</t>
        </is>
      </c>
      <c r="B388" t="inlineStr">
        <is>
          <t>Bad dollars</t>
        </is>
      </c>
      <c r="C388" t="n">
        <v>1130</v>
      </c>
      <c r="D388" t="inlineStr">
        <is>
          <t>ORIG_BAL 15,449 - 26,323</t>
        </is>
      </c>
      <c r="E388" t="inlineStr">
        <is>
          <t>ASSET_CLASS 3</t>
        </is>
      </c>
      <c r="F388" t="inlineStr">
        <is>
          <t>N</t>
        </is>
      </c>
      <c r="G388" t="n">
        <v>234</v>
      </c>
      <c r="H388" t="n">
        <v>1.782098856509703</v>
      </c>
      <c r="J388" t="n">
        <v>83</v>
      </c>
      <c r="K388">
        <f>'_pockets'!$AI$1130</f>
        <v/>
      </c>
      <c r="L388">
        <f>'_pockets'!$AJ$1130</f>
        <v/>
      </c>
      <c r="M388">
        <f>IF(AND($A388='Pockets'!$D$17,$B388='Pockets'!$C$17,OR('Pockets'!$E$17="All",AND('Pockets'!$E$17="Worse and material",$K388="Yes",$L388="Yes"),AND('Pockets'!$E$17="Worse or not sure",OR($K388="Yes",$K388="Not sure")))),1,0)</f>
        <v/>
      </c>
      <c r="N388">
        <f>$N387+$M388</f>
        <v/>
      </c>
      <c r="O388" t="inlineStr">
        <is>
          <t>three-way</t>
        </is>
      </c>
      <c r="P388" t="inlineStr">
        <is>
          <t>outcome_booked</t>
        </is>
      </c>
    </row>
    <row r="389">
      <c r="A389" t="inlineStr">
        <is>
          <t>Split by SYS_FLAG</t>
        </is>
      </c>
      <c r="B389" t="inlineStr">
        <is>
          <t>Bad dollars</t>
        </is>
      </c>
      <c r="C389" t="n">
        <v>430</v>
      </c>
      <c r="D389" t="inlineStr">
        <is>
          <t>FICO 496 - 653</t>
        </is>
      </c>
      <c r="E389" t="inlineStr">
        <is>
          <t>Branch</t>
        </is>
      </c>
      <c r="F389" t="inlineStr">
        <is>
          <t>N</t>
        </is>
      </c>
      <c r="G389" t="n">
        <v>270</v>
      </c>
      <c r="H389" t="n">
        <v>1.723712329541575</v>
      </c>
      <c r="J389" t="n">
        <v>84</v>
      </c>
      <c r="K389">
        <f>'_pockets'!$AI$430</f>
        <v/>
      </c>
      <c r="L389">
        <f>'_pockets'!$AJ$430</f>
        <v/>
      </c>
      <c r="M389">
        <f>IF(AND($A389='Pockets'!$D$17,$B389='Pockets'!$C$17,OR('Pockets'!$E$17="All",AND('Pockets'!$E$17="Worse and material",$K389="Yes",$L389="Yes"),AND('Pockets'!$E$17="Worse or not sure",OR($K389="Yes",$K389="Not sure")))),1,0)</f>
        <v/>
      </c>
      <c r="N389">
        <f>$N388+$M389</f>
        <v/>
      </c>
      <c r="O389" t="inlineStr">
        <is>
          <t>three-way</t>
        </is>
      </c>
      <c r="P389" t="inlineStr">
        <is>
          <t>outcome_booked</t>
        </is>
      </c>
    </row>
    <row r="390">
      <c r="A390" t="inlineStr">
        <is>
          <t>Split by SYS_FLAG</t>
        </is>
      </c>
      <c r="B390" t="inlineStr">
        <is>
          <t>Bad dollars</t>
        </is>
      </c>
      <c r="C390" t="n">
        <v>1030</v>
      </c>
      <c r="D390" t="inlineStr">
        <is>
          <t>ORIG_BAL 15,449 - 26,323</t>
        </is>
      </c>
      <c r="E390" t="inlineStr">
        <is>
          <t>ASSET_CLASS 1</t>
        </is>
      </c>
      <c r="F390" t="inlineStr">
        <is>
          <t>N</t>
        </is>
      </c>
      <c r="G390" t="n">
        <v>224</v>
      </c>
      <c r="H390" t="n">
        <v>1.800898036197763</v>
      </c>
      <c r="J390" t="n">
        <v>85</v>
      </c>
      <c r="K390">
        <f>'_pockets'!$AI$1030</f>
        <v/>
      </c>
      <c r="L390">
        <f>'_pockets'!$AJ$1030</f>
        <v/>
      </c>
      <c r="M390">
        <f>IF(AND($A390='Pockets'!$D$17,$B390='Pockets'!$C$17,OR('Pockets'!$E$17="All",AND('Pockets'!$E$17="Worse and material",$K390="Yes",$L390="Yes"),AND('Pockets'!$E$17="Worse or not sure",OR($K390="Yes",$K390="Not sure")))),1,0)</f>
        <v/>
      </c>
      <c r="N390">
        <f>$N389+$M390</f>
        <v/>
      </c>
      <c r="O390" t="inlineStr">
        <is>
          <t>three-way</t>
        </is>
      </c>
      <c r="P390" t="inlineStr">
        <is>
          <t>outcome_booked</t>
        </is>
      </c>
    </row>
    <row r="391">
      <c r="A391" t="inlineStr">
        <is>
          <t>Split by SYS_FLAG</t>
        </is>
      </c>
      <c r="B391" t="inlineStr">
        <is>
          <t>Bad dollars</t>
        </is>
      </c>
      <c r="C391" t="n">
        <v>1160</v>
      </c>
      <c r="D391" t="inlineStr">
        <is>
          <t>ORIG_BAL 37,951 - 49,151</t>
        </is>
      </c>
      <c r="E391" t="inlineStr">
        <is>
          <t>ASSET_CLASS 1</t>
        </is>
      </c>
      <c r="F391" t="inlineStr">
        <is>
          <t>Y</t>
        </is>
      </c>
      <c r="G391" t="n">
        <v>177</v>
      </c>
      <c r="H391" t="n">
        <v>1.910888399048516</v>
      </c>
      <c r="J391" t="n">
        <v>86</v>
      </c>
      <c r="K391">
        <f>'_pockets'!$AI$1160</f>
        <v/>
      </c>
      <c r="L391">
        <f>'_pockets'!$AJ$1160</f>
        <v/>
      </c>
      <c r="M391">
        <f>IF(AND($A391='Pockets'!$D$17,$B391='Pockets'!$C$17,OR('Pockets'!$E$17="All",AND('Pockets'!$E$17="Worse and material",$K391="Yes",$L391="Yes"),AND('Pockets'!$E$17="Worse or not sure",OR($K391="Yes",$K391="Not sure")))),1,0)</f>
        <v/>
      </c>
      <c r="N391">
        <f>$N390+$M391</f>
        <v/>
      </c>
      <c r="O391" t="inlineStr">
        <is>
          <t>three-way</t>
        </is>
      </c>
      <c r="P391" t="inlineStr">
        <is>
          <t>outcome_booked</t>
        </is>
      </c>
    </row>
    <row r="392">
      <c r="A392" t="inlineStr">
        <is>
          <t>Split by SYS_FLAG</t>
        </is>
      </c>
      <c r="B392" t="inlineStr">
        <is>
          <t>Charge-offs</t>
        </is>
      </c>
      <c r="C392" t="n">
        <v>541</v>
      </c>
      <c r="D392" t="inlineStr">
        <is>
          <t>FICO 496 - 653</t>
        </is>
      </c>
      <c r="E392" t="inlineStr">
        <is>
          <t>Broker</t>
        </is>
      </c>
      <c r="F392" t="inlineStr">
        <is>
          <t>Y</t>
        </is>
      </c>
      <c r="G392" t="n">
        <v>265</v>
      </c>
      <c r="H392" t="n">
        <v>1.758369793334915</v>
      </c>
      <c r="J392" t="n">
        <v>1</v>
      </c>
      <c r="K392">
        <f>'_pockets'!$AI$541</f>
        <v/>
      </c>
      <c r="L392">
        <f>'_pockets'!$AJ$541</f>
        <v/>
      </c>
      <c r="M392">
        <f>IF(AND($A392='Pockets'!$D$17,$B392='Pockets'!$C$17,OR('Pockets'!$E$17="All",AND('Pockets'!$E$17="Worse and material",$K392="Yes",$L392="Yes"),AND('Pockets'!$E$17="Worse or not sure",OR($K392="Yes",$K392="Not sure")))),1,0)</f>
        <v/>
      </c>
      <c r="N392">
        <f>$N391+$M392</f>
        <v/>
      </c>
      <c r="O392" t="inlineStr">
        <is>
          <t>three-way</t>
        </is>
      </c>
      <c r="P392" t="inlineStr">
        <is>
          <t>gco_rate</t>
        </is>
      </c>
    </row>
    <row r="393">
      <c r="A393" t="inlineStr">
        <is>
          <t>Split by SYS_FLAG</t>
        </is>
      </c>
      <c r="B393" t="inlineStr">
        <is>
          <t>Charge-offs</t>
        </is>
      </c>
      <c r="C393" t="n">
        <v>1151</v>
      </c>
      <c r="D393" t="inlineStr">
        <is>
          <t>ORIG_BAL 37,951 - 49,151</t>
        </is>
      </c>
      <c r="E393" t="inlineStr">
        <is>
          <t>ASSET_CLASS 4</t>
        </is>
      </c>
      <c r="F393" t="inlineStr">
        <is>
          <t>Y</t>
        </is>
      </c>
      <c r="G393" t="n">
        <v>189</v>
      </c>
      <c r="H393" t="n">
        <v>1.911921251519346</v>
      </c>
      <c r="J393" t="n">
        <v>2</v>
      </c>
      <c r="K393">
        <f>'_pockets'!$AI$1151</f>
        <v/>
      </c>
      <c r="L393">
        <f>'_pockets'!$AJ$1151</f>
        <v/>
      </c>
      <c r="M393">
        <f>IF(AND($A393='Pockets'!$D$17,$B393='Pockets'!$C$17,OR('Pockets'!$E$17="All",AND('Pockets'!$E$17="Worse and material",$K393="Yes",$L393="Yes"),AND('Pockets'!$E$17="Worse or not sure",OR($K393="Yes",$K393="Not sure")))),1,0)</f>
        <v/>
      </c>
      <c r="N393">
        <f>$N392+$M393</f>
        <v/>
      </c>
      <c r="O393" t="inlineStr">
        <is>
          <t>three-way</t>
        </is>
      </c>
      <c r="P393" t="inlineStr">
        <is>
          <t>gco_rate</t>
        </is>
      </c>
    </row>
    <row r="394">
      <c r="A394" t="inlineStr">
        <is>
          <t>Split by SYS_FLAG</t>
        </is>
      </c>
      <c r="B394" t="inlineStr">
        <is>
          <t>Charge-offs</t>
        </is>
      </c>
      <c r="C394" t="n">
        <v>786</v>
      </c>
      <c r="D394" t="inlineStr">
        <is>
          <t>FICO 496 - 653</t>
        </is>
      </c>
      <c r="E394" t="inlineStr">
        <is>
          <t>ASSET_CLASS 4</t>
        </is>
      </c>
      <c r="F394" t="inlineStr">
        <is>
          <t>Y</t>
        </is>
      </c>
      <c r="G394" t="n">
        <v>189</v>
      </c>
      <c r="H394" t="n">
        <v>1.911921251519346</v>
      </c>
      <c r="J394" t="n">
        <v>3</v>
      </c>
      <c r="K394">
        <f>'_pockets'!$AI$786</f>
        <v/>
      </c>
      <c r="L394">
        <f>'_pockets'!$AJ$786</f>
        <v/>
      </c>
      <c r="M394">
        <f>IF(AND($A394='Pockets'!$D$17,$B394='Pockets'!$C$17,OR('Pockets'!$E$17="All",AND('Pockets'!$E$17="Worse and material",$K394="Yes",$L394="Yes"),AND('Pockets'!$E$17="Worse or not sure",OR($K394="Yes",$K394="Not sure")))),1,0)</f>
        <v/>
      </c>
      <c r="N394">
        <f>$N393+$M394</f>
        <v/>
      </c>
      <c r="O394" t="inlineStr">
        <is>
          <t>three-way</t>
        </is>
      </c>
      <c r="P394" t="inlineStr">
        <is>
          <t>gco_rate</t>
        </is>
      </c>
    </row>
    <row r="395">
      <c r="A395" t="inlineStr">
        <is>
          <t>Split by SYS_FLAG</t>
        </is>
      </c>
      <c r="B395" t="inlineStr">
        <is>
          <t>Charge-offs</t>
        </is>
      </c>
      <c r="C395" t="n">
        <v>976</v>
      </c>
      <c r="D395" t="inlineStr">
        <is>
          <t>ORIG_BAL 37,951 - 49,151</t>
        </is>
      </c>
      <c r="E395" t="inlineStr">
        <is>
          <t>Online</t>
        </is>
      </c>
      <c r="F395" t="inlineStr">
        <is>
          <t>Y</t>
        </is>
      </c>
      <c r="G395" t="n">
        <v>254</v>
      </c>
      <c r="H395" t="n">
        <v>1.776024518762917</v>
      </c>
      <c r="J395" t="n">
        <v>4</v>
      </c>
      <c r="K395">
        <f>'_pockets'!$AI$976</f>
        <v/>
      </c>
      <c r="L395">
        <f>'_pockets'!$AJ$976</f>
        <v/>
      </c>
      <c r="M395">
        <f>IF(AND($A395='Pockets'!$D$17,$B395='Pockets'!$C$17,OR('Pockets'!$E$17="All",AND('Pockets'!$E$17="Worse and material",$K395="Yes",$L395="Yes"),AND('Pockets'!$E$17="Worse or not sure",OR($K395="Yes",$K395="Not sure")))),1,0)</f>
        <v/>
      </c>
      <c r="N395">
        <f>$N394+$M395</f>
        <v/>
      </c>
      <c r="O395" t="inlineStr">
        <is>
          <t>three-way</t>
        </is>
      </c>
      <c r="P395" t="inlineStr">
        <is>
          <t>gco_rate</t>
        </is>
      </c>
    </row>
    <row r="396">
      <c r="A396" t="inlineStr">
        <is>
          <t>Split by SYS_FLAG</t>
        </is>
      </c>
      <c r="B396" t="inlineStr">
        <is>
          <t>Charge-offs</t>
        </is>
      </c>
      <c r="C396" t="n">
        <v>971</v>
      </c>
      <c r="D396" t="inlineStr">
        <is>
          <t>ORIG_BAL 37,951 - 49,151</t>
        </is>
      </c>
      <c r="E396" t="inlineStr">
        <is>
          <t>Broker</t>
        </is>
      </c>
      <c r="F396" t="inlineStr">
        <is>
          <t>Y</t>
        </is>
      </c>
      <c r="G396" t="n">
        <v>249</v>
      </c>
      <c r="H396" t="n">
        <v>1.784453341475952</v>
      </c>
      <c r="J396" t="n">
        <v>5</v>
      </c>
      <c r="K396">
        <f>'_pockets'!$AI$971</f>
        <v/>
      </c>
      <c r="L396">
        <f>'_pockets'!$AJ$971</f>
        <v/>
      </c>
      <c r="M396">
        <f>IF(AND($A396='Pockets'!$D$17,$B396='Pockets'!$C$17,OR('Pockets'!$E$17="All",AND('Pockets'!$E$17="Worse and material",$K396="Yes",$L396="Yes"),AND('Pockets'!$E$17="Worse or not sure",OR($K396="Yes",$K396="Not sure")))),1,0)</f>
        <v/>
      </c>
      <c r="N396">
        <f>$N395+$M396</f>
        <v/>
      </c>
      <c r="O396" t="inlineStr">
        <is>
          <t>three-way</t>
        </is>
      </c>
      <c r="P396" t="inlineStr">
        <is>
          <t>gco_rate</t>
        </is>
      </c>
    </row>
    <row r="397">
      <c r="A397" t="inlineStr">
        <is>
          <t>Split by SYS_FLAG</t>
        </is>
      </c>
      <c r="B397" t="inlineStr">
        <is>
          <t>Charge-offs</t>
        </is>
      </c>
      <c r="C397" t="n">
        <v>511</v>
      </c>
      <c r="D397" t="inlineStr">
        <is>
          <t>FICO 712 - 745</t>
        </is>
      </c>
      <c r="E397" t="inlineStr">
        <is>
          <t>Online</t>
        </is>
      </c>
      <c r="F397" t="inlineStr">
        <is>
          <t>Y</t>
        </is>
      </c>
      <c r="G397" t="n">
        <v>278</v>
      </c>
      <c r="H397" t="n">
        <v>1.738937289700018</v>
      </c>
      <c r="J397" t="n">
        <v>6</v>
      </c>
      <c r="K397">
        <f>'_pockets'!$AI$511</f>
        <v/>
      </c>
      <c r="L397">
        <f>'_pockets'!$AJ$511</f>
        <v/>
      </c>
      <c r="M397">
        <f>IF(AND($A397='Pockets'!$D$17,$B397='Pockets'!$C$17,OR('Pockets'!$E$17="All",AND('Pockets'!$E$17="Worse and material",$K397="Yes",$L397="Yes"),AND('Pockets'!$E$17="Worse or not sure",OR($K397="Yes",$K397="Not sure")))),1,0)</f>
        <v/>
      </c>
      <c r="N397">
        <f>$N396+$M397</f>
        <v/>
      </c>
      <c r="O397" t="inlineStr">
        <is>
          <t>three-way</t>
        </is>
      </c>
      <c r="P397" t="inlineStr">
        <is>
          <t>gco_rate</t>
        </is>
      </c>
    </row>
    <row r="398">
      <c r="A398" t="inlineStr">
        <is>
          <t>Split by SYS_FLAG</t>
        </is>
      </c>
      <c r="B398" t="inlineStr">
        <is>
          <t>Charge-offs</t>
        </is>
      </c>
      <c r="C398" t="n">
        <v>441</v>
      </c>
      <c r="D398" t="inlineStr">
        <is>
          <t>FICO 496 - 653</t>
        </is>
      </c>
      <c r="E398" t="inlineStr">
        <is>
          <t>Broker</t>
        </is>
      </c>
      <c r="F398" t="inlineStr">
        <is>
          <t>N</t>
        </is>
      </c>
      <c r="G398" t="n">
        <v>258</v>
      </c>
      <c r="H398" t="n">
        <v>1.769467504419893</v>
      </c>
      <c r="J398" t="n">
        <v>7</v>
      </c>
      <c r="K398">
        <f>'_pockets'!$AI$441</f>
        <v/>
      </c>
      <c r="L398">
        <f>'_pockets'!$AJ$441</f>
        <v/>
      </c>
      <c r="M398">
        <f>IF(AND($A398='Pockets'!$D$17,$B398='Pockets'!$C$17,OR('Pockets'!$E$17="All",AND('Pockets'!$E$17="Worse and material",$K398="Yes",$L398="Yes"),AND('Pockets'!$E$17="Worse or not sure",OR($K398="Yes",$K398="Not sure")))),1,0)</f>
        <v/>
      </c>
      <c r="N398">
        <f>$N397+$M398</f>
        <v/>
      </c>
      <c r="O398" t="inlineStr">
        <is>
          <t>three-way</t>
        </is>
      </c>
      <c r="P398" t="inlineStr">
        <is>
          <t>gco_rate</t>
        </is>
      </c>
    </row>
    <row r="399">
      <c r="A399" t="inlineStr">
        <is>
          <t>Split by SYS_FLAG</t>
        </is>
      </c>
      <c r="B399" t="inlineStr">
        <is>
          <t>Charge-offs</t>
        </is>
      </c>
      <c r="C399" t="n">
        <v>476</v>
      </c>
      <c r="D399" t="inlineStr">
        <is>
          <t>FICO 686 - 711</t>
        </is>
      </c>
      <c r="E399" t="inlineStr">
        <is>
          <t>Online</t>
        </is>
      </c>
      <c r="F399" t="inlineStr">
        <is>
          <t>Y</t>
        </is>
      </c>
      <c r="G399" t="n">
        <v>249</v>
      </c>
      <c r="H399" t="n">
        <v>1.784453341475952</v>
      </c>
      <c r="J399" t="n">
        <v>8</v>
      </c>
      <c r="K399">
        <f>'_pockets'!$AI$476</f>
        <v/>
      </c>
      <c r="L399">
        <f>'_pockets'!$AJ$476</f>
        <v/>
      </c>
      <c r="M399">
        <f>IF(AND($A399='Pockets'!$D$17,$B399='Pockets'!$C$17,OR('Pockets'!$E$17="All",AND('Pockets'!$E$17="Worse and material",$K399="Yes",$L399="Yes"),AND('Pockets'!$E$17="Worse or not sure",OR($K399="Yes",$K399="Not sure")))),1,0)</f>
        <v/>
      </c>
      <c r="N399">
        <f>$N398+$M399</f>
        <v/>
      </c>
      <c r="O399" t="inlineStr">
        <is>
          <t>three-way</t>
        </is>
      </c>
      <c r="P399" t="inlineStr">
        <is>
          <t>gco_rate</t>
        </is>
      </c>
    </row>
    <row r="400">
      <c r="A400" t="inlineStr">
        <is>
          <t>Split by SYS_FLAG</t>
        </is>
      </c>
      <c r="B400" t="inlineStr">
        <is>
          <t>Charge-offs</t>
        </is>
      </c>
      <c r="C400" t="n">
        <v>1156</v>
      </c>
      <c r="D400" t="inlineStr">
        <is>
          <t>ORIG_BAL 49,152 - 59,984</t>
        </is>
      </c>
      <c r="E400" t="inlineStr">
        <is>
          <t>ASSET_CLASS 4</t>
        </is>
      </c>
      <c r="F400" t="inlineStr">
        <is>
          <t>Y</t>
        </is>
      </c>
      <c r="G400" t="n">
        <v>171</v>
      </c>
      <c r="H400" t="n">
        <v>1.963502367697125</v>
      </c>
      <c r="J400" t="n">
        <v>9</v>
      </c>
      <c r="K400">
        <f>'_pockets'!$AI$1156</f>
        <v/>
      </c>
      <c r="L400">
        <f>'_pockets'!$AJ$1156</f>
        <v/>
      </c>
      <c r="M400">
        <f>IF(AND($A400='Pockets'!$D$17,$B400='Pockets'!$C$17,OR('Pockets'!$E$17="All",AND('Pockets'!$E$17="Worse and material",$K400="Yes",$L400="Yes"),AND('Pockets'!$E$17="Worse or not sure",OR($K400="Yes",$K400="Not sure")))),1,0)</f>
        <v/>
      </c>
      <c r="N400">
        <f>$N399+$M400</f>
        <v/>
      </c>
      <c r="O400" t="inlineStr">
        <is>
          <t>three-way</t>
        </is>
      </c>
      <c r="P400" t="inlineStr">
        <is>
          <t>gco_rate</t>
        </is>
      </c>
    </row>
    <row r="401">
      <c r="A401" t="inlineStr">
        <is>
          <t>Split by SYS_FLAG</t>
        </is>
      </c>
      <c r="B401" t="inlineStr">
        <is>
          <t>Charge-offs</t>
        </is>
      </c>
      <c r="C401" t="n">
        <v>806</v>
      </c>
      <c r="D401" t="inlineStr">
        <is>
          <t>FICO 654 - 685</t>
        </is>
      </c>
      <c r="E401" t="inlineStr">
        <is>
          <t>ASSET_CLASS 4</t>
        </is>
      </c>
      <c r="F401" t="inlineStr">
        <is>
          <t>Y</t>
        </is>
      </c>
      <c r="G401" t="n">
        <v>191</v>
      </c>
      <c r="H401" t="n">
        <v>1.90666978551677</v>
      </c>
      <c r="J401" t="n">
        <v>10</v>
      </c>
      <c r="K401">
        <f>'_pockets'!$AI$806</f>
        <v/>
      </c>
      <c r="L401">
        <f>'_pockets'!$AJ$806</f>
        <v/>
      </c>
      <c r="M401">
        <f>IF(AND($A401='Pockets'!$D$17,$B401='Pockets'!$C$17,OR('Pockets'!$E$17="All",AND('Pockets'!$E$17="Worse and material",$K401="Yes",$L401="Yes"),AND('Pockets'!$E$17="Worse or not sure",OR($K401="Yes",$K401="Not sure")))),1,0)</f>
        <v/>
      </c>
      <c r="N401">
        <f>$N400+$M401</f>
        <v/>
      </c>
      <c r="O401" t="inlineStr">
        <is>
          <t>three-way</t>
        </is>
      </c>
      <c r="P401" t="inlineStr">
        <is>
          <t>gco_rate</t>
        </is>
      </c>
    </row>
    <row r="402">
      <c r="A402" t="inlineStr">
        <is>
          <t>Split by SYS_FLAG</t>
        </is>
      </c>
      <c r="B402" t="inlineStr">
        <is>
          <t>Charge-offs</t>
        </is>
      </c>
      <c r="C402" t="n">
        <v>621</v>
      </c>
      <c r="D402" t="inlineStr">
        <is>
          <t>FICO 712 - 745</t>
        </is>
      </c>
      <c r="E402" t="inlineStr">
        <is>
          <t>ASSET_CLASS 4</t>
        </is>
      </c>
      <c r="F402" t="inlineStr">
        <is>
          <t>Y</t>
        </is>
      </c>
      <c r="G402" t="n">
        <v>207</v>
      </c>
      <c r="H402" t="n">
        <v>1.867584875235872</v>
      </c>
      <c r="J402" t="n">
        <v>11</v>
      </c>
      <c r="K402">
        <f>'_pockets'!$AI$621</f>
        <v/>
      </c>
      <c r="L402">
        <f>'_pockets'!$AJ$621</f>
        <v/>
      </c>
      <c r="M402">
        <f>IF(AND($A402='Pockets'!$D$17,$B402='Pockets'!$C$17,OR('Pockets'!$E$17="All",AND('Pockets'!$E$17="Worse and material",$K402="Yes",$L402="Yes"),AND('Pockets'!$E$17="Worse or not sure",OR($K402="Yes",$K402="Not sure")))),1,0)</f>
        <v/>
      </c>
      <c r="N402">
        <f>$N401+$M402</f>
        <v/>
      </c>
      <c r="O402" t="inlineStr">
        <is>
          <t>three-way</t>
        </is>
      </c>
      <c r="P402" t="inlineStr">
        <is>
          <t>gco_rate</t>
        </is>
      </c>
    </row>
    <row r="403">
      <c r="A403" t="inlineStr">
        <is>
          <t>Split by SYS_FLAG</t>
        </is>
      </c>
      <c r="B403" t="inlineStr">
        <is>
          <t>Charge-offs</t>
        </is>
      </c>
      <c r="C403" t="n">
        <v>486</v>
      </c>
      <c r="D403" t="inlineStr">
        <is>
          <t>FICO 654 - 685</t>
        </is>
      </c>
      <c r="E403" t="inlineStr">
        <is>
          <t>Branch</t>
        </is>
      </c>
      <c r="F403" t="inlineStr">
        <is>
          <t>Y</t>
        </is>
      </c>
      <c r="G403" t="n">
        <v>254</v>
      </c>
      <c r="H403" t="n">
        <v>1.776024518762917</v>
      </c>
      <c r="J403" t="n">
        <v>12</v>
      </c>
      <c r="K403">
        <f>'_pockets'!$AI$486</f>
        <v/>
      </c>
      <c r="L403">
        <f>'_pockets'!$AJ$486</f>
        <v/>
      </c>
      <c r="M403">
        <f>IF(AND($A403='Pockets'!$D$17,$B403='Pockets'!$C$17,OR('Pockets'!$E$17="All",AND('Pockets'!$E$17="Worse and material",$K403="Yes",$L403="Yes"),AND('Pockets'!$E$17="Worse or not sure",OR($K403="Yes",$K403="Not sure")))),1,0)</f>
        <v/>
      </c>
      <c r="N403">
        <f>$N402+$M403</f>
        <v/>
      </c>
      <c r="O403" t="inlineStr">
        <is>
          <t>three-way</t>
        </is>
      </c>
      <c r="P403" t="inlineStr">
        <is>
          <t>gco_rate</t>
        </is>
      </c>
    </row>
    <row r="404">
      <c r="A404" t="inlineStr">
        <is>
          <t>Split by SYS_FLAG</t>
        </is>
      </c>
      <c r="B404" t="inlineStr">
        <is>
          <t>Charge-offs</t>
        </is>
      </c>
      <c r="C404" t="n">
        <v>561</v>
      </c>
      <c r="D404" t="inlineStr">
        <is>
          <t>FICO 654 - 685</t>
        </is>
      </c>
      <c r="E404" t="inlineStr">
        <is>
          <t>Online</t>
        </is>
      </c>
      <c r="F404" t="inlineStr">
        <is>
          <t>Y</t>
        </is>
      </c>
      <c r="G404" t="n">
        <v>236</v>
      </c>
      <c r="H404" t="n">
        <v>1.807674337953708</v>
      </c>
      <c r="J404" t="n">
        <v>13</v>
      </c>
      <c r="K404">
        <f>'_pockets'!$AI$561</f>
        <v/>
      </c>
      <c r="L404">
        <f>'_pockets'!$AJ$561</f>
        <v/>
      </c>
      <c r="M404">
        <f>IF(AND($A404='Pockets'!$D$17,$B404='Pockets'!$C$17,OR('Pockets'!$E$17="All",AND('Pockets'!$E$17="Worse and material",$K404="Yes",$L404="Yes"),AND('Pockets'!$E$17="Worse or not sure",OR($K404="Yes",$K404="Not sure")))),1,0)</f>
        <v/>
      </c>
      <c r="N404">
        <f>$N403+$M404</f>
        <v/>
      </c>
      <c r="O404" t="inlineStr">
        <is>
          <t>three-way</t>
        </is>
      </c>
      <c r="P404" t="inlineStr">
        <is>
          <t>gco_rate</t>
        </is>
      </c>
    </row>
    <row r="405">
      <c r="A405" t="inlineStr">
        <is>
          <t>Split by SYS_FLAG</t>
        </is>
      </c>
      <c r="B405" t="inlineStr">
        <is>
          <t>Charge-offs</t>
        </is>
      </c>
      <c r="C405" t="n">
        <v>1021</v>
      </c>
      <c r="D405" t="inlineStr">
        <is>
          <t>ORIG_BAL 26,324 - 37,950</t>
        </is>
      </c>
      <c r="E405" t="inlineStr">
        <is>
          <t>ASSET_CLASS 4</t>
        </is>
      </c>
      <c r="F405" t="inlineStr">
        <is>
          <t>Y</t>
        </is>
      </c>
      <c r="G405" t="n">
        <v>194</v>
      </c>
      <c r="H405" t="n">
        <v>1.89895388068572</v>
      </c>
      <c r="J405" t="n">
        <v>14</v>
      </c>
      <c r="K405">
        <f>'_pockets'!$AI$1021</f>
        <v/>
      </c>
      <c r="L405">
        <f>'_pockets'!$AJ$1021</f>
        <v/>
      </c>
      <c r="M405">
        <f>IF(AND($A405='Pockets'!$D$17,$B405='Pockets'!$C$17,OR('Pockets'!$E$17="All",AND('Pockets'!$E$17="Worse and material",$K405="Yes",$L405="Yes"),AND('Pockets'!$E$17="Worse or not sure",OR($K405="Yes",$K405="Not sure")))),1,0)</f>
        <v/>
      </c>
      <c r="N405">
        <f>$N404+$M405</f>
        <v/>
      </c>
      <c r="O405" t="inlineStr">
        <is>
          <t>three-way</t>
        </is>
      </c>
      <c r="P405" t="inlineStr">
        <is>
          <t>gco_rate</t>
        </is>
      </c>
    </row>
    <row r="406">
      <c r="A406" t="inlineStr">
        <is>
          <t>Split by SYS_FLAG</t>
        </is>
      </c>
      <c r="B406" t="inlineStr">
        <is>
          <t>Charge-offs</t>
        </is>
      </c>
      <c r="C406" t="n">
        <v>956</v>
      </c>
      <c r="D406" t="inlineStr">
        <is>
          <t>ORIG_BAL 49,152 - 59,984</t>
        </is>
      </c>
      <c r="E406" t="inlineStr">
        <is>
          <t>Broker</t>
        </is>
      </c>
      <c r="F406" t="inlineStr">
        <is>
          <t>Y</t>
        </is>
      </c>
      <c r="G406" t="n">
        <v>242</v>
      </c>
      <c r="H406" t="n">
        <v>1.796712496545756</v>
      </c>
      <c r="J406" t="n">
        <v>15</v>
      </c>
      <c r="K406">
        <f>'_pockets'!$AI$956</f>
        <v/>
      </c>
      <c r="L406">
        <f>'_pockets'!$AJ$956</f>
        <v/>
      </c>
      <c r="M406">
        <f>IF(AND($A406='Pockets'!$D$17,$B406='Pockets'!$C$17,OR('Pockets'!$E$17="All",AND('Pockets'!$E$17="Worse and material",$K406="Yes",$L406="Yes"),AND('Pockets'!$E$17="Worse or not sure",OR($K406="Yes",$K406="Not sure")))),1,0)</f>
        <v/>
      </c>
      <c r="N406">
        <f>$N405+$M406</f>
        <v/>
      </c>
      <c r="O406" t="inlineStr">
        <is>
          <t>three-way</t>
        </is>
      </c>
      <c r="P406" t="inlineStr">
        <is>
          <t>gco_rate</t>
        </is>
      </c>
    </row>
    <row r="407">
      <c r="A407" t="inlineStr">
        <is>
          <t>Split by SYS_FLAG</t>
        </is>
      </c>
      <c r="B407" t="inlineStr">
        <is>
          <t>Charge-offs</t>
        </is>
      </c>
      <c r="C407" t="n">
        <v>901</v>
      </c>
      <c r="D407" t="inlineStr">
        <is>
          <t>ORIG_BAL 49,152 - 59,984</t>
        </is>
      </c>
      <c r="E407" t="inlineStr">
        <is>
          <t>Online</t>
        </is>
      </c>
      <c r="F407" t="inlineStr">
        <is>
          <t>Y</t>
        </is>
      </c>
      <c r="G407" t="n">
        <v>274</v>
      </c>
      <c r="H407" t="n">
        <v>1.744761727343092</v>
      </c>
      <c r="J407" t="n">
        <v>16</v>
      </c>
      <c r="K407">
        <f>'_pockets'!$AI$901</f>
        <v/>
      </c>
      <c r="L407">
        <f>'_pockets'!$AJ$901</f>
        <v/>
      </c>
      <c r="M407">
        <f>IF(AND($A407='Pockets'!$D$17,$B407='Pockets'!$C$17,OR('Pockets'!$E$17="All",AND('Pockets'!$E$17="Worse and material",$K407="Yes",$L407="Yes"),AND('Pockets'!$E$17="Worse or not sure",OR($K407="Yes",$K407="Not sure")))),1,0)</f>
        <v/>
      </c>
      <c r="N407">
        <f>$N406+$M407</f>
        <v/>
      </c>
      <c r="O407" t="inlineStr">
        <is>
          <t>three-way</t>
        </is>
      </c>
      <c r="P407" t="inlineStr">
        <is>
          <t>gco_rate</t>
        </is>
      </c>
    </row>
    <row r="408">
      <c r="A408" t="inlineStr">
        <is>
          <t>Split by SYS_FLAG</t>
        </is>
      </c>
      <c r="B408" t="inlineStr">
        <is>
          <t>Charge-offs</t>
        </is>
      </c>
      <c r="C408" t="n">
        <v>1056</v>
      </c>
      <c r="D408" t="inlineStr">
        <is>
          <t>ORIG_BAL 49,152 - 59,984</t>
        </is>
      </c>
      <c r="E408" t="inlineStr">
        <is>
          <t>ASSET_CLASS 1</t>
        </is>
      </c>
      <c r="F408" t="inlineStr">
        <is>
          <t>Y</t>
        </is>
      </c>
      <c r="G408" t="n">
        <v>195</v>
      </c>
      <c r="H408" t="n">
        <v>1.896423773619334</v>
      </c>
      <c r="J408" t="n">
        <v>17</v>
      </c>
      <c r="K408">
        <f>'_pockets'!$AI$1056</f>
        <v/>
      </c>
      <c r="L408">
        <f>'_pockets'!$AJ$1056</f>
        <v/>
      </c>
      <c r="M408">
        <f>IF(AND($A408='Pockets'!$D$17,$B408='Pockets'!$C$17,OR('Pockets'!$E$17="All",AND('Pockets'!$E$17="Worse and material",$K408="Yes",$L408="Yes"),AND('Pockets'!$E$17="Worse or not sure",OR($K408="Yes",$K408="Not sure")))),1,0)</f>
        <v/>
      </c>
      <c r="N408">
        <f>$N407+$M408</f>
        <v/>
      </c>
      <c r="O408" t="inlineStr">
        <is>
          <t>three-way</t>
        </is>
      </c>
      <c r="P408" t="inlineStr">
        <is>
          <t>gco_rate</t>
        </is>
      </c>
    </row>
    <row r="409">
      <c r="A409" t="inlineStr">
        <is>
          <t>Split by SYS_FLAG</t>
        </is>
      </c>
      <c r="B409" t="inlineStr">
        <is>
          <t>Charge-offs</t>
        </is>
      </c>
      <c r="C409" t="n">
        <v>1141</v>
      </c>
      <c r="D409" t="inlineStr">
        <is>
          <t>ORIG_BAL 37,951 - 49,151</t>
        </is>
      </c>
      <c r="E409" t="inlineStr">
        <is>
          <t>ASSET_CLASS 3</t>
        </is>
      </c>
      <c r="F409" t="inlineStr">
        <is>
          <t>Y</t>
        </is>
      </c>
      <c r="G409" t="n">
        <v>195</v>
      </c>
      <c r="H409" t="n">
        <v>1.896423773619334</v>
      </c>
      <c r="J409" t="n">
        <v>18</v>
      </c>
      <c r="K409">
        <f>'_pockets'!$AI$1141</f>
        <v/>
      </c>
      <c r="L409">
        <f>'_pockets'!$AJ$1141</f>
        <v/>
      </c>
      <c r="M409">
        <f>IF(AND($A409='Pockets'!$D$17,$B409='Pockets'!$C$17,OR('Pockets'!$E$17="All",AND('Pockets'!$E$17="Worse and material",$K409="Yes",$L409="Yes"),AND('Pockets'!$E$17="Worse or not sure",OR($K409="Yes",$K409="Not sure")))),1,0)</f>
        <v/>
      </c>
      <c r="N409">
        <f>$N408+$M409</f>
        <v/>
      </c>
      <c r="O409" t="inlineStr">
        <is>
          <t>three-way</t>
        </is>
      </c>
      <c r="P409" t="inlineStr">
        <is>
          <t>gco_rate</t>
        </is>
      </c>
    </row>
    <row r="410">
      <c r="A410" t="inlineStr">
        <is>
          <t>Split by SYS_FLAG</t>
        </is>
      </c>
      <c r="B410" t="inlineStr">
        <is>
          <t>Charge-offs</t>
        </is>
      </c>
      <c r="C410" t="n">
        <v>761</v>
      </c>
      <c r="D410" t="inlineStr">
        <is>
          <t>FICO 496 - 653</t>
        </is>
      </c>
      <c r="E410" t="inlineStr">
        <is>
          <t>ASSET_CLASS 1</t>
        </is>
      </c>
      <c r="F410" t="inlineStr">
        <is>
          <t>Y</t>
        </is>
      </c>
      <c r="G410" t="n">
        <v>186</v>
      </c>
      <c r="H410" t="n">
        <v>1.919965748584618</v>
      </c>
      <c r="J410" t="n">
        <v>19</v>
      </c>
      <c r="K410">
        <f>'_pockets'!$AI$761</f>
        <v/>
      </c>
      <c r="L410">
        <f>'_pockets'!$AJ$761</f>
        <v/>
      </c>
      <c r="M410">
        <f>IF(AND($A410='Pockets'!$D$17,$B410='Pockets'!$C$17,OR('Pockets'!$E$17="All",AND('Pockets'!$E$17="Worse and material",$K410="Yes",$L410="Yes"),AND('Pockets'!$E$17="Worse or not sure",OR($K410="Yes",$K410="Not sure")))),1,0)</f>
        <v/>
      </c>
      <c r="N410">
        <f>$N409+$M410</f>
        <v/>
      </c>
      <c r="O410" t="inlineStr">
        <is>
          <t>three-way</t>
        </is>
      </c>
      <c r="P410" t="inlineStr">
        <is>
          <t>gco_rate</t>
        </is>
      </c>
    </row>
    <row r="411">
      <c r="A411" t="inlineStr">
        <is>
          <t>Split by SYS_FLAG</t>
        </is>
      </c>
      <c r="B411" t="inlineStr">
        <is>
          <t>Charge-offs</t>
        </is>
      </c>
      <c r="C411" t="n">
        <v>981</v>
      </c>
      <c r="D411" t="inlineStr">
        <is>
          <t>ORIG_BAL 15,449 - 26,323</t>
        </is>
      </c>
      <c r="E411" t="inlineStr">
        <is>
          <t>Broker</t>
        </is>
      </c>
      <c r="F411" t="inlineStr">
        <is>
          <t>Y</t>
        </is>
      </c>
      <c r="G411" t="n">
        <v>244</v>
      </c>
      <c r="H411" t="n">
        <v>1.793153328610977</v>
      </c>
      <c r="J411" t="n">
        <v>20</v>
      </c>
      <c r="K411">
        <f>'_pockets'!$AI$981</f>
        <v/>
      </c>
      <c r="L411">
        <f>'_pockets'!$AJ$981</f>
        <v/>
      </c>
      <c r="M411">
        <f>IF(AND($A411='Pockets'!$D$17,$B411='Pockets'!$C$17,OR('Pockets'!$E$17="All",AND('Pockets'!$E$17="Worse and material",$K411="Yes",$L411="Yes"),AND('Pockets'!$E$17="Worse or not sure",OR($K411="Yes",$K411="Not sure")))),1,0)</f>
        <v/>
      </c>
      <c r="N411">
        <f>$N410+$M411</f>
        <v/>
      </c>
      <c r="O411" t="inlineStr">
        <is>
          <t>three-way</t>
        </is>
      </c>
      <c r="P411" t="inlineStr">
        <is>
          <t>gco_rate</t>
        </is>
      </c>
    </row>
    <row r="412">
      <c r="A412" t="inlineStr">
        <is>
          <t>Split by SYS_FLAG</t>
        </is>
      </c>
      <c r="B412" t="inlineStr">
        <is>
          <t>Charge-offs</t>
        </is>
      </c>
      <c r="C412" t="n">
        <v>906</v>
      </c>
      <c r="D412" t="inlineStr">
        <is>
          <t>ORIG_BAL 26,324 - 37,950</t>
        </is>
      </c>
      <c r="E412" t="inlineStr">
        <is>
          <t>Online</t>
        </is>
      </c>
      <c r="F412" t="inlineStr">
        <is>
          <t>Y</t>
        </is>
      </c>
      <c r="G412" t="n">
        <v>231</v>
      </c>
      <c r="H412" t="n">
        <v>1.817150809607721</v>
      </c>
      <c r="J412" t="n">
        <v>21</v>
      </c>
      <c r="K412">
        <f>'_pockets'!$AI$906</f>
        <v/>
      </c>
      <c r="L412">
        <f>'_pockets'!$AJ$906</f>
        <v/>
      </c>
      <c r="M412">
        <f>IF(AND($A412='Pockets'!$D$17,$B412='Pockets'!$C$17,OR('Pockets'!$E$17="All",AND('Pockets'!$E$17="Worse and material",$K412="Yes",$L412="Yes"),AND('Pockets'!$E$17="Worse or not sure",OR($K412="Yes",$K412="Not sure")))),1,0)</f>
        <v/>
      </c>
      <c r="N412">
        <f>$N411+$M412</f>
        <v/>
      </c>
      <c r="O412" t="inlineStr">
        <is>
          <t>three-way</t>
        </is>
      </c>
      <c r="P412" t="inlineStr">
        <is>
          <t>gco_rate</t>
        </is>
      </c>
    </row>
    <row r="413">
      <c r="A413" t="inlineStr">
        <is>
          <t>Split by SYS_FLAG</t>
        </is>
      </c>
      <c r="B413" t="inlineStr">
        <is>
          <t>Charge-offs</t>
        </is>
      </c>
      <c r="C413" t="n">
        <v>691</v>
      </c>
      <c r="D413" t="inlineStr">
        <is>
          <t>FICO 496 - 653</t>
        </is>
      </c>
      <c r="E413" t="inlineStr">
        <is>
          <t>ASSET_CLASS 3</t>
        </is>
      </c>
      <c r="F413" t="inlineStr">
        <is>
          <t>Y</t>
        </is>
      </c>
      <c r="G413" t="n">
        <v>166</v>
      </c>
      <c r="H413" t="n">
        <v>1.979388416822829</v>
      </c>
      <c r="J413" t="n">
        <v>22</v>
      </c>
      <c r="K413">
        <f>'_pockets'!$AI$691</f>
        <v/>
      </c>
      <c r="L413">
        <f>'_pockets'!$AJ$691</f>
        <v/>
      </c>
      <c r="M413">
        <f>IF(AND($A413='Pockets'!$D$17,$B413='Pockets'!$C$17,OR('Pockets'!$E$17="All",AND('Pockets'!$E$17="Worse and material",$K413="Yes",$L413="Yes"),AND('Pockets'!$E$17="Worse or not sure",OR($K413="Yes",$K413="Not sure")))),1,0)</f>
        <v/>
      </c>
      <c r="N413">
        <f>$N412+$M413</f>
        <v/>
      </c>
      <c r="O413" t="inlineStr">
        <is>
          <t>three-way</t>
        </is>
      </c>
      <c r="P413" t="inlineStr">
        <is>
          <t>gco_rate</t>
        </is>
      </c>
    </row>
    <row r="414">
      <c r="A414" t="inlineStr">
        <is>
          <t>Split by SYS_FLAG</t>
        </is>
      </c>
      <c r="B414" t="inlineStr">
        <is>
          <t>Charge-offs</t>
        </is>
      </c>
      <c r="C414" t="n">
        <v>951</v>
      </c>
      <c r="D414" t="inlineStr">
        <is>
          <t>ORIG_BAL 49,152 - 59,984</t>
        </is>
      </c>
      <c r="E414" t="inlineStr">
        <is>
          <t>Broker</t>
        </is>
      </c>
      <c r="F414" t="inlineStr">
        <is>
          <t>N</t>
        </is>
      </c>
      <c r="G414" t="n">
        <v>278</v>
      </c>
      <c r="H414" t="n">
        <v>1.738937289700018</v>
      </c>
      <c r="J414" t="n">
        <v>23</v>
      </c>
      <c r="K414">
        <f>'_pockets'!$AI$951</f>
        <v/>
      </c>
      <c r="L414">
        <f>'_pockets'!$AJ$951</f>
        <v/>
      </c>
      <c r="M414">
        <f>IF(AND($A414='Pockets'!$D$17,$B414='Pockets'!$C$17,OR('Pockets'!$E$17="All",AND('Pockets'!$E$17="Worse and material",$K414="Yes",$L414="Yes"),AND('Pockets'!$E$17="Worse or not sure",OR($K414="Yes",$K414="Not sure")))),1,0)</f>
        <v/>
      </c>
      <c r="N414">
        <f>$N413+$M414</f>
        <v/>
      </c>
      <c r="O414" t="inlineStr">
        <is>
          <t>three-way</t>
        </is>
      </c>
      <c r="P414" t="inlineStr">
        <is>
          <t>gco_rate</t>
        </is>
      </c>
    </row>
    <row r="415">
      <c r="A415" t="inlineStr">
        <is>
          <t>Split by SYS_FLAG</t>
        </is>
      </c>
      <c r="B415" t="inlineStr">
        <is>
          <t>Charge-offs</t>
        </is>
      </c>
      <c r="C415" t="n">
        <v>651</v>
      </c>
      <c r="D415" t="inlineStr">
        <is>
          <t>FICO 496 - 653</t>
        </is>
      </c>
      <c r="E415" t="inlineStr">
        <is>
          <t>ASSET_CLASS 4</t>
        </is>
      </c>
      <c r="F415" t="inlineStr">
        <is>
          <t>N</t>
        </is>
      </c>
      <c r="G415" t="n">
        <v>203</v>
      </c>
      <c r="H415" t="n">
        <v>1.87689759141844</v>
      </c>
      <c r="J415" t="n">
        <v>24</v>
      </c>
      <c r="K415">
        <f>'_pockets'!$AI$651</f>
        <v/>
      </c>
      <c r="L415">
        <f>'_pockets'!$AJ$651</f>
        <v/>
      </c>
      <c r="M415">
        <f>IF(AND($A415='Pockets'!$D$17,$B415='Pockets'!$C$17,OR('Pockets'!$E$17="All",AND('Pockets'!$E$17="Worse and material",$K415="Yes",$L415="Yes"),AND('Pockets'!$E$17="Worse or not sure",OR($K415="Yes",$K415="Not sure")))),1,0)</f>
        <v/>
      </c>
      <c r="N415">
        <f>$N414+$M415</f>
        <v/>
      </c>
      <c r="O415" t="inlineStr">
        <is>
          <t>three-way</t>
        </is>
      </c>
      <c r="P415" t="inlineStr">
        <is>
          <t>gco_rate</t>
        </is>
      </c>
    </row>
    <row r="416">
      <c r="A416" t="inlineStr">
        <is>
          <t>Split by SYS_FLAG</t>
        </is>
      </c>
      <c r="B416" t="inlineStr">
        <is>
          <t>Charge-offs</t>
        </is>
      </c>
      <c r="C416" t="n">
        <v>656</v>
      </c>
      <c r="D416" t="inlineStr">
        <is>
          <t>FICO 686 - 711</t>
        </is>
      </c>
      <c r="E416" t="inlineStr">
        <is>
          <t>ASSET_CLASS 4</t>
        </is>
      </c>
      <c r="F416" t="inlineStr">
        <is>
          <t>Y</t>
        </is>
      </c>
      <c r="G416" t="n">
        <v>172</v>
      </c>
      <c r="H416" t="n">
        <v>1.960413411682196</v>
      </c>
      <c r="J416" t="n">
        <v>25</v>
      </c>
      <c r="K416">
        <f>'_pockets'!$AI$656</f>
        <v/>
      </c>
      <c r="L416">
        <f>'_pockets'!$AJ$656</f>
        <v/>
      </c>
      <c r="M416">
        <f>IF(AND($A416='Pockets'!$D$17,$B416='Pockets'!$C$17,OR('Pockets'!$E$17="All",AND('Pockets'!$E$17="Worse and material",$K416="Yes",$L416="Yes"),AND('Pockets'!$E$17="Worse or not sure",OR($K416="Yes",$K416="Not sure")))),1,0)</f>
        <v/>
      </c>
      <c r="N416">
        <f>$N415+$M416</f>
        <v/>
      </c>
      <c r="O416" t="inlineStr">
        <is>
          <t>three-way</t>
        </is>
      </c>
      <c r="P416" t="inlineStr">
        <is>
          <t>gco_rate</t>
        </is>
      </c>
    </row>
    <row r="417">
      <c r="A417" t="inlineStr">
        <is>
          <t>Split by SYS_FLAG</t>
        </is>
      </c>
      <c r="B417" t="inlineStr">
        <is>
          <t>Charge-offs</t>
        </is>
      </c>
      <c r="C417" t="n">
        <v>816</v>
      </c>
      <c r="D417" t="inlineStr">
        <is>
          <t>FICO 686 - 711</t>
        </is>
      </c>
      <c r="E417" t="inlineStr">
        <is>
          <t>ASSET_CLASS 3</t>
        </is>
      </c>
      <c r="F417" t="inlineStr">
        <is>
          <t>Y</t>
        </is>
      </c>
      <c r="G417" t="n">
        <v>196</v>
      </c>
      <c r="H417" t="n">
        <v>1.893914133256593</v>
      </c>
      <c r="J417" t="n">
        <v>26</v>
      </c>
      <c r="K417">
        <f>'_pockets'!$AI$816</f>
        <v/>
      </c>
      <c r="L417">
        <f>'_pockets'!$AJ$816</f>
        <v/>
      </c>
      <c r="M417">
        <f>IF(AND($A417='Pockets'!$D$17,$B417='Pockets'!$C$17,OR('Pockets'!$E$17="All",AND('Pockets'!$E$17="Worse and material",$K417="Yes",$L417="Yes"),AND('Pockets'!$E$17="Worse or not sure",OR($K417="Yes",$K417="Not sure")))),1,0)</f>
        <v/>
      </c>
      <c r="N417">
        <f>$N416+$M417</f>
        <v/>
      </c>
      <c r="O417" t="inlineStr">
        <is>
          <t>three-way</t>
        </is>
      </c>
      <c r="P417" t="inlineStr">
        <is>
          <t>gco_rate</t>
        </is>
      </c>
    </row>
    <row r="418">
      <c r="A418" t="inlineStr">
        <is>
          <t>Split by SYS_FLAG</t>
        </is>
      </c>
      <c r="B418" t="inlineStr">
        <is>
          <t>Charge-offs</t>
        </is>
      </c>
      <c r="C418" t="n">
        <v>781</v>
      </c>
      <c r="D418" t="inlineStr">
        <is>
          <t>FICO 654 - 685</t>
        </is>
      </c>
      <c r="E418" t="inlineStr">
        <is>
          <t>ASSET_CLASS 3</t>
        </is>
      </c>
      <c r="F418" t="inlineStr">
        <is>
          <t>Y</t>
        </is>
      </c>
      <c r="G418" t="n">
        <v>193</v>
      </c>
      <c r="H418" t="n">
        <v>1.901504730190231</v>
      </c>
      <c r="J418" t="n">
        <v>27</v>
      </c>
      <c r="K418">
        <f>'_pockets'!$AI$781</f>
        <v/>
      </c>
      <c r="L418">
        <f>'_pockets'!$AJ$781</f>
        <v/>
      </c>
      <c r="M418">
        <f>IF(AND($A418='Pockets'!$D$17,$B418='Pockets'!$C$17,OR('Pockets'!$E$17="All",AND('Pockets'!$E$17="Worse and material",$K418="Yes",$L418="Yes"),AND('Pockets'!$E$17="Worse or not sure",OR($K418="Yes",$K418="Not sure")))),1,0)</f>
        <v/>
      </c>
      <c r="N418">
        <f>$N417+$M418</f>
        <v/>
      </c>
      <c r="O418" t="inlineStr">
        <is>
          <t>three-way</t>
        </is>
      </c>
      <c r="P418" t="inlineStr">
        <is>
          <t>gco_rate</t>
        </is>
      </c>
    </row>
    <row r="419">
      <c r="A419" t="inlineStr">
        <is>
          <t>Split by SYS_FLAG</t>
        </is>
      </c>
      <c r="B419" t="inlineStr">
        <is>
          <t>Charge-offs</t>
        </is>
      </c>
      <c r="C419" t="n">
        <v>1126</v>
      </c>
      <c r="D419" t="inlineStr">
        <is>
          <t>ORIG_BAL 49,152 - 59,984</t>
        </is>
      </c>
      <c r="E419" t="inlineStr">
        <is>
          <t>ASSET_CLASS 2</t>
        </is>
      </c>
      <c r="F419" t="inlineStr">
        <is>
          <t>Y</t>
        </is>
      </c>
      <c r="G419" t="n">
        <v>197</v>
      </c>
      <c r="H419" t="n">
        <v>1.891424688929007</v>
      </c>
      <c r="J419" t="n">
        <v>28</v>
      </c>
      <c r="K419">
        <f>'_pockets'!$AI$1126</f>
        <v/>
      </c>
      <c r="L419">
        <f>'_pockets'!$AJ$1126</f>
        <v/>
      </c>
      <c r="M419">
        <f>IF(AND($A419='Pockets'!$D$17,$B419='Pockets'!$C$17,OR('Pockets'!$E$17="All",AND('Pockets'!$E$17="Worse and material",$K419="Yes",$L419="Yes"),AND('Pockets'!$E$17="Worse or not sure",OR($K419="Yes",$K419="Not sure")))),1,0)</f>
        <v/>
      </c>
      <c r="N419">
        <f>$N418+$M419</f>
        <v/>
      </c>
      <c r="O419" t="inlineStr">
        <is>
          <t>three-way</t>
        </is>
      </c>
      <c r="P419" t="inlineStr">
        <is>
          <t>gco_rate</t>
        </is>
      </c>
    </row>
    <row r="420">
      <c r="A420" t="inlineStr">
        <is>
          <t>Split by SYS_FLAG</t>
        </is>
      </c>
      <c r="B420" t="inlineStr">
        <is>
          <t>Charge-offs</t>
        </is>
      </c>
      <c r="C420" t="n">
        <v>626</v>
      </c>
      <c r="D420" t="inlineStr">
        <is>
          <t>FICO 746 - 921</t>
        </is>
      </c>
      <c r="E420" t="inlineStr">
        <is>
          <t>ASSET_CLASS 2</t>
        </is>
      </c>
      <c r="F420" t="inlineStr">
        <is>
          <t>Y</t>
        </is>
      </c>
      <c r="G420" t="n">
        <v>180</v>
      </c>
      <c r="H420" t="n">
        <v>1.936688816548304</v>
      </c>
      <c r="J420" t="n">
        <v>29</v>
      </c>
      <c r="K420">
        <f>'_pockets'!$AI$626</f>
        <v/>
      </c>
      <c r="L420">
        <f>'_pockets'!$AJ$626</f>
        <v/>
      </c>
      <c r="M420">
        <f>IF(AND($A420='Pockets'!$D$17,$B420='Pockets'!$C$17,OR('Pockets'!$E$17="All",AND('Pockets'!$E$17="Worse and material",$K420="Yes",$L420="Yes"),AND('Pockets'!$E$17="Worse or not sure",OR($K420="Yes",$K420="Not sure")))),1,0)</f>
        <v/>
      </c>
      <c r="N420">
        <f>$N419+$M420</f>
        <v/>
      </c>
      <c r="O420" t="inlineStr">
        <is>
          <t>three-way</t>
        </is>
      </c>
      <c r="P420" t="inlineStr">
        <is>
          <t>gco_rate</t>
        </is>
      </c>
    </row>
    <row r="421">
      <c r="A421" t="inlineStr">
        <is>
          <t>Split by SYS_FLAG</t>
        </is>
      </c>
      <c r="B421" t="inlineStr">
        <is>
          <t>Charge-offs</t>
        </is>
      </c>
      <c r="C421" t="n">
        <v>926</v>
      </c>
      <c r="D421" t="inlineStr">
        <is>
          <t>ORIG_BAL 49,152 - 59,984</t>
        </is>
      </c>
      <c r="E421" t="inlineStr">
        <is>
          <t>Branch</t>
        </is>
      </c>
      <c r="F421" t="inlineStr">
        <is>
          <t>Y</t>
        </is>
      </c>
      <c r="G421" t="n">
        <v>226</v>
      </c>
      <c r="H421" t="n">
        <v>1.826956773989503</v>
      </c>
      <c r="J421" t="n">
        <v>30</v>
      </c>
      <c r="K421">
        <f>'_pockets'!$AI$926</f>
        <v/>
      </c>
      <c r="L421">
        <f>'_pockets'!$AJ$926</f>
        <v/>
      </c>
      <c r="M421">
        <f>IF(AND($A421='Pockets'!$D$17,$B421='Pockets'!$C$17,OR('Pockets'!$E$17="All",AND('Pockets'!$E$17="Worse and material",$K421="Yes",$L421="Yes"),AND('Pockets'!$E$17="Worse or not sure",OR($K421="Yes",$K421="Not sure")))),1,0)</f>
        <v/>
      </c>
      <c r="N421">
        <f>$N420+$M421</f>
        <v/>
      </c>
      <c r="O421" t="inlineStr">
        <is>
          <t>three-way</t>
        </is>
      </c>
      <c r="P421" t="inlineStr">
        <is>
          <t>gco_rate</t>
        </is>
      </c>
    </row>
    <row r="422">
      <c r="A422" t="inlineStr">
        <is>
          <t>Split by SYS_FLAG</t>
        </is>
      </c>
      <c r="B422" t="inlineStr">
        <is>
          <t>Charge-offs</t>
        </is>
      </c>
      <c r="C422" t="n">
        <v>551</v>
      </c>
      <c r="D422" t="inlineStr">
        <is>
          <t>FICO 746 - 921</t>
        </is>
      </c>
      <c r="E422" t="inlineStr">
        <is>
          <t>Broker</t>
        </is>
      </c>
      <c r="F422" t="inlineStr">
        <is>
          <t>Y</t>
        </is>
      </c>
      <c r="G422" t="n">
        <v>237</v>
      </c>
      <c r="H422" t="n">
        <v>1.805816990102185</v>
      </c>
      <c r="J422" t="n">
        <v>31</v>
      </c>
      <c r="K422">
        <f>'_pockets'!$AI$551</f>
        <v/>
      </c>
      <c r="L422">
        <f>'_pockets'!$AJ$551</f>
        <v/>
      </c>
      <c r="M422">
        <f>IF(AND($A422='Pockets'!$D$17,$B422='Pockets'!$C$17,OR('Pockets'!$E$17="All",AND('Pockets'!$E$17="Worse and material",$K422="Yes",$L422="Yes"),AND('Pockets'!$E$17="Worse or not sure",OR($K422="Yes",$K422="Not sure")))),1,0)</f>
        <v/>
      </c>
      <c r="N422">
        <f>$N421+$M422</f>
        <v/>
      </c>
      <c r="O422" t="inlineStr">
        <is>
          <t>three-way</t>
        </is>
      </c>
      <c r="P422" t="inlineStr">
        <is>
          <t>gco_rate</t>
        </is>
      </c>
    </row>
    <row r="423">
      <c r="A423" t="inlineStr">
        <is>
          <t>Split by SYS_FLAG</t>
        </is>
      </c>
      <c r="B423" t="inlineStr">
        <is>
          <t>Charge-offs</t>
        </is>
      </c>
      <c r="C423" t="n">
        <v>931</v>
      </c>
      <c r="D423" t="inlineStr">
        <is>
          <t>ORIG_BAL 5,005 - 15,448</t>
        </is>
      </c>
      <c r="E423" t="inlineStr">
        <is>
          <t>Online</t>
        </is>
      </c>
      <c r="F423" t="inlineStr">
        <is>
          <t>Y</t>
        </is>
      </c>
      <c r="G423" t="n">
        <v>242</v>
      </c>
      <c r="H423" t="n">
        <v>1.796712496545756</v>
      </c>
      <c r="J423" t="n">
        <v>32</v>
      </c>
      <c r="K423">
        <f>'_pockets'!$AI$931</f>
        <v/>
      </c>
      <c r="L423">
        <f>'_pockets'!$AJ$931</f>
        <v/>
      </c>
      <c r="M423">
        <f>IF(AND($A423='Pockets'!$D$17,$B423='Pockets'!$C$17,OR('Pockets'!$E$17="All",AND('Pockets'!$E$17="Worse and material",$K423="Yes",$L423="Yes"),AND('Pockets'!$E$17="Worse or not sure",OR($K423="Yes",$K423="Not sure")))),1,0)</f>
        <v/>
      </c>
      <c r="N423">
        <f>$N422+$M423</f>
        <v/>
      </c>
      <c r="O423" t="inlineStr">
        <is>
          <t>three-way</t>
        </is>
      </c>
      <c r="P423" t="inlineStr">
        <is>
          <t>gco_rate</t>
        </is>
      </c>
    </row>
    <row r="424">
      <c r="A424" t="inlineStr">
        <is>
          <t>Split by SYS_FLAG</t>
        </is>
      </c>
      <c r="B424" t="inlineStr">
        <is>
          <t>Charge-offs</t>
        </is>
      </c>
      <c r="C424" t="n">
        <v>716</v>
      </c>
      <c r="D424" t="inlineStr">
        <is>
          <t>FICO 654 - 685</t>
        </is>
      </c>
      <c r="E424" t="inlineStr">
        <is>
          <t>ASSET_CLASS 2</t>
        </is>
      </c>
      <c r="F424" t="inlineStr">
        <is>
          <t>Y</t>
        </is>
      </c>
      <c r="G424" t="n">
        <v>163</v>
      </c>
      <c r="H424" t="n">
        <v>1.989289938911757</v>
      </c>
      <c r="J424" t="n">
        <v>33</v>
      </c>
      <c r="K424">
        <f>'_pockets'!$AI$716</f>
        <v/>
      </c>
      <c r="L424">
        <f>'_pockets'!$AJ$716</f>
        <v/>
      </c>
      <c r="M424">
        <f>IF(AND($A424='Pockets'!$D$17,$B424='Pockets'!$C$17,OR('Pockets'!$E$17="All",AND('Pockets'!$E$17="Worse and material",$K424="Yes",$L424="Yes"),AND('Pockets'!$E$17="Worse or not sure",OR($K424="Yes",$K424="Not sure")))),1,0)</f>
        <v/>
      </c>
      <c r="N424">
        <f>$N423+$M424</f>
        <v/>
      </c>
      <c r="O424" t="inlineStr">
        <is>
          <t>three-way</t>
        </is>
      </c>
      <c r="P424" t="inlineStr">
        <is>
          <t>gco_rate</t>
        </is>
      </c>
    </row>
    <row r="425">
      <c r="A425" t="inlineStr">
        <is>
          <t>Split by SYS_FLAG</t>
        </is>
      </c>
      <c r="B425" t="inlineStr">
        <is>
          <t>Charge-offs</t>
        </is>
      </c>
      <c r="C425" t="n">
        <v>1041</v>
      </c>
      <c r="D425" t="inlineStr">
        <is>
          <t>ORIG_BAL 15,449 - 26,323</t>
        </is>
      </c>
      <c r="E425" t="inlineStr">
        <is>
          <t>ASSET_CLASS 4</t>
        </is>
      </c>
      <c r="F425" t="inlineStr">
        <is>
          <t>N</t>
        </is>
      </c>
      <c r="G425" t="n">
        <v>223</v>
      </c>
      <c r="H425" t="n">
        <v>1.833006463176066</v>
      </c>
      <c r="J425" t="n">
        <v>34</v>
      </c>
      <c r="K425">
        <f>'_pockets'!$AI$1041</f>
        <v/>
      </c>
      <c r="L425">
        <f>'_pockets'!$AJ$1041</f>
        <v/>
      </c>
      <c r="M425">
        <f>IF(AND($A425='Pockets'!$D$17,$B425='Pockets'!$C$17,OR('Pockets'!$E$17="All",AND('Pockets'!$E$17="Worse and material",$K425="Yes",$L425="Yes"),AND('Pockets'!$E$17="Worse or not sure",OR($K425="Yes",$K425="Not sure")))),1,0)</f>
        <v/>
      </c>
      <c r="N425">
        <f>$N424+$M425</f>
        <v/>
      </c>
      <c r="O425" t="inlineStr">
        <is>
          <t>three-way</t>
        </is>
      </c>
      <c r="P425" t="inlineStr">
        <is>
          <t>gco_rate</t>
        </is>
      </c>
    </row>
    <row r="426">
      <c r="A426" t="inlineStr">
        <is>
          <t>Split by SYS_FLAG</t>
        </is>
      </c>
      <c r="B426" t="inlineStr">
        <is>
          <t>Charge-offs</t>
        </is>
      </c>
      <c r="C426" t="n">
        <v>1146</v>
      </c>
      <c r="D426" t="inlineStr">
        <is>
          <t>ORIG_BAL 15,449 - 26,323</t>
        </is>
      </c>
      <c r="E426" t="inlineStr">
        <is>
          <t>ASSET_CLASS 3</t>
        </is>
      </c>
      <c r="F426" t="inlineStr">
        <is>
          <t>Y</t>
        </is>
      </c>
      <c r="G426" t="n">
        <v>193</v>
      </c>
      <c r="H426" t="n">
        <v>1.901504730190231</v>
      </c>
      <c r="J426" t="n">
        <v>35</v>
      </c>
      <c r="K426">
        <f>'_pockets'!$AI$1146</f>
        <v/>
      </c>
      <c r="L426">
        <f>'_pockets'!$AJ$1146</f>
        <v/>
      </c>
      <c r="M426">
        <f>IF(AND($A426='Pockets'!$D$17,$B426='Pockets'!$C$17,OR('Pockets'!$E$17="All",AND('Pockets'!$E$17="Worse and material",$K426="Yes",$L426="Yes"),AND('Pockets'!$E$17="Worse or not sure",OR($K426="Yes",$K426="Not sure")))),1,0)</f>
        <v/>
      </c>
      <c r="N426">
        <f>$N425+$M426</f>
        <v/>
      </c>
      <c r="O426" t="inlineStr">
        <is>
          <t>three-way</t>
        </is>
      </c>
      <c r="P426" t="inlineStr">
        <is>
          <t>gco_rate</t>
        </is>
      </c>
    </row>
    <row r="427">
      <c r="A427" t="inlineStr">
        <is>
          <t>Split by SYS_FLAG</t>
        </is>
      </c>
      <c r="B427" t="inlineStr">
        <is>
          <t>Charge-offs</t>
        </is>
      </c>
      <c r="C427" t="n">
        <v>866</v>
      </c>
      <c r="D427" t="inlineStr">
        <is>
          <t>ORIG_BAL 26,324 - 37,950</t>
        </is>
      </c>
      <c r="E427" t="inlineStr">
        <is>
          <t>Branch</t>
        </is>
      </c>
      <c r="F427" t="inlineStr">
        <is>
          <t>Y</t>
        </is>
      </c>
      <c r="G427" t="n">
        <v>236</v>
      </c>
      <c r="H427" t="n">
        <v>1.807674337953708</v>
      </c>
      <c r="J427" t="n">
        <v>36</v>
      </c>
      <c r="K427">
        <f>'_pockets'!$AI$866</f>
        <v/>
      </c>
      <c r="L427">
        <f>'_pockets'!$AJ$866</f>
        <v/>
      </c>
      <c r="M427">
        <f>IF(AND($A427='Pockets'!$D$17,$B427='Pockets'!$C$17,OR('Pockets'!$E$17="All",AND('Pockets'!$E$17="Worse and material",$K427="Yes",$L427="Yes"),AND('Pockets'!$E$17="Worse or not sure",OR($K427="Yes",$K427="Not sure")))),1,0)</f>
        <v/>
      </c>
      <c r="N427">
        <f>$N426+$M427</f>
        <v/>
      </c>
      <c r="O427" t="inlineStr">
        <is>
          <t>three-way</t>
        </is>
      </c>
      <c r="P427" t="inlineStr">
        <is>
          <t>gco_rate</t>
        </is>
      </c>
    </row>
    <row r="428">
      <c r="A428" t="inlineStr">
        <is>
          <t>Split by SYS_FLAG</t>
        </is>
      </c>
      <c r="B428" t="inlineStr">
        <is>
          <t>Charge-offs</t>
        </is>
      </c>
      <c r="C428" t="n">
        <v>1136</v>
      </c>
      <c r="D428" t="inlineStr">
        <is>
          <t>ORIG_BAL 15,449 - 26,323</t>
        </is>
      </c>
      <c r="E428" t="inlineStr">
        <is>
          <t>ASSET_CLASS 1</t>
        </is>
      </c>
      <c r="F428" t="inlineStr">
        <is>
          <t>Y</t>
        </is>
      </c>
      <c r="G428" t="n">
        <v>180</v>
      </c>
      <c r="H428" t="n">
        <v>1.936688816548304</v>
      </c>
      <c r="J428" t="n">
        <v>37</v>
      </c>
      <c r="K428">
        <f>'_pockets'!$AI$1136</f>
        <v/>
      </c>
      <c r="L428">
        <f>'_pockets'!$AJ$1136</f>
        <v/>
      </c>
      <c r="M428">
        <f>IF(AND($A428='Pockets'!$D$17,$B428='Pockets'!$C$17,OR('Pockets'!$E$17="All",AND('Pockets'!$E$17="Worse and material",$K428="Yes",$L428="Yes"),AND('Pockets'!$E$17="Worse or not sure",OR($K428="Yes",$K428="Not sure")))),1,0)</f>
        <v/>
      </c>
      <c r="N428">
        <f>$N427+$M428</f>
        <v/>
      </c>
      <c r="O428" t="inlineStr">
        <is>
          <t>three-way</t>
        </is>
      </c>
      <c r="P428" t="inlineStr">
        <is>
          <t>gco_rate</t>
        </is>
      </c>
    </row>
    <row r="429">
      <c r="A429" t="inlineStr">
        <is>
          <t>Split by SYS_FLAG</t>
        </is>
      </c>
      <c r="B429" t="inlineStr">
        <is>
          <t>Charge-offs</t>
        </is>
      </c>
      <c r="C429" t="n">
        <v>1191</v>
      </c>
      <c r="D429" t="inlineStr">
        <is>
          <t>ORIG_BAL 26,324 - 37,950</t>
        </is>
      </c>
      <c r="E429" t="inlineStr">
        <is>
          <t>ASSET_CLASS 4</t>
        </is>
      </c>
      <c r="F429" t="inlineStr">
        <is>
          <t>N</t>
        </is>
      </c>
      <c r="G429" t="n">
        <v>218</v>
      </c>
      <c r="H429" t="n">
        <v>1.843380370341902</v>
      </c>
      <c r="J429" t="n">
        <v>38</v>
      </c>
      <c r="K429">
        <f>'_pockets'!$AI$1191</f>
        <v/>
      </c>
      <c r="L429">
        <f>'_pockets'!$AJ$1191</f>
        <v/>
      </c>
      <c r="M429">
        <f>IF(AND($A429='Pockets'!$D$17,$B429='Pockets'!$C$17,OR('Pockets'!$E$17="All",AND('Pockets'!$E$17="Worse and material",$K429="Yes",$L429="Yes"),AND('Pockets'!$E$17="Worse or not sure",OR($K429="Yes",$K429="Not sure")))),1,0)</f>
        <v/>
      </c>
      <c r="N429">
        <f>$N428+$M429</f>
        <v/>
      </c>
      <c r="O429" t="inlineStr">
        <is>
          <t>three-way</t>
        </is>
      </c>
      <c r="P429" t="inlineStr">
        <is>
          <t>gco_rate</t>
        </is>
      </c>
    </row>
    <row r="430">
      <c r="A430" t="inlineStr">
        <is>
          <t>Split by SYS_FLAG</t>
        </is>
      </c>
      <c r="B430" t="inlineStr">
        <is>
          <t>Charge-offs</t>
        </is>
      </c>
      <c r="C430" t="n">
        <v>591</v>
      </c>
      <c r="D430" t="inlineStr">
        <is>
          <t>FICO (marked missing)</t>
        </is>
      </c>
      <c r="E430" t="inlineStr">
        <is>
          <t>Broker</t>
        </is>
      </c>
      <c r="F430" t="inlineStr">
        <is>
          <t>Y</t>
        </is>
      </c>
      <c r="G430" t="n">
        <v>25</v>
      </c>
      <c r="H430" t="n">
        <v>3.908905986532663</v>
      </c>
      <c r="J430" t="n">
        <v>39</v>
      </c>
      <c r="K430">
        <f>'_pockets'!$AI$591</f>
        <v/>
      </c>
      <c r="L430">
        <f>'_pockets'!$AJ$591</f>
        <v/>
      </c>
      <c r="M430">
        <f>IF(AND($A430='Pockets'!$D$17,$B430='Pockets'!$C$17,OR('Pockets'!$E$17="All",AND('Pockets'!$E$17="Worse and material",$K430="Yes",$L430="Yes"),AND('Pockets'!$E$17="Worse or not sure",OR($K430="Yes",$K430="Not sure")))),1,0)</f>
        <v/>
      </c>
      <c r="N430">
        <f>$N429+$M430</f>
        <v/>
      </c>
      <c r="O430" t="inlineStr">
        <is>
          <t>three-way</t>
        </is>
      </c>
      <c r="P430" t="inlineStr">
        <is>
          <t>gco_rate</t>
        </is>
      </c>
    </row>
    <row r="431">
      <c r="A431" t="inlineStr">
        <is>
          <t>Split by SYS_FLAG</t>
        </is>
      </c>
      <c r="B431" t="inlineStr">
        <is>
          <t>Charge-offs</t>
        </is>
      </c>
      <c r="C431" t="n">
        <v>436</v>
      </c>
      <c r="D431" t="inlineStr">
        <is>
          <t>FICO 746 - 921</t>
        </is>
      </c>
      <c r="E431" t="inlineStr">
        <is>
          <t>Branch</t>
        </is>
      </c>
      <c r="F431" t="inlineStr">
        <is>
          <t>Y</t>
        </is>
      </c>
      <c r="G431" t="n">
        <v>239</v>
      </c>
      <c r="H431" t="n">
        <v>1.802139139561763</v>
      </c>
      <c r="J431" t="n">
        <v>40</v>
      </c>
      <c r="K431">
        <f>'_pockets'!$AI$436</f>
        <v/>
      </c>
      <c r="L431">
        <f>'_pockets'!$AJ$436</f>
        <v/>
      </c>
      <c r="M431">
        <f>IF(AND($A431='Pockets'!$D$17,$B431='Pockets'!$C$17,OR('Pockets'!$E$17="All",AND('Pockets'!$E$17="Worse and material",$K431="Yes",$L431="Yes"),AND('Pockets'!$E$17="Worse or not sure",OR($K431="Yes",$K431="Not sure")))),1,0)</f>
        <v/>
      </c>
      <c r="N431">
        <f>$N430+$M431</f>
        <v/>
      </c>
      <c r="O431" t="inlineStr">
        <is>
          <t>three-way</t>
        </is>
      </c>
      <c r="P431" t="inlineStr">
        <is>
          <t>gco_rate</t>
        </is>
      </c>
    </row>
    <row r="432">
      <c r="A432" t="inlineStr">
        <is>
          <t>Split by SYS_FLAG</t>
        </is>
      </c>
      <c r="B432" t="inlineStr">
        <is>
          <t>Charge-offs</t>
        </is>
      </c>
      <c r="C432" t="n">
        <v>876</v>
      </c>
      <c r="D432" t="inlineStr">
        <is>
          <t>ORIG_BAL 15,449 - 26,323</t>
        </is>
      </c>
      <c r="E432" t="inlineStr">
        <is>
          <t>Broker</t>
        </is>
      </c>
      <c r="F432" t="inlineStr">
        <is>
          <t>N</t>
        </is>
      </c>
      <c r="G432" t="n">
        <v>293</v>
      </c>
      <c r="H432" t="n">
        <v>1.71821920812212</v>
      </c>
      <c r="J432" t="n">
        <v>41</v>
      </c>
      <c r="K432">
        <f>'_pockets'!$AI$876</f>
        <v/>
      </c>
      <c r="L432">
        <f>'_pockets'!$AJ$876</f>
        <v/>
      </c>
      <c r="M432">
        <f>IF(AND($A432='Pockets'!$D$17,$B432='Pockets'!$C$17,OR('Pockets'!$E$17="All",AND('Pockets'!$E$17="Worse and material",$K432="Yes",$L432="Yes"),AND('Pockets'!$E$17="Worse or not sure",OR($K432="Yes",$K432="Not sure")))),1,0)</f>
        <v/>
      </c>
      <c r="N432">
        <f>$N431+$M432</f>
        <v/>
      </c>
      <c r="O432" t="inlineStr">
        <is>
          <t>three-way</t>
        </is>
      </c>
      <c r="P432" t="inlineStr">
        <is>
          <t>gco_rate</t>
        </is>
      </c>
    </row>
    <row r="433">
      <c r="A433" t="inlineStr">
        <is>
          <t>Split by SYS_FLAG</t>
        </is>
      </c>
      <c r="B433" t="inlineStr">
        <is>
          <t>Charge-offs</t>
        </is>
      </c>
      <c r="C433" t="n">
        <v>836</v>
      </c>
      <c r="D433" t="inlineStr">
        <is>
          <t>FICO (marked missing)</t>
        </is>
      </c>
      <c r="E433" t="inlineStr">
        <is>
          <t>ASSET_CLASS 2</t>
        </is>
      </c>
      <c r="F433" t="inlineStr">
        <is>
          <t>Y</t>
        </is>
      </c>
      <c r="G433" t="n">
        <v>18</v>
      </c>
      <c r="H433" t="n">
        <v>4.552903450111931</v>
      </c>
      <c r="J433" t="n">
        <v>42</v>
      </c>
      <c r="K433">
        <f>'_pockets'!$AI$836</f>
        <v/>
      </c>
      <c r="L433">
        <f>'_pockets'!$AJ$836</f>
        <v/>
      </c>
      <c r="M433">
        <f>IF(AND($A433='Pockets'!$D$17,$B433='Pockets'!$C$17,OR('Pockets'!$E$17="All",AND('Pockets'!$E$17="Worse and material",$K433="Yes",$L433="Yes"),AND('Pockets'!$E$17="Worse or not sure",OR($K433="Yes",$K433="Not sure")))),1,0)</f>
        <v/>
      </c>
      <c r="N433">
        <f>$N432+$M433</f>
        <v/>
      </c>
      <c r="O433" t="inlineStr">
        <is>
          <t>three-way</t>
        </is>
      </c>
      <c r="P433" t="inlineStr">
        <is>
          <t>gco_rate</t>
        </is>
      </c>
    </row>
    <row r="434">
      <c r="A434" t="inlineStr">
        <is>
          <t>Split by SYS_FLAG</t>
        </is>
      </c>
      <c r="B434" t="inlineStr">
        <is>
          <t>Charge-offs</t>
        </is>
      </c>
      <c r="C434" t="n">
        <v>891</v>
      </c>
      <c r="D434" t="inlineStr">
        <is>
          <t>ORIG_BAL 5,005 - 15,448</t>
        </is>
      </c>
      <c r="E434" t="inlineStr">
        <is>
          <t>Broker</t>
        </is>
      </c>
      <c r="F434" t="inlineStr">
        <is>
          <t>Y</t>
        </is>
      </c>
      <c r="G434" t="n">
        <v>237</v>
      </c>
      <c r="H434" t="n">
        <v>1.805816990102185</v>
      </c>
      <c r="J434" t="n">
        <v>43</v>
      </c>
      <c r="K434">
        <f>'_pockets'!$AI$891</f>
        <v/>
      </c>
      <c r="L434">
        <f>'_pockets'!$AJ$891</f>
        <v/>
      </c>
      <c r="M434">
        <f>IF(AND($A434='Pockets'!$D$17,$B434='Pockets'!$C$17,OR('Pockets'!$E$17="All",AND('Pockets'!$E$17="Worse and material",$K434="Yes",$L434="Yes"),AND('Pockets'!$E$17="Worse or not sure",OR($K434="Yes",$K434="Not sure")))),1,0)</f>
        <v/>
      </c>
      <c r="N434">
        <f>$N433+$M434</f>
        <v/>
      </c>
      <c r="O434" t="inlineStr">
        <is>
          <t>three-way</t>
        </is>
      </c>
      <c r="P434" t="inlineStr">
        <is>
          <t>gco_rate</t>
        </is>
      </c>
    </row>
    <row r="435">
      <c r="A435" t="inlineStr">
        <is>
          <t>Split by SYS_FLAG</t>
        </is>
      </c>
      <c r="B435" t="inlineStr">
        <is>
          <t>Charge-offs</t>
        </is>
      </c>
      <c r="C435" t="n">
        <v>726</v>
      </c>
      <c r="D435" t="inlineStr">
        <is>
          <t>FICO 746 - 921</t>
        </is>
      </c>
      <c r="E435" t="inlineStr">
        <is>
          <t>ASSET_CLASS 1</t>
        </is>
      </c>
      <c r="F435" t="inlineStr">
        <is>
          <t>Y</t>
        </is>
      </c>
      <c r="G435" t="n">
        <v>183</v>
      </c>
      <c r="H435" t="n">
        <v>1.928218598472405</v>
      </c>
      <c r="J435" t="n">
        <v>44</v>
      </c>
      <c r="K435">
        <f>'_pockets'!$AI$726</f>
        <v/>
      </c>
      <c r="L435">
        <f>'_pockets'!$AJ$726</f>
        <v/>
      </c>
      <c r="M435">
        <f>IF(AND($A435='Pockets'!$D$17,$B435='Pockets'!$C$17,OR('Pockets'!$E$17="All",AND('Pockets'!$E$17="Worse and material",$K435="Yes",$L435="Yes"),AND('Pockets'!$E$17="Worse or not sure",OR($K435="Yes",$K435="Not sure")))),1,0)</f>
        <v/>
      </c>
      <c r="N435">
        <f>$N434+$M435</f>
        <v/>
      </c>
      <c r="O435" t="inlineStr">
        <is>
          <t>three-way</t>
        </is>
      </c>
      <c r="P435" t="inlineStr">
        <is>
          <t>gco_rate</t>
        </is>
      </c>
    </row>
    <row r="436">
      <c r="A436" t="inlineStr">
        <is>
          <t>Split by SYS_FLAG</t>
        </is>
      </c>
      <c r="B436" t="inlineStr">
        <is>
          <t>Charge-offs</t>
        </is>
      </c>
      <c r="C436" t="n">
        <v>481</v>
      </c>
      <c r="D436" t="inlineStr">
        <is>
          <t>FICO 746 - 921</t>
        </is>
      </c>
      <c r="E436" t="inlineStr">
        <is>
          <t>Online</t>
        </is>
      </c>
      <c r="F436" t="inlineStr">
        <is>
          <t>Y</t>
        </is>
      </c>
      <c r="G436" t="n">
        <v>225</v>
      </c>
      <c r="H436" t="n">
        <v>1.828959175099692</v>
      </c>
      <c r="J436" t="n">
        <v>45</v>
      </c>
      <c r="K436">
        <f>'_pockets'!$AI$481</f>
        <v/>
      </c>
      <c r="L436">
        <f>'_pockets'!$AJ$481</f>
        <v/>
      </c>
      <c r="M436">
        <f>IF(AND($A436='Pockets'!$D$17,$B436='Pockets'!$C$17,OR('Pockets'!$E$17="All",AND('Pockets'!$E$17="Worse and material",$K436="Yes",$L436="Yes"),AND('Pockets'!$E$17="Worse or not sure",OR($K436="Yes",$K436="Not sure")))),1,0)</f>
        <v/>
      </c>
      <c r="N436">
        <f>$N435+$M436</f>
        <v/>
      </c>
      <c r="O436" t="inlineStr">
        <is>
          <t>three-way</t>
        </is>
      </c>
      <c r="P436" t="inlineStr">
        <is>
          <t>gco_rate</t>
        </is>
      </c>
    </row>
    <row r="437">
      <c r="A437" t="inlineStr">
        <is>
          <t>Split by SYS_FLAG</t>
        </is>
      </c>
      <c r="B437" t="inlineStr">
        <is>
          <t>Charge-offs</t>
        </is>
      </c>
      <c r="C437" t="n">
        <v>846</v>
      </c>
      <c r="D437" t="inlineStr">
        <is>
          <t>ORIG_BAL 26,324 - 37,950</t>
        </is>
      </c>
      <c r="E437" t="inlineStr">
        <is>
          <t>Broker</t>
        </is>
      </c>
      <c r="F437" t="inlineStr">
        <is>
          <t>Y</t>
        </is>
      </c>
      <c r="G437" t="n">
        <v>248</v>
      </c>
      <c r="H437" t="n">
        <v>1.786171192009447</v>
      </c>
      <c r="J437" t="n">
        <v>46</v>
      </c>
      <c r="K437">
        <f>'_pockets'!$AI$846</f>
        <v/>
      </c>
      <c r="L437">
        <f>'_pockets'!$AJ$846</f>
        <v/>
      </c>
      <c r="M437">
        <f>IF(AND($A437='Pockets'!$D$17,$B437='Pockets'!$C$17,OR('Pockets'!$E$17="All",AND('Pockets'!$E$17="Worse and material",$K437="Yes",$L437="Yes"),AND('Pockets'!$E$17="Worse or not sure",OR($K437="Yes",$K437="Not sure")))),1,0)</f>
        <v/>
      </c>
      <c r="N437">
        <f>$N436+$M437</f>
        <v/>
      </c>
      <c r="O437" t="inlineStr">
        <is>
          <t>three-way</t>
        </is>
      </c>
      <c r="P437" t="inlineStr">
        <is>
          <t>gco_rate</t>
        </is>
      </c>
    </row>
    <row r="438">
      <c r="A438" t="inlineStr">
        <is>
          <t>Split by SYS_FLAG</t>
        </is>
      </c>
      <c r="B438" t="inlineStr">
        <is>
          <t>Charge-offs</t>
        </is>
      </c>
      <c r="C438" t="n">
        <v>1046</v>
      </c>
      <c r="D438" t="inlineStr">
        <is>
          <t>ORIG_BAL 5,005 - 15,448</t>
        </is>
      </c>
      <c r="E438" t="inlineStr">
        <is>
          <t>ASSET_CLASS 4</t>
        </is>
      </c>
      <c r="F438" t="inlineStr">
        <is>
          <t>Y</t>
        </is>
      </c>
      <c r="G438" t="n">
        <v>196</v>
      </c>
      <c r="H438" t="n">
        <v>1.893914133256593</v>
      </c>
      <c r="J438" t="n">
        <v>47</v>
      </c>
      <c r="K438">
        <f>'_pockets'!$AI$1046</f>
        <v/>
      </c>
      <c r="L438">
        <f>'_pockets'!$AJ$1046</f>
        <v/>
      </c>
      <c r="M438">
        <f>IF(AND($A438='Pockets'!$D$17,$B438='Pockets'!$C$17,OR('Pockets'!$E$17="All",AND('Pockets'!$E$17="Worse and material",$K438="Yes",$L438="Yes"),AND('Pockets'!$E$17="Worse or not sure",OR($K438="Yes",$K438="Not sure")))),1,0)</f>
        <v/>
      </c>
      <c r="N438">
        <f>$N437+$M438</f>
        <v/>
      </c>
      <c r="O438" t="inlineStr">
        <is>
          <t>three-way</t>
        </is>
      </c>
      <c r="P438" t="inlineStr">
        <is>
          <t>gco_rate</t>
        </is>
      </c>
    </row>
    <row r="439">
      <c r="A439" t="inlineStr">
        <is>
          <t>Split by SYS_FLAG</t>
        </is>
      </c>
      <c r="B439" t="inlineStr">
        <is>
          <t>Charge-offs</t>
        </is>
      </c>
      <c r="C439" t="n">
        <v>1001</v>
      </c>
      <c r="D439" t="inlineStr">
        <is>
          <t>ORIG_BAL 26,324 - 37,950</t>
        </is>
      </c>
      <c r="E439" t="inlineStr">
        <is>
          <t>ASSET_CLASS 2</t>
        </is>
      </c>
      <c r="F439" t="inlineStr">
        <is>
          <t>Y</t>
        </is>
      </c>
      <c r="G439" t="n">
        <v>179</v>
      </c>
      <c r="H439" t="n">
        <v>1.939562163385701</v>
      </c>
      <c r="J439" t="n">
        <v>48</v>
      </c>
      <c r="K439">
        <f>'_pockets'!$AI$1001</f>
        <v/>
      </c>
      <c r="L439">
        <f>'_pockets'!$AJ$1001</f>
        <v/>
      </c>
      <c r="M439">
        <f>IF(AND($A439='Pockets'!$D$17,$B439='Pockets'!$C$17,OR('Pockets'!$E$17="All",AND('Pockets'!$E$17="Worse and material",$K439="Yes",$L439="Yes"),AND('Pockets'!$E$17="Worse or not sure",OR($K439="Yes",$K439="Not sure")))),1,0)</f>
        <v/>
      </c>
      <c r="N439">
        <f>$N438+$M439</f>
        <v/>
      </c>
      <c r="O439" t="inlineStr">
        <is>
          <t>three-way</t>
        </is>
      </c>
      <c r="P439" t="inlineStr">
        <is>
          <t>gco_rate</t>
        </is>
      </c>
    </row>
    <row r="440">
      <c r="A440" t="inlineStr">
        <is>
          <t>Split by SYS_FLAG</t>
        </is>
      </c>
      <c r="B440" t="inlineStr">
        <is>
          <t>Charge-offs</t>
        </is>
      </c>
      <c r="C440" t="n">
        <v>636</v>
      </c>
      <c r="D440" t="inlineStr">
        <is>
          <t>FICO 686 - 711</t>
        </is>
      </c>
      <c r="E440" t="inlineStr">
        <is>
          <t>ASSET_CLASS 1</t>
        </is>
      </c>
      <c r="F440" t="inlineStr">
        <is>
          <t>Y</t>
        </is>
      </c>
      <c r="G440" t="n">
        <v>167</v>
      </c>
      <c r="H440" t="n">
        <v>1.976150842278434</v>
      </c>
      <c r="J440" t="n">
        <v>49</v>
      </c>
      <c r="K440">
        <f>'_pockets'!$AI$636</f>
        <v/>
      </c>
      <c r="L440">
        <f>'_pockets'!$AJ$636</f>
        <v/>
      </c>
      <c r="M440">
        <f>IF(AND($A440='Pockets'!$D$17,$B440='Pockets'!$C$17,OR('Pockets'!$E$17="All",AND('Pockets'!$E$17="Worse and material",$K440="Yes",$L440="Yes"),AND('Pockets'!$E$17="Worse or not sure",OR($K440="Yes",$K440="Not sure")))),1,0)</f>
        <v/>
      </c>
      <c r="N440">
        <f>$N439+$M440</f>
        <v/>
      </c>
      <c r="O440" t="inlineStr">
        <is>
          <t>three-way</t>
        </is>
      </c>
      <c r="P440" t="inlineStr">
        <is>
          <t>gco_rate</t>
        </is>
      </c>
    </row>
    <row r="441">
      <c r="A441" t="inlineStr">
        <is>
          <t>Split by SYS_FLAG</t>
        </is>
      </c>
      <c r="B441" t="inlineStr">
        <is>
          <t>Charge-offs</t>
        </is>
      </c>
      <c r="C441" t="n">
        <v>1171</v>
      </c>
      <c r="D441" t="inlineStr">
        <is>
          <t>ORIG_BAL 15,449 - 26,323</t>
        </is>
      </c>
      <c r="E441" t="inlineStr">
        <is>
          <t>ASSET_CLASS 4</t>
        </is>
      </c>
      <c r="F441" t="inlineStr">
        <is>
          <t>Y</t>
        </is>
      </c>
      <c r="G441" t="n">
        <v>190</v>
      </c>
      <c r="H441" t="n">
        <v>1.909284569253305</v>
      </c>
      <c r="J441" t="n">
        <v>50</v>
      </c>
      <c r="K441">
        <f>'_pockets'!$AI$1171</f>
        <v/>
      </c>
      <c r="L441">
        <f>'_pockets'!$AJ$1171</f>
        <v/>
      </c>
      <c r="M441">
        <f>IF(AND($A441='Pockets'!$D$17,$B441='Pockets'!$C$17,OR('Pockets'!$E$17="All",AND('Pockets'!$E$17="Worse and material",$K441="Yes",$L441="Yes"),AND('Pockets'!$E$17="Worse or not sure",OR($K441="Yes",$K441="Not sure")))),1,0)</f>
        <v/>
      </c>
      <c r="N441">
        <f>$N440+$M441</f>
        <v/>
      </c>
      <c r="O441" t="inlineStr">
        <is>
          <t>three-way</t>
        </is>
      </c>
      <c r="P441" t="inlineStr">
        <is>
          <t>gco_rate</t>
        </is>
      </c>
    </row>
    <row r="442">
      <c r="A442" t="inlineStr">
        <is>
          <t>Split by SYS_FLAG</t>
        </is>
      </c>
      <c r="B442" t="inlineStr">
        <is>
          <t>Charge-offs</t>
        </is>
      </c>
      <c r="C442" t="n">
        <v>1186</v>
      </c>
      <c r="D442" t="inlineStr">
        <is>
          <t>ORIG_BAL 5,005 - 15,448</t>
        </is>
      </c>
      <c r="E442" t="inlineStr">
        <is>
          <t>ASSET_CLASS 3</t>
        </is>
      </c>
      <c r="F442" t="inlineStr">
        <is>
          <t>Y</t>
        </is>
      </c>
      <c r="G442" t="n">
        <v>184</v>
      </c>
      <c r="H442" t="n">
        <v>1.925443952632495</v>
      </c>
      <c r="J442" t="n">
        <v>51</v>
      </c>
      <c r="K442">
        <f>'_pockets'!$AI$1186</f>
        <v/>
      </c>
      <c r="L442">
        <f>'_pockets'!$AJ$1186</f>
        <v/>
      </c>
      <c r="M442">
        <f>IF(AND($A442='Pockets'!$D$17,$B442='Pockets'!$C$17,OR('Pockets'!$E$17="All",AND('Pockets'!$E$17="Worse and material",$K442="Yes",$L442="Yes"),AND('Pockets'!$E$17="Worse or not sure",OR($K442="Yes",$K442="Not sure")))),1,0)</f>
        <v/>
      </c>
      <c r="N442">
        <f>$N441+$M442</f>
        <v/>
      </c>
      <c r="O442" t="inlineStr">
        <is>
          <t>three-way</t>
        </is>
      </c>
      <c r="P442" t="inlineStr">
        <is>
          <t>gco_rate</t>
        </is>
      </c>
    </row>
    <row r="443">
      <c r="A443" t="inlineStr">
        <is>
          <t>Split by SYS_FLAG</t>
        </is>
      </c>
      <c r="B443" t="inlineStr">
        <is>
          <t>Charge-offs</t>
        </is>
      </c>
      <c r="C443" t="n">
        <v>991</v>
      </c>
      <c r="D443" t="inlineStr">
        <is>
          <t>ORIG_BAL 26,324 - 37,950</t>
        </is>
      </c>
      <c r="E443" t="inlineStr">
        <is>
          <t>Broker</t>
        </is>
      </c>
      <c r="F443" t="inlineStr">
        <is>
          <t>N</t>
        </is>
      </c>
      <c r="G443" t="n">
        <v>305</v>
      </c>
      <c r="H443" t="n">
        <v>1.702809064307684</v>
      </c>
      <c r="J443" t="n">
        <v>52</v>
      </c>
      <c r="K443">
        <f>'_pockets'!$AI$991</f>
        <v/>
      </c>
      <c r="L443">
        <f>'_pockets'!$AJ$991</f>
        <v/>
      </c>
      <c r="M443">
        <f>IF(AND($A443='Pockets'!$D$17,$B443='Pockets'!$C$17,OR('Pockets'!$E$17="All",AND('Pockets'!$E$17="Worse and material",$K443="Yes",$L443="Yes"),AND('Pockets'!$E$17="Worse or not sure",OR($K443="Yes",$K443="Not sure")))),1,0)</f>
        <v/>
      </c>
      <c r="N443">
        <f>$N442+$M443</f>
        <v/>
      </c>
      <c r="O443" t="inlineStr">
        <is>
          <t>three-way</t>
        </is>
      </c>
      <c r="P443" t="inlineStr">
        <is>
          <t>gco_rate</t>
        </is>
      </c>
    </row>
    <row r="444">
      <c r="A444" t="inlineStr">
        <is>
          <t>Split by SYS_FLAG</t>
        </is>
      </c>
      <c r="B444" t="inlineStr">
        <is>
          <t>Charge-offs</t>
        </is>
      </c>
      <c r="C444" t="n">
        <v>766</v>
      </c>
      <c r="D444" t="inlineStr">
        <is>
          <t>FICO 746 - 921</t>
        </is>
      </c>
      <c r="E444" t="inlineStr">
        <is>
          <t>ASSET_CLASS 3</t>
        </is>
      </c>
      <c r="F444" t="inlineStr">
        <is>
          <t>Y</t>
        </is>
      </c>
      <c r="G444" t="n">
        <v>174</v>
      </c>
      <c r="H444" t="n">
        <v>1.954320218153123</v>
      </c>
      <c r="J444" t="n">
        <v>53</v>
      </c>
      <c r="K444">
        <f>'_pockets'!$AI$766</f>
        <v/>
      </c>
      <c r="L444">
        <f>'_pockets'!$AJ$766</f>
        <v/>
      </c>
      <c r="M444">
        <f>IF(AND($A444='Pockets'!$D$17,$B444='Pockets'!$C$17,OR('Pockets'!$E$17="All",AND('Pockets'!$E$17="Worse and material",$K444="Yes",$L444="Yes"),AND('Pockets'!$E$17="Worse or not sure",OR($K444="Yes",$K444="Not sure")))),1,0)</f>
        <v/>
      </c>
      <c r="N444">
        <f>$N443+$M444</f>
        <v/>
      </c>
      <c r="O444" t="inlineStr">
        <is>
          <t>three-way</t>
        </is>
      </c>
      <c r="P444" t="inlineStr">
        <is>
          <t>gco_rate</t>
        </is>
      </c>
    </row>
    <row r="445">
      <c r="A445" t="inlineStr">
        <is>
          <t>Split by SYS_FLAG</t>
        </is>
      </c>
      <c r="B445" t="inlineStr">
        <is>
          <t>Charge-offs</t>
        </is>
      </c>
      <c r="C445" t="n">
        <v>1111</v>
      </c>
      <c r="D445" t="inlineStr">
        <is>
          <t>ORIG_BAL 5,005 - 15,448</t>
        </is>
      </c>
      <c r="E445" t="inlineStr">
        <is>
          <t>ASSET_CLASS 2</t>
        </is>
      </c>
      <c r="F445" t="inlineStr">
        <is>
          <t>Y</t>
        </is>
      </c>
      <c r="G445" t="n">
        <v>160</v>
      </c>
      <c r="H445" t="n">
        <v>1.999485398097949</v>
      </c>
      <c r="J445" t="n">
        <v>54</v>
      </c>
      <c r="K445">
        <f>'_pockets'!$AI$1111</f>
        <v/>
      </c>
      <c r="L445">
        <f>'_pockets'!$AJ$1111</f>
        <v/>
      </c>
      <c r="M445">
        <f>IF(AND($A445='Pockets'!$D$17,$B445='Pockets'!$C$17,OR('Pockets'!$E$17="All",AND('Pockets'!$E$17="Worse and material",$K445="Yes",$L445="Yes"),AND('Pockets'!$E$17="Worse or not sure",OR($K445="Yes",$K445="Not sure")))),1,0)</f>
        <v/>
      </c>
      <c r="N445">
        <f>$N444+$M445</f>
        <v/>
      </c>
      <c r="O445" t="inlineStr">
        <is>
          <t>three-way</t>
        </is>
      </c>
      <c r="P445" t="inlineStr">
        <is>
          <t>gco_rate</t>
        </is>
      </c>
    </row>
    <row r="446">
      <c r="A446" t="inlineStr">
        <is>
          <t>Split by SYS_FLAG</t>
        </is>
      </c>
      <c r="B446" t="inlineStr">
        <is>
          <t>Charge-offs</t>
        </is>
      </c>
      <c r="C446" t="n">
        <v>521</v>
      </c>
      <c r="D446" t="inlineStr">
        <is>
          <t>FICO 654 - 685</t>
        </is>
      </c>
      <c r="E446" t="inlineStr">
        <is>
          <t>Broker</t>
        </is>
      </c>
      <c r="F446" t="inlineStr">
        <is>
          <t>Y</t>
        </is>
      </c>
      <c r="G446" t="n">
        <v>244</v>
      </c>
      <c r="H446" t="n">
        <v>1.793153328610977</v>
      </c>
      <c r="J446" t="n">
        <v>55</v>
      </c>
      <c r="K446">
        <f>'_pockets'!$AI$521</f>
        <v/>
      </c>
      <c r="L446">
        <f>'_pockets'!$AJ$521</f>
        <v/>
      </c>
      <c r="M446">
        <f>IF(AND($A446='Pockets'!$D$17,$B446='Pockets'!$C$17,OR('Pockets'!$E$17="All",AND('Pockets'!$E$17="Worse and material",$K446="Yes",$L446="Yes"),AND('Pockets'!$E$17="Worse or not sure",OR($K446="Yes",$K446="Not sure")))),1,0)</f>
        <v/>
      </c>
      <c r="N446">
        <f>$N445+$M446</f>
        <v/>
      </c>
      <c r="O446" t="inlineStr">
        <is>
          <t>three-way</t>
        </is>
      </c>
      <c r="P446" t="inlineStr">
        <is>
          <t>gco_rate</t>
        </is>
      </c>
    </row>
    <row r="447">
      <c r="A447" t="inlineStr">
        <is>
          <t>Split by SYS_FLAG</t>
        </is>
      </c>
      <c r="B447" t="inlineStr">
        <is>
          <t>Charge-offs</t>
        </is>
      </c>
      <c r="C447" t="n">
        <v>671</v>
      </c>
      <c r="D447" t="inlineStr">
        <is>
          <t>FICO 654 - 685</t>
        </is>
      </c>
      <c r="E447" t="inlineStr">
        <is>
          <t>ASSET_CLASS 1</t>
        </is>
      </c>
      <c r="F447" t="inlineStr">
        <is>
          <t>Y</t>
        </is>
      </c>
      <c r="G447" t="n">
        <v>187</v>
      </c>
      <c r="H447" t="n">
        <v>1.917261529363642</v>
      </c>
      <c r="J447" t="n">
        <v>56</v>
      </c>
      <c r="K447">
        <f>'_pockets'!$AI$671</f>
        <v/>
      </c>
      <c r="L447">
        <f>'_pockets'!$AJ$671</f>
        <v/>
      </c>
      <c r="M447">
        <f>IF(AND($A447='Pockets'!$D$17,$B447='Pockets'!$C$17,OR('Pockets'!$E$17="All",AND('Pockets'!$E$17="Worse and material",$K447="Yes",$L447="Yes"),AND('Pockets'!$E$17="Worse or not sure",OR($K447="Yes",$K447="Not sure")))),1,0)</f>
        <v/>
      </c>
      <c r="N447">
        <f>$N446+$M447</f>
        <v/>
      </c>
      <c r="O447" t="inlineStr">
        <is>
          <t>three-way</t>
        </is>
      </c>
      <c r="P447" t="inlineStr">
        <is>
          <t>gco_rate</t>
        </is>
      </c>
    </row>
    <row r="448">
      <c r="A448" t="inlineStr">
        <is>
          <t>Split by SYS_FLAG</t>
        </is>
      </c>
      <c r="B448" t="inlineStr">
        <is>
          <t>Charge-offs</t>
        </is>
      </c>
      <c r="C448" t="n">
        <v>426</v>
      </c>
      <c r="D448" t="inlineStr">
        <is>
          <t>FICO 712 - 745</t>
        </is>
      </c>
      <c r="E448" t="inlineStr">
        <is>
          <t>Branch</t>
        </is>
      </c>
      <c r="F448" t="inlineStr">
        <is>
          <t>Y</t>
        </is>
      </c>
      <c r="G448" t="n">
        <v>230</v>
      </c>
      <c r="H448" t="n">
        <v>1.819085048028324</v>
      </c>
      <c r="J448" t="n">
        <v>57</v>
      </c>
      <c r="K448">
        <f>'_pockets'!$AI$426</f>
        <v/>
      </c>
      <c r="L448">
        <f>'_pockets'!$AJ$426</f>
        <v/>
      </c>
      <c r="M448">
        <f>IF(AND($A448='Pockets'!$D$17,$B448='Pockets'!$C$17,OR('Pockets'!$E$17="All",AND('Pockets'!$E$17="Worse and material",$K448="Yes",$L448="Yes"),AND('Pockets'!$E$17="Worse or not sure",OR($K448="Yes",$K448="Not sure")))),1,0)</f>
        <v/>
      </c>
      <c r="N448">
        <f>$N447+$M448</f>
        <v/>
      </c>
      <c r="O448" t="inlineStr">
        <is>
          <t>three-way</t>
        </is>
      </c>
      <c r="P448" t="inlineStr">
        <is>
          <t>gco_rate</t>
        </is>
      </c>
    </row>
    <row r="449">
      <c r="A449" t="inlineStr">
        <is>
          <t>Split by SYS_FLAG</t>
        </is>
      </c>
      <c r="B449" t="inlineStr">
        <is>
          <t>Charge-offs</t>
        </is>
      </c>
      <c r="C449" t="n">
        <v>736</v>
      </c>
      <c r="D449" t="inlineStr">
        <is>
          <t>FICO (marked missing)</t>
        </is>
      </c>
      <c r="E449" t="inlineStr">
        <is>
          <t>ASSET_CLASS 3</t>
        </is>
      </c>
      <c r="F449" t="inlineStr">
        <is>
          <t>Y</t>
        </is>
      </c>
      <c r="G449" t="n">
        <v>22</v>
      </c>
      <c r="H449" t="n">
        <v>4.142900988376738</v>
      </c>
      <c r="J449" t="n">
        <v>58</v>
      </c>
      <c r="K449">
        <f>'_pockets'!$AI$736</f>
        <v/>
      </c>
      <c r="L449">
        <f>'_pockets'!$AJ$736</f>
        <v/>
      </c>
      <c r="M449">
        <f>IF(AND($A449='Pockets'!$D$17,$B449='Pockets'!$C$17,OR('Pockets'!$E$17="All",AND('Pockets'!$E$17="Worse and material",$K449="Yes",$L449="Yes"),AND('Pockets'!$E$17="Worse or not sure",OR($K449="Yes",$K449="Not sure")))),1,0)</f>
        <v/>
      </c>
      <c r="N449">
        <f>$N448+$M449</f>
        <v/>
      </c>
      <c r="O449" t="inlineStr">
        <is>
          <t>three-way</t>
        </is>
      </c>
      <c r="P449" t="inlineStr">
        <is>
          <t>gco_rate</t>
        </is>
      </c>
    </row>
    <row r="450">
      <c r="A450" t="inlineStr">
        <is>
          <t>Split by SYS_FLAG</t>
        </is>
      </c>
      <c r="B450" t="inlineStr">
        <is>
          <t>Charge-offs</t>
        </is>
      </c>
      <c r="C450" t="n">
        <v>1096</v>
      </c>
      <c r="D450" t="inlineStr">
        <is>
          <t>ORIG_BAL 5,005 - 15,448</t>
        </is>
      </c>
      <c r="E450" t="inlineStr">
        <is>
          <t>ASSET_CLASS 4</t>
        </is>
      </c>
      <c r="F450" t="inlineStr">
        <is>
          <t>N</t>
        </is>
      </c>
      <c r="G450" t="n">
        <v>229</v>
      </c>
      <c r="H450" t="n">
        <v>1.821032610816088</v>
      </c>
      <c r="J450" t="n">
        <v>59</v>
      </c>
      <c r="K450">
        <f>'_pockets'!$AI$1096</f>
        <v/>
      </c>
      <c r="L450">
        <f>'_pockets'!$AJ$1096</f>
        <v/>
      </c>
      <c r="M450">
        <f>IF(AND($A450='Pockets'!$D$17,$B450='Pockets'!$C$17,OR('Pockets'!$E$17="All",AND('Pockets'!$E$17="Worse and material",$K450="Yes",$L450="Yes"),AND('Pockets'!$E$17="Worse or not sure",OR($K450="Yes",$K450="Not sure")))),1,0)</f>
        <v/>
      </c>
      <c r="N450">
        <f>$N449+$M450</f>
        <v/>
      </c>
      <c r="O450" t="inlineStr">
        <is>
          <t>three-way</t>
        </is>
      </c>
      <c r="P450" t="inlineStr">
        <is>
          <t>gco_rate</t>
        </is>
      </c>
    </row>
    <row r="451">
      <c r="A451" t="inlineStr">
        <is>
          <t>Split by SYS_FLAG</t>
        </is>
      </c>
      <c r="B451" t="inlineStr">
        <is>
          <t>Charge-offs</t>
        </is>
      </c>
      <c r="C451" t="n">
        <v>1091</v>
      </c>
      <c r="D451" t="inlineStr">
        <is>
          <t>ORIG_BAL 49,152 - 59,984</t>
        </is>
      </c>
      <c r="E451" t="inlineStr">
        <is>
          <t>ASSET_CLASS 3</t>
        </is>
      </c>
      <c r="F451" t="inlineStr">
        <is>
          <t>Y</t>
        </is>
      </c>
      <c r="G451" t="n">
        <v>179</v>
      </c>
      <c r="H451" t="n">
        <v>1.939562163385701</v>
      </c>
      <c r="J451" t="n">
        <v>60</v>
      </c>
      <c r="K451">
        <f>'_pockets'!$AI$1091</f>
        <v/>
      </c>
      <c r="L451">
        <f>'_pockets'!$AJ$1091</f>
        <v/>
      </c>
      <c r="M451">
        <f>IF(AND($A451='Pockets'!$D$17,$B451='Pockets'!$C$17,OR('Pockets'!$E$17="All",AND('Pockets'!$E$17="Worse and material",$K451="Yes",$L451="Yes"),AND('Pockets'!$E$17="Worse or not sure",OR($K451="Yes",$K451="Not sure")))),1,0)</f>
        <v/>
      </c>
      <c r="N451">
        <f>$N450+$M451</f>
        <v/>
      </c>
      <c r="O451" t="inlineStr">
        <is>
          <t>three-way</t>
        </is>
      </c>
      <c r="P451" t="inlineStr">
        <is>
          <t>gco_rate</t>
        </is>
      </c>
    </row>
    <row r="452">
      <c r="A452" t="inlineStr">
        <is>
          <t>Split by SYS_FLAG</t>
        </is>
      </c>
      <c r="B452" t="inlineStr">
        <is>
          <t>Charge-offs</t>
        </is>
      </c>
      <c r="C452" t="n">
        <v>531</v>
      </c>
      <c r="D452" t="inlineStr">
        <is>
          <t>FICO (marked missing)</t>
        </is>
      </c>
      <c r="E452" t="inlineStr">
        <is>
          <t>Online</t>
        </is>
      </c>
      <c r="F452" t="inlineStr">
        <is>
          <t>Y</t>
        </is>
      </c>
      <c r="G452" t="n">
        <v>25</v>
      </c>
      <c r="H452" t="n">
        <v>3.908905986532663</v>
      </c>
      <c r="J452" t="n">
        <v>61</v>
      </c>
      <c r="K452">
        <f>'_pockets'!$AI$531</f>
        <v/>
      </c>
      <c r="L452">
        <f>'_pockets'!$AJ$531</f>
        <v/>
      </c>
      <c r="M452">
        <f>IF(AND($A452='Pockets'!$D$17,$B452='Pockets'!$C$17,OR('Pockets'!$E$17="All",AND('Pockets'!$E$17="Worse and material",$K452="Yes",$L452="Yes"),AND('Pockets'!$E$17="Worse or not sure",OR($K452="Yes",$K452="Not sure")))),1,0)</f>
        <v/>
      </c>
      <c r="N452">
        <f>$N451+$M452</f>
        <v/>
      </c>
      <c r="O452" t="inlineStr">
        <is>
          <t>three-way</t>
        </is>
      </c>
      <c r="P452" t="inlineStr">
        <is>
          <t>gco_rate</t>
        </is>
      </c>
    </row>
    <row r="453">
      <c r="A453" t="inlineStr">
        <is>
          <t>Split by SYS_FLAG</t>
        </is>
      </c>
      <c r="B453" t="inlineStr">
        <is>
          <t>Charge-offs</t>
        </is>
      </c>
      <c r="C453" t="n">
        <v>536</v>
      </c>
      <c r="D453" t="inlineStr">
        <is>
          <t>FICO 746 - 921</t>
        </is>
      </c>
      <c r="E453" t="inlineStr">
        <is>
          <t>Branch</t>
        </is>
      </c>
      <c r="F453" t="inlineStr">
        <is>
          <t>N</t>
        </is>
      </c>
      <c r="G453" t="n">
        <v>279</v>
      </c>
      <c r="H453" t="n">
        <v>1.737501745251619</v>
      </c>
      <c r="J453" t="n">
        <v>62</v>
      </c>
      <c r="K453">
        <f>'_pockets'!$AI$536</f>
        <v/>
      </c>
      <c r="L453">
        <f>'_pockets'!$AJ$536</f>
        <v/>
      </c>
      <c r="M453">
        <f>IF(AND($A453='Pockets'!$D$17,$B453='Pockets'!$C$17,OR('Pockets'!$E$17="All",AND('Pockets'!$E$17="Worse and material",$K453="Yes",$L453="Yes"),AND('Pockets'!$E$17="Worse or not sure",OR($K453="Yes",$K453="Not sure")))),1,0)</f>
        <v/>
      </c>
      <c r="N453">
        <f>$N452+$M453</f>
        <v/>
      </c>
      <c r="O453" t="inlineStr">
        <is>
          <t>three-way</t>
        </is>
      </c>
      <c r="P453" t="inlineStr">
        <is>
          <t>gco_rate</t>
        </is>
      </c>
    </row>
    <row r="454">
      <c r="A454" t="inlineStr">
        <is>
          <t>Split by SYS_FLAG</t>
        </is>
      </c>
      <c r="B454" t="inlineStr">
        <is>
          <t>Charge-offs</t>
        </is>
      </c>
      <c r="C454" t="n">
        <v>1116</v>
      </c>
      <c r="D454" t="inlineStr">
        <is>
          <t>ORIG_BAL 5,005 - 15,448</t>
        </is>
      </c>
      <c r="E454" t="inlineStr">
        <is>
          <t>ASSET_CLASS 1</t>
        </is>
      </c>
      <c r="F454" t="inlineStr">
        <is>
          <t>Y</t>
        </is>
      </c>
      <c r="G454" t="n">
        <v>180</v>
      </c>
      <c r="H454" t="n">
        <v>1.936688816548304</v>
      </c>
      <c r="J454" t="n">
        <v>63</v>
      </c>
      <c r="K454">
        <f>'_pockets'!$AI$1116</f>
        <v/>
      </c>
      <c r="L454">
        <f>'_pockets'!$AJ$1116</f>
        <v/>
      </c>
      <c r="M454">
        <f>IF(AND($A454='Pockets'!$D$17,$B454='Pockets'!$C$17,OR('Pockets'!$E$17="All",AND('Pockets'!$E$17="Worse and material",$K454="Yes",$L454="Yes"),AND('Pockets'!$E$17="Worse or not sure",OR($K454="Yes",$K454="Not sure")))),1,0)</f>
        <v/>
      </c>
      <c r="N454">
        <f>$N453+$M454</f>
        <v/>
      </c>
      <c r="O454" t="inlineStr">
        <is>
          <t>three-way</t>
        </is>
      </c>
      <c r="P454" t="inlineStr">
        <is>
          <t>gco_rate</t>
        </is>
      </c>
    </row>
    <row r="455">
      <c r="A455" t="inlineStr">
        <is>
          <t>Split by SYS_FLAG</t>
        </is>
      </c>
      <c r="B455" t="inlineStr">
        <is>
          <t>Charge-offs</t>
        </is>
      </c>
      <c r="C455" t="n">
        <v>1036</v>
      </c>
      <c r="D455" t="inlineStr">
        <is>
          <t>ORIG_BAL 26,324 - 37,950</t>
        </is>
      </c>
      <c r="E455" t="inlineStr">
        <is>
          <t>ASSET_CLASS 1</t>
        </is>
      </c>
      <c r="F455" t="inlineStr">
        <is>
          <t>Y</t>
        </is>
      </c>
      <c r="G455" t="n">
        <v>173</v>
      </c>
      <c r="H455" t="n">
        <v>1.957352837071518</v>
      </c>
      <c r="J455" t="n">
        <v>64</v>
      </c>
      <c r="K455">
        <f>'_pockets'!$AI$1036</f>
        <v/>
      </c>
      <c r="L455">
        <f>'_pockets'!$AJ$1036</f>
        <v/>
      </c>
      <c r="M455">
        <f>IF(AND($A455='Pockets'!$D$17,$B455='Pockets'!$C$17,OR('Pockets'!$E$17="All",AND('Pockets'!$E$17="Worse and material",$K455="Yes",$L455="Yes"),AND('Pockets'!$E$17="Worse or not sure",OR($K455="Yes",$K455="Not sure")))),1,0)</f>
        <v/>
      </c>
      <c r="N455">
        <f>$N454+$M455</f>
        <v/>
      </c>
      <c r="O455" t="inlineStr">
        <is>
          <t>three-way</t>
        </is>
      </c>
      <c r="P455" t="inlineStr">
        <is>
          <t>gco_rate</t>
        </is>
      </c>
    </row>
    <row r="456">
      <c r="A456" t="inlineStr">
        <is>
          <t>Split by SYS_FLAG</t>
        </is>
      </c>
      <c r="B456" t="inlineStr">
        <is>
          <t>Charge-offs</t>
        </is>
      </c>
      <c r="C456" t="n">
        <v>751</v>
      </c>
      <c r="D456" t="inlineStr">
        <is>
          <t>FICO 686 - 711</t>
        </is>
      </c>
      <c r="E456" t="inlineStr">
        <is>
          <t>ASSET_CLASS 1</t>
        </is>
      </c>
      <c r="F456" t="inlineStr">
        <is>
          <t>N</t>
        </is>
      </c>
      <c r="G456" t="n">
        <v>205</v>
      </c>
      <c r="H456" t="n">
        <v>1.872205292319323</v>
      </c>
      <c r="J456" t="n">
        <v>65</v>
      </c>
      <c r="K456">
        <f>'_pockets'!$AI$751</f>
        <v/>
      </c>
      <c r="L456">
        <f>'_pockets'!$AJ$751</f>
        <v/>
      </c>
      <c r="M456">
        <f>IF(AND($A456='Pockets'!$D$17,$B456='Pockets'!$C$17,OR('Pockets'!$E$17="All",AND('Pockets'!$E$17="Worse and material",$K456="Yes",$L456="Yes"),AND('Pockets'!$E$17="Worse or not sure",OR($K456="Yes",$K456="Not sure")))),1,0)</f>
        <v/>
      </c>
      <c r="N456">
        <f>$N455+$M456</f>
        <v/>
      </c>
      <c r="O456" t="inlineStr">
        <is>
          <t>three-way</t>
        </is>
      </c>
      <c r="P456" t="inlineStr">
        <is>
          <t>gco_rate</t>
        </is>
      </c>
    </row>
    <row r="457">
      <c r="A457" t="inlineStr">
        <is>
          <t>Split by SYS_FLAG</t>
        </is>
      </c>
      <c r="B457" t="inlineStr">
        <is>
          <t>Charge-offs</t>
        </is>
      </c>
      <c r="C457" t="n">
        <v>966</v>
      </c>
      <c r="D457" t="inlineStr">
        <is>
          <t>ORIG_BAL 5,005 - 15,448</t>
        </is>
      </c>
      <c r="E457" t="inlineStr">
        <is>
          <t>Branch</t>
        </is>
      </c>
      <c r="F457" t="inlineStr">
        <is>
          <t>Y</t>
        </is>
      </c>
      <c r="G457" t="n">
        <v>241</v>
      </c>
      <c r="H457" t="n">
        <v>1.798509532558087</v>
      </c>
      <c r="J457" t="n">
        <v>66</v>
      </c>
      <c r="K457">
        <f>'_pockets'!$AI$966</f>
        <v/>
      </c>
      <c r="L457">
        <f>'_pockets'!$AJ$966</f>
        <v/>
      </c>
      <c r="M457">
        <f>IF(AND($A457='Pockets'!$D$17,$B457='Pockets'!$C$17,OR('Pockets'!$E$17="All",AND('Pockets'!$E$17="Worse and material",$K457="Yes",$L457="Yes"),AND('Pockets'!$E$17="Worse or not sure",OR($K457="Yes",$K457="Not sure")))),1,0)</f>
        <v/>
      </c>
      <c r="N457">
        <f>$N456+$M457</f>
        <v/>
      </c>
      <c r="O457" t="inlineStr">
        <is>
          <t>three-way</t>
        </is>
      </c>
      <c r="P457" t="inlineStr">
        <is>
          <t>gco_rate</t>
        </is>
      </c>
    </row>
    <row r="458">
      <c r="A458" t="inlineStr">
        <is>
          <t>Split by SYS_FLAG</t>
        </is>
      </c>
      <c r="B458" t="inlineStr">
        <is>
          <t>Charge-offs</t>
        </is>
      </c>
      <c r="C458" t="n">
        <v>731</v>
      </c>
      <c r="D458" t="inlineStr">
        <is>
          <t>FICO 712 - 745</t>
        </is>
      </c>
      <c r="E458" t="inlineStr">
        <is>
          <t>ASSET_CLASS 1</t>
        </is>
      </c>
      <c r="F458" t="inlineStr">
        <is>
          <t>Y</t>
        </is>
      </c>
      <c r="G458" t="n">
        <v>167</v>
      </c>
      <c r="H458" t="n">
        <v>1.976150842278434</v>
      </c>
      <c r="J458" t="n">
        <v>67</v>
      </c>
      <c r="K458">
        <f>'_pockets'!$AI$731</f>
        <v/>
      </c>
      <c r="L458">
        <f>'_pockets'!$AJ$731</f>
        <v/>
      </c>
      <c r="M458">
        <f>IF(AND($A458='Pockets'!$D$17,$B458='Pockets'!$C$17,OR('Pockets'!$E$17="All",AND('Pockets'!$E$17="Worse and material",$K458="Yes",$L458="Yes"),AND('Pockets'!$E$17="Worse or not sure",OR($K458="Yes",$K458="Not sure")))),1,0)</f>
        <v/>
      </c>
      <c r="N458">
        <f>$N457+$M458</f>
        <v/>
      </c>
      <c r="O458" t="inlineStr">
        <is>
          <t>three-way</t>
        </is>
      </c>
      <c r="P458" t="inlineStr">
        <is>
          <t>gco_rate</t>
        </is>
      </c>
    </row>
    <row r="459">
      <c r="A459" t="inlineStr">
        <is>
          <t>Split by SYS_FLAG</t>
        </is>
      </c>
      <c r="B459" t="inlineStr">
        <is>
          <t>Charge-offs</t>
        </is>
      </c>
      <c r="C459" t="n">
        <v>696</v>
      </c>
      <c r="D459" t="inlineStr">
        <is>
          <t>FICO 686 - 711</t>
        </is>
      </c>
      <c r="E459" t="inlineStr">
        <is>
          <t>ASSET_CLASS 4</t>
        </is>
      </c>
      <c r="F459" t="inlineStr">
        <is>
          <t>N</t>
        </is>
      </c>
      <c r="G459" t="n">
        <v>235</v>
      </c>
      <c r="H459" t="n">
        <v>1.809544148260605</v>
      </c>
      <c r="J459" t="n">
        <v>68</v>
      </c>
      <c r="K459">
        <f>'_pockets'!$AI$696</f>
        <v/>
      </c>
      <c r="L459">
        <f>'_pockets'!$AJ$696</f>
        <v/>
      </c>
      <c r="M459">
        <f>IF(AND($A459='Pockets'!$D$17,$B459='Pockets'!$C$17,OR('Pockets'!$E$17="All",AND('Pockets'!$E$17="Worse and material",$K459="Yes",$L459="Yes"),AND('Pockets'!$E$17="Worse or not sure",OR($K459="Yes",$K459="Not sure")))),1,0)</f>
        <v/>
      </c>
      <c r="N459">
        <f>$N458+$M459</f>
        <v/>
      </c>
      <c r="O459" t="inlineStr">
        <is>
          <t>three-way</t>
        </is>
      </c>
      <c r="P459" t="inlineStr">
        <is>
          <t>gco_rate</t>
        </is>
      </c>
    </row>
    <row r="460">
      <c r="A460" t="inlineStr">
        <is>
          <t>Split by SYS_FLAG</t>
        </is>
      </c>
      <c r="B460" t="inlineStr">
        <is>
          <t>Charge-offs</t>
        </is>
      </c>
      <c r="C460" t="n">
        <v>666</v>
      </c>
      <c r="D460" t="inlineStr">
        <is>
          <t>FICO 746 - 921</t>
        </is>
      </c>
      <c r="E460" t="inlineStr">
        <is>
          <t>ASSET_CLASS 4</t>
        </is>
      </c>
      <c r="F460" t="inlineStr">
        <is>
          <t>Y</t>
        </is>
      </c>
      <c r="G460" t="n">
        <v>164</v>
      </c>
      <c r="H460" t="n">
        <v>1.985957465034529</v>
      </c>
      <c r="J460" t="n">
        <v>69</v>
      </c>
      <c r="K460">
        <f>'_pockets'!$AI$666</f>
        <v/>
      </c>
      <c r="L460">
        <f>'_pockets'!$AJ$666</f>
        <v/>
      </c>
      <c r="M460">
        <f>IF(AND($A460='Pockets'!$D$17,$B460='Pockets'!$C$17,OR('Pockets'!$E$17="All",AND('Pockets'!$E$17="Worse and material",$K460="Yes",$L460="Yes"),AND('Pockets'!$E$17="Worse or not sure",OR($K460="Yes",$K460="Not sure")))),1,0)</f>
        <v/>
      </c>
      <c r="N460">
        <f>$N459+$M460</f>
        <v/>
      </c>
      <c r="O460" t="inlineStr">
        <is>
          <t>three-way</t>
        </is>
      </c>
      <c r="P460" t="inlineStr">
        <is>
          <t>gco_rate</t>
        </is>
      </c>
    </row>
    <row r="461">
      <c r="A461" t="inlineStr">
        <is>
          <t>Split by SYS_FLAG</t>
        </is>
      </c>
      <c r="B461" t="inlineStr">
        <is>
          <t>Charge-offs</t>
        </is>
      </c>
      <c r="C461" t="n">
        <v>586</v>
      </c>
      <c r="D461" t="inlineStr">
        <is>
          <t>FICO (marked missing)</t>
        </is>
      </c>
      <c r="E461" t="inlineStr">
        <is>
          <t>Broker</t>
        </is>
      </c>
      <c r="F461" t="inlineStr">
        <is>
          <t>N</t>
        </is>
      </c>
      <c r="G461" t="n">
        <v>29</v>
      </c>
      <c r="H461" t="n">
        <v>3.66085941820241</v>
      </c>
      <c r="J461" t="n">
        <v>70</v>
      </c>
      <c r="K461">
        <f>'_pockets'!$AI$586</f>
        <v/>
      </c>
      <c r="L461">
        <f>'_pockets'!$AJ$586</f>
        <v/>
      </c>
      <c r="M461">
        <f>IF(AND($A461='Pockets'!$D$17,$B461='Pockets'!$C$17,OR('Pockets'!$E$17="All",AND('Pockets'!$E$17="Worse and material",$K461="Yes",$L461="Yes"),AND('Pockets'!$E$17="Worse or not sure",OR($K461="Yes",$K461="Not sure")))),1,0)</f>
        <v/>
      </c>
      <c r="N461">
        <f>$N460+$M461</f>
        <v/>
      </c>
      <c r="O461" t="inlineStr">
        <is>
          <t>three-way</t>
        </is>
      </c>
      <c r="P461" t="inlineStr">
        <is>
          <t>gco_rate</t>
        </is>
      </c>
    </row>
    <row r="462">
      <c r="A462" t="inlineStr">
        <is>
          <t>Split by SYS_FLAG</t>
        </is>
      </c>
      <c r="B462" t="inlineStr">
        <is>
          <t>Charge-offs</t>
        </is>
      </c>
      <c r="C462" t="n">
        <v>811</v>
      </c>
      <c r="D462" t="inlineStr">
        <is>
          <t>FICO (marked missing)</t>
        </is>
      </c>
      <c r="E462" t="inlineStr">
        <is>
          <t>ASSET_CLASS 4</t>
        </is>
      </c>
      <c r="F462" t="inlineStr">
        <is>
          <t>Y</t>
        </is>
      </c>
      <c r="G462" t="n">
        <v>17</v>
      </c>
      <c r="H462" t="n">
        <v>4.680170887807336</v>
      </c>
      <c r="J462" t="n">
        <v>71</v>
      </c>
      <c r="K462">
        <f>'_pockets'!$AI$811</f>
        <v/>
      </c>
      <c r="L462">
        <f>'_pockets'!$AJ$811</f>
        <v/>
      </c>
      <c r="M462">
        <f>IF(AND($A462='Pockets'!$D$17,$B462='Pockets'!$C$17,OR('Pockets'!$E$17="All",AND('Pockets'!$E$17="Worse and material",$K462="Yes",$L462="Yes"),AND('Pockets'!$E$17="Worse or not sure",OR($K462="Yes",$K462="Not sure")))),1,0)</f>
        <v/>
      </c>
      <c r="N462">
        <f>$N461+$M462</f>
        <v/>
      </c>
      <c r="O462" t="inlineStr">
        <is>
          <t>three-way</t>
        </is>
      </c>
      <c r="P462" t="inlineStr">
        <is>
          <t>gco_rate</t>
        </is>
      </c>
    </row>
    <row r="463">
      <c r="A463" t="inlineStr">
        <is>
          <t>Split by SYS_FLAG</t>
        </is>
      </c>
      <c r="B463" t="inlineStr">
        <is>
          <t>Charge-offs</t>
        </is>
      </c>
      <c r="C463" t="n">
        <v>826</v>
      </c>
      <c r="D463" t="inlineStr">
        <is>
          <t>FICO (marked missing)</t>
        </is>
      </c>
      <c r="E463" t="inlineStr">
        <is>
          <t>ASSET_CLASS 2</t>
        </is>
      </c>
      <c r="F463" t="inlineStr">
        <is>
          <t>N</t>
        </is>
      </c>
      <c r="G463" t="n">
        <v>18</v>
      </c>
      <c r="H463" t="n">
        <v>4.552903450111931</v>
      </c>
      <c r="J463" t="n">
        <v>72</v>
      </c>
      <c r="K463">
        <f>'_pockets'!$AI$826</f>
        <v/>
      </c>
      <c r="L463">
        <f>'_pockets'!$AJ$826</f>
        <v/>
      </c>
      <c r="M463">
        <f>IF(AND($A463='Pockets'!$D$17,$B463='Pockets'!$C$17,OR('Pockets'!$E$17="All",AND('Pockets'!$E$17="Worse and material",$K463="Yes",$L463="Yes"),AND('Pockets'!$E$17="Worse or not sure",OR($K463="Yes",$K463="Not sure")))),1,0)</f>
        <v/>
      </c>
      <c r="N463">
        <f>$N462+$M463</f>
        <v/>
      </c>
      <c r="O463" t="inlineStr">
        <is>
          <t>three-way</t>
        </is>
      </c>
      <c r="P463" t="inlineStr">
        <is>
          <t>gco_rate</t>
        </is>
      </c>
    </row>
    <row r="464">
      <c r="A464" t="inlineStr">
        <is>
          <t>Split by SYS_FLAG</t>
        </is>
      </c>
      <c r="B464" t="inlineStr">
        <is>
          <t>Charge-offs</t>
        </is>
      </c>
      <c r="C464" t="n">
        <v>546</v>
      </c>
      <c r="D464" t="inlineStr">
        <is>
          <t>FICO 496 - 653</t>
        </is>
      </c>
      <c r="E464" t="inlineStr">
        <is>
          <t>Online</t>
        </is>
      </c>
      <c r="F464" t="inlineStr">
        <is>
          <t>Y</t>
        </is>
      </c>
      <c r="G464" t="n">
        <v>226</v>
      </c>
      <c r="H464" t="n">
        <v>1.826956773989503</v>
      </c>
      <c r="J464" t="n">
        <v>73</v>
      </c>
      <c r="K464">
        <f>'_pockets'!$AI$546</f>
        <v/>
      </c>
      <c r="L464">
        <f>'_pockets'!$AJ$546</f>
        <v/>
      </c>
      <c r="M464">
        <f>IF(AND($A464='Pockets'!$D$17,$B464='Pockets'!$C$17,OR('Pockets'!$E$17="All",AND('Pockets'!$E$17="Worse and material",$K464="Yes",$L464="Yes"),AND('Pockets'!$E$17="Worse or not sure",OR($K464="Yes",$K464="Not sure")))),1,0)</f>
        <v/>
      </c>
      <c r="N464">
        <f>$N463+$M464</f>
        <v/>
      </c>
      <c r="O464" t="inlineStr">
        <is>
          <t>three-way</t>
        </is>
      </c>
      <c r="P464" t="inlineStr">
        <is>
          <t>gco_rate</t>
        </is>
      </c>
    </row>
    <row r="465">
      <c r="A465" t="inlineStr">
        <is>
          <t>Split by SYS_FLAG</t>
        </is>
      </c>
      <c r="B465" t="inlineStr">
        <is>
          <t>Charge-offs</t>
        </is>
      </c>
      <c r="C465" t="n">
        <v>496</v>
      </c>
      <c r="D465" t="inlineStr">
        <is>
          <t>FICO 496 - 653</t>
        </is>
      </c>
      <c r="E465" t="inlineStr">
        <is>
          <t>Branch</t>
        </is>
      </c>
      <c r="F465" t="inlineStr">
        <is>
          <t>Y</t>
        </is>
      </c>
      <c r="G465" t="n">
        <v>231</v>
      </c>
      <c r="H465" t="n">
        <v>1.817150809607721</v>
      </c>
      <c r="J465" t="n">
        <v>74</v>
      </c>
      <c r="K465">
        <f>'_pockets'!$AI$496</f>
        <v/>
      </c>
      <c r="L465">
        <f>'_pockets'!$AJ$496</f>
        <v/>
      </c>
      <c r="M465">
        <f>IF(AND($A465='Pockets'!$D$17,$B465='Pockets'!$C$17,OR('Pockets'!$E$17="All",AND('Pockets'!$E$17="Worse and material",$K465="Yes",$L465="Yes"),AND('Pockets'!$E$17="Worse or not sure",OR($K465="Yes",$K465="Not sure")))),1,0)</f>
        <v/>
      </c>
      <c r="N465">
        <f>$N464+$M465</f>
        <v/>
      </c>
      <c r="O465" t="inlineStr">
        <is>
          <t>three-way</t>
        </is>
      </c>
      <c r="P465" t="inlineStr">
        <is>
          <t>gco_rate</t>
        </is>
      </c>
    </row>
    <row r="466">
      <c r="A466" t="inlineStr">
        <is>
          <t>Split by SYS_FLAG</t>
        </is>
      </c>
      <c r="B466" t="inlineStr">
        <is>
          <t>Charge-offs</t>
        </is>
      </c>
      <c r="C466" t="n">
        <v>796</v>
      </c>
      <c r="D466" t="inlineStr">
        <is>
          <t>FICO 496 - 653</t>
        </is>
      </c>
      <c r="E466" t="inlineStr">
        <is>
          <t>ASSET_CLASS 2</t>
        </is>
      </c>
      <c r="F466" t="inlineStr">
        <is>
          <t>Y</t>
        </is>
      </c>
      <c r="G466" t="n">
        <v>181</v>
      </c>
      <c r="H466" t="n">
        <v>1.933840679782042</v>
      </c>
      <c r="J466" t="n">
        <v>75</v>
      </c>
      <c r="K466">
        <f>'_pockets'!$AI$796</f>
        <v/>
      </c>
      <c r="L466">
        <f>'_pockets'!$AJ$796</f>
        <v/>
      </c>
      <c r="M466">
        <f>IF(AND($A466='Pockets'!$D$17,$B466='Pockets'!$C$17,OR('Pockets'!$E$17="All",AND('Pockets'!$E$17="Worse and material",$K466="Yes",$L466="Yes"),AND('Pockets'!$E$17="Worse or not sure",OR($K466="Yes",$K466="Not sure")))),1,0)</f>
        <v/>
      </c>
      <c r="N466">
        <f>$N465+$M466</f>
        <v/>
      </c>
      <c r="O466" t="inlineStr">
        <is>
          <t>three-way</t>
        </is>
      </c>
      <c r="P466" t="inlineStr">
        <is>
          <t>gco_rate</t>
        </is>
      </c>
    </row>
    <row r="467">
      <c r="A467" t="inlineStr">
        <is>
          <t>Split by SYS_FLAG</t>
        </is>
      </c>
      <c r="B467" t="inlineStr">
        <is>
          <t>Charge-offs</t>
        </is>
      </c>
      <c r="C467" t="n">
        <v>676</v>
      </c>
      <c r="D467" t="inlineStr">
        <is>
          <t>FICO 496 - 653</t>
        </is>
      </c>
      <c r="E467" t="inlineStr">
        <is>
          <t>ASSET_CLASS 3</t>
        </is>
      </c>
      <c r="F467" t="inlineStr">
        <is>
          <t>N</t>
        </is>
      </c>
      <c r="G467" t="n">
        <v>184</v>
      </c>
      <c r="H467" t="n">
        <v>1.925443952632495</v>
      </c>
      <c r="J467" t="n">
        <v>76</v>
      </c>
      <c r="K467">
        <f>'_pockets'!$AI$676</f>
        <v/>
      </c>
      <c r="L467">
        <f>'_pockets'!$AJ$676</f>
        <v/>
      </c>
      <c r="M467">
        <f>IF(AND($A467='Pockets'!$D$17,$B467='Pockets'!$C$17,OR('Pockets'!$E$17="All",AND('Pockets'!$E$17="Worse and material",$K467="Yes",$L467="Yes"),AND('Pockets'!$E$17="Worse or not sure",OR($K467="Yes",$K467="Not sure")))),1,0)</f>
        <v/>
      </c>
      <c r="N467">
        <f>$N466+$M467</f>
        <v/>
      </c>
      <c r="O467" t="inlineStr">
        <is>
          <t>three-way</t>
        </is>
      </c>
      <c r="P467" t="inlineStr">
        <is>
          <t>gco_rate</t>
        </is>
      </c>
    </row>
    <row r="468">
      <c r="A468" t="inlineStr">
        <is>
          <t>Split by SYS_FLAG</t>
        </is>
      </c>
      <c r="B468" t="inlineStr">
        <is>
          <t>Charge-offs</t>
        </is>
      </c>
      <c r="C468" t="n">
        <v>616</v>
      </c>
      <c r="D468" t="inlineStr">
        <is>
          <t>FICO 496 - 653</t>
        </is>
      </c>
      <c r="E468" t="inlineStr">
        <is>
          <t>ASSET_CLASS 2</t>
        </is>
      </c>
      <c r="F468" t="inlineStr">
        <is>
          <t>N</t>
        </is>
      </c>
      <c r="G468" t="n">
        <v>213</v>
      </c>
      <c r="H468" t="n">
        <v>1.854137295979501</v>
      </c>
      <c r="J468" t="n">
        <v>77</v>
      </c>
      <c r="K468">
        <f>'_pockets'!$AI$616</f>
        <v/>
      </c>
      <c r="L468">
        <f>'_pockets'!$AJ$616</f>
        <v/>
      </c>
      <c r="M468">
        <f>IF(AND($A468='Pockets'!$D$17,$B468='Pockets'!$C$17,OR('Pockets'!$E$17="All",AND('Pockets'!$E$17="Worse and material",$K468="Yes",$L468="Yes"),AND('Pockets'!$E$17="Worse or not sure",OR($K468="Yes",$K468="Not sure")))),1,0)</f>
        <v/>
      </c>
      <c r="N468">
        <f>$N467+$M468</f>
        <v/>
      </c>
      <c r="O468" t="inlineStr">
        <is>
          <t>three-way</t>
        </is>
      </c>
      <c r="P468" t="inlineStr">
        <is>
          <t>gco_rate</t>
        </is>
      </c>
    </row>
    <row r="469">
      <c r="A469" t="inlineStr">
        <is>
          <t>Split by SYS_FLAG</t>
        </is>
      </c>
      <c r="B469" t="inlineStr">
        <is>
          <t>Charge-offs</t>
        </is>
      </c>
      <c r="C469" t="n">
        <v>871</v>
      </c>
      <c r="D469" t="inlineStr">
        <is>
          <t>ORIG_BAL 37,951 - 49,151</t>
        </is>
      </c>
      <c r="E469" t="inlineStr">
        <is>
          <t>Branch</t>
        </is>
      </c>
      <c r="F469" t="inlineStr">
        <is>
          <t>Y</t>
        </is>
      </c>
      <c r="G469" t="n">
        <v>257</v>
      </c>
      <c r="H469" t="n">
        <v>1.771091672184101</v>
      </c>
      <c r="J469" t="n">
        <v>78</v>
      </c>
      <c r="K469">
        <f>'_pockets'!$AI$871</f>
        <v/>
      </c>
      <c r="L469">
        <f>'_pockets'!$AJ$871</f>
        <v/>
      </c>
      <c r="M469">
        <f>IF(AND($A469='Pockets'!$D$17,$B469='Pockets'!$C$17,OR('Pockets'!$E$17="All",AND('Pockets'!$E$17="Worse and material",$K469="Yes",$L469="Yes"),AND('Pockets'!$E$17="Worse or not sure",OR($K469="Yes",$K469="Not sure")))),1,0)</f>
        <v/>
      </c>
      <c r="N469">
        <f>$N468+$M469</f>
        <v/>
      </c>
      <c r="O469" t="inlineStr">
        <is>
          <t>three-way</t>
        </is>
      </c>
      <c r="P469" t="inlineStr">
        <is>
          <t>gco_rate</t>
        </is>
      </c>
    </row>
    <row r="470">
      <c r="A470" t="inlineStr">
        <is>
          <t>Split by SYS_FLAG</t>
        </is>
      </c>
      <c r="B470" t="inlineStr">
        <is>
          <t>Charge-offs</t>
        </is>
      </c>
      <c r="C470" t="n">
        <v>881</v>
      </c>
      <c r="D470" t="inlineStr">
        <is>
          <t>ORIG_BAL 15,449 - 26,323</t>
        </is>
      </c>
      <c r="E470" t="inlineStr">
        <is>
          <t>Online</t>
        </is>
      </c>
      <c r="F470" t="inlineStr">
        <is>
          <t>N</t>
        </is>
      </c>
      <c r="G470" t="n">
        <v>300</v>
      </c>
      <c r="H470" t="n">
        <v>1.70911216576356</v>
      </c>
      <c r="J470" t="n">
        <v>79</v>
      </c>
      <c r="K470">
        <f>'_pockets'!$AI$881</f>
        <v/>
      </c>
      <c r="L470">
        <f>'_pockets'!$AJ$881</f>
        <v/>
      </c>
      <c r="M470">
        <f>IF(AND($A470='Pockets'!$D$17,$B470='Pockets'!$C$17,OR('Pockets'!$E$17="All",AND('Pockets'!$E$17="Worse and material",$K470="Yes",$L470="Yes"),AND('Pockets'!$E$17="Worse or not sure",OR($K470="Yes",$K470="Not sure")))),1,0)</f>
        <v/>
      </c>
      <c r="N470">
        <f>$N469+$M470</f>
        <v/>
      </c>
      <c r="O470" t="inlineStr">
        <is>
          <t>three-way</t>
        </is>
      </c>
      <c r="P470" t="inlineStr">
        <is>
          <t>gco_rate</t>
        </is>
      </c>
    </row>
    <row r="471">
      <c r="A471" t="inlineStr">
        <is>
          <t>Split by SYS_FLAG</t>
        </is>
      </c>
      <c r="B471" t="inlineStr">
        <is>
          <t>Charge-offs</t>
        </is>
      </c>
      <c r="C471" t="n">
        <v>1131</v>
      </c>
      <c r="D471" t="inlineStr">
        <is>
          <t>ORIG_BAL 15,449 - 26,323</t>
        </is>
      </c>
      <c r="E471" t="inlineStr">
        <is>
          <t>ASSET_CLASS 3</t>
        </is>
      </c>
      <c r="F471" t="inlineStr">
        <is>
          <t>N</t>
        </is>
      </c>
      <c r="G471" t="n">
        <v>234</v>
      </c>
      <c r="H471" t="n">
        <v>1.811426559184606</v>
      </c>
      <c r="J471" t="n">
        <v>80</v>
      </c>
      <c r="K471">
        <f>'_pockets'!$AI$1131</f>
        <v/>
      </c>
      <c r="L471">
        <f>'_pockets'!$AJ$1131</f>
        <v/>
      </c>
      <c r="M471">
        <f>IF(AND($A471='Pockets'!$D$17,$B471='Pockets'!$C$17,OR('Pockets'!$E$17="All",AND('Pockets'!$E$17="Worse and material",$K471="Yes",$L471="Yes"),AND('Pockets'!$E$17="Worse or not sure",OR($K471="Yes",$K471="Not sure")))),1,0)</f>
        <v/>
      </c>
      <c r="N471">
        <f>$N470+$M471</f>
        <v/>
      </c>
      <c r="O471" t="inlineStr">
        <is>
          <t>three-way</t>
        </is>
      </c>
      <c r="P471" t="inlineStr">
        <is>
          <t>gco_rate</t>
        </is>
      </c>
    </row>
    <row r="472">
      <c r="A472" t="inlineStr">
        <is>
          <t>Split by SYS_FLAG</t>
        </is>
      </c>
      <c r="B472" t="inlineStr">
        <is>
          <t>Charge-offs</t>
        </is>
      </c>
      <c r="C472" t="n">
        <v>936</v>
      </c>
      <c r="D472" t="inlineStr">
        <is>
          <t>ORIG_BAL 15,449 - 26,323</t>
        </is>
      </c>
      <c r="E472" t="inlineStr">
        <is>
          <t>Online</t>
        </is>
      </c>
      <c r="F472" t="inlineStr">
        <is>
          <t>Y</t>
        </is>
      </c>
      <c r="G472" t="n">
        <v>238</v>
      </c>
      <c r="H472" t="n">
        <v>1.8039719686411</v>
      </c>
      <c r="J472" t="n">
        <v>81</v>
      </c>
      <c r="K472">
        <f>'_pockets'!$AI$936</f>
        <v/>
      </c>
      <c r="L472">
        <f>'_pockets'!$AJ$936</f>
        <v/>
      </c>
      <c r="M472">
        <f>IF(AND($A472='Pockets'!$D$17,$B472='Pockets'!$C$17,OR('Pockets'!$E$17="All",AND('Pockets'!$E$17="Worse and material",$K472="Yes",$L472="Yes"),AND('Pockets'!$E$17="Worse or not sure",OR($K472="Yes",$K472="Not sure")))),1,0)</f>
        <v/>
      </c>
      <c r="N472">
        <f>$N471+$M472</f>
        <v/>
      </c>
      <c r="O472" t="inlineStr">
        <is>
          <t>three-way</t>
        </is>
      </c>
      <c r="P472" t="inlineStr">
        <is>
          <t>gco_rate</t>
        </is>
      </c>
    </row>
    <row r="473">
      <c r="A473" t="inlineStr">
        <is>
          <t>Split by SYS_FLAG</t>
        </is>
      </c>
      <c r="B473" t="inlineStr">
        <is>
          <t>Charge-offs</t>
        </is>
      </c>
      <c r="C473" t="n">
        <v>1026</v>
      </c>
      <c r="D473" t="inlineStr">
        <is>
          <t>ORIG_BAL 37,951 - 49,151</t>
        </is>
      </c>
      <c r="E473" t="inlineStr">
        <is>
          <t>ASSET_CLASS 2</t>
        </is>
      </c>
      <c r="F473" t="inlineStr">
        <is>
          <t>Y</t>
        </is>
      </c>
      <c r="G473" t="n">
        <v>199</v>
      </c>
      <c r="H473" t="n">
        <v>1.886505330327829</v>
      </c>
      <c r="J473" t="n">
        <v>82</v>
      </c>
      <c r="K473">
        <f>'_pockets'!$AI$1026</f>
        <v/>
      </c>
      <c r="L473">
        <f>'_pockets'!$AJ$1026</f>
        <v/>
      </c>
      <c r="M473">
        <f>IF(AND($A473='Pockets'!$D$17,$B473='Pockets'!$C$17,OR('Pockets'!$E$17="All",AND('Pockets'!$E$17="Worse and material",$K473="Yes",$L473="Yes"),AND('Pockets'!$E$17="Worse or not sure",OR($K473="Yes",$K473="Not sure")))),1,0)</f>
        <v/>
      </c>
      <c r="N473">
        <f>$N472+$M473</f>
        <v/>
      </c>
      <c r="O473" t="inlineStr">
        <is>
          <t>three-way</t>
        </is>
      </c>
      <c r="P473" t="inlineStr">
        <is>
          <t>gco_rate</t>
        </is>
      </c>
    </row>
    <row r="474">
      <c r="A474" t="inlineStr">
        <is>
          <t>Split by SYS_FLAG</t>
        </is>
      </c>
      <c r="B474" t="inlineStr">
        <is>
          <t>Charge-offs</t>
        </is>
      </c>
      <c r="C474" t="n">
        <v>1031</v>
      </c>
      <c r="D474" t="inlineStr">
        <is>
          <t>ORIG_BAL 15,449 - 26,323</t>
        </is>
      </c>
      <c r="E474" t="inlineStr">
        <is>
          <t>ASSET_CLASS 1</t>
        </is>
      </c>
      <c r="F474" t="inlineStr">
        <is>
          <t>N</t>
        </is>
      </c>
      <c r="G474" t="n">
        <v>224</v>
      </c>
      <c r="H474" t="n">
        <v>1.830975683427167</v>
      </c>
      <c r="J474" t="n">
        <v>83</v>
      </c>
      <c r="K474">
        <f>'_pockets'!$AI$1031</f>
        <v/>
      </c>
      <c r="L474">
        <f>'_pockets'!$AJ$1031</f>
        <v/>
      </c>
      <c r="M474">
        <f>IF(AND($A474='Pockets'!$D$17,$B474='Pockets'!$C$17,OR('Pockets'!$E$17="All",AND('Pockets'!$E$17="Worse and material",$K474="Yes",$L474="Yes"),AND('Pockets'!$E$17="Worse or not sure",OR($K474="Yes",$K474="Not sure")))),1,0)</f>
        <v/>
      </c>
      <c r="N474">
        <f>$N473+$M474</f>
        <v/>
      </c>
      <c r="O474" t="inlineStr">
        <is>
          <t>three-way</t>
        </is>
      </c>
      <c r="P474" t="inlineStr">
        <is>
          <t>gco_rate</t>
        </is>
      </c>
    </row>
    <row r="475">
      <c r="A475" t="inlineStr">
        <is>
          <t>Split by SYS_FLAG</t>
        </is>
      </c>
      <c r="B475" t="inlineStr">
        <is>
          <t>Charge-offs</t>
        </is>
      </c>
      <c r="C475" t="n">
        <v>701</v>
      </c>
      <c r="D475" t="inlineStr">
        <is>
          <t>FICO 654 - 685</t>
        </is>
      </c>
      <c r="E475" t="inlineStr">
        <is>
          <t>ASSET_CLASS 4</t>
        </is>
      </c>
      <c r="F475" t="inlineStr">
        <is>
          <t>N</t>
        </is>
      </c>
      <c r="G475" t="n">
        <v>219</v>
      </c>
      <c r="H475" t="n">
        <v>1.841275675045903</v>
      </c>
      <c r="J475" t="n">
        <v>84</v>
      </c>
      <c r="K475">
        <f>'_pockets'!$AI$701</f>
        <v/>
      </c>
      <c r="L475">
        <f>'_pockets'!$AJ$701</f>
        <v/>
      </c>
      <c r="M475">
        <f>IF(AND($A475='Pockets'!$D$17,$B475='Pockets'!$C$17,OR('Pockets'!$E$17="All",AND('Pockets'!$E$17="Worse and material",$K475="Yes",$L475="Yes"),AND('Pockets'!$E$17="Worse or not sure",OR($K475="Yes",$K475="Not sure")))),1,0)</f>
        <v/>
      </c>
      <c r="N475">
        <f>$N474+$M475</f>
        <v/>
      </c>
      <c r="O475" t="inlineStr">
        <is>
          <t>three-way</t>
        </is>
      </c>
      <c r="P475" t="inlineStr">
        <is>
          <t>gco_rate</t>
        </is>
      </c>
    </row>
    <row r="476">
      <c r="A476" t="inlineStr">
        <is>
          <t>Split by SYS_FLAG</t>
        </is>
      </c>
      <c r="B476" t="inlineStr">
        <is>
          <t>Charge-offs</t>
        </is>
      </c>
      <c r="C476" t="n">
        <v>431</v>
      </c>
      <c r="D476" t="inlineStr">
        <is>
          <t>FICO 496 - 653</t>
        </is>
      </c>
      <c r="E476" t="inlineStr">
        <is>
          <t>Branch</t>
        </is>
      </c>
      <c r="F476" t="inlineStr">
        <is>
          <t>N</t>
        </is>
      </c>
      <c r="G476" t="n">
        <v>271</v>
      </c>
      <c r="H476" t="n">
        <v>1.749218625901148</v>
      </c>
      <c r="J476" t="n">
        <v>85</v>
      </c>
      <c r="K476">
        <f>'_pockets'!$AI$431</f>
        <v/>
      </c>
      <c r="L476">
        <f>'_pockets'!$AJ$431</f>
        <v/>
      </c>
      <c r="M476">
        <f>IF(AND($A476='Pockets'!$D$17,$B476='Pockets'!$C$17,OR('Pockets'!$E$17="All",AND('Pockets'!$E$17="Worse and material",$K476="Yes",$L476="Yes"),AND('Pockets'!$E$17="Worse or not sure",OR($K476="Yes",$K476="Not sure")))),1,0)</f>
        <v/>
      </c>
      <c r="N476">
        <f>$N475+$M476</f>
        <v/>
      </c>
      <c r="O476" t="inlineStr">
        <is>
          <t>three-way</t>
        </is>
      </c>
      <c r="P476" t="inlineStr">
        <is>
          <t>gco_rate</t>
        </is>
      </c>
    </row>
    <row r="477">
      <c r="A477" t="inlineStr">
        <is>
          <t>Split by SYS_FLAG</t>
        </is>
      </c>
      <c r="B477" t="inlineStr">
        <is>
          <t>Charge-offs</t>
        </is>
      </c>
      <c r="C477" t="n">
        <v>631</v>
      </c>
      <c r="D477" t="inlineStr">
        <is>
          <t>FICO 496 - 653</t>
        </is>
      </c>
      <c r="E477" t="inlineStr">
        <is>
          <t>ASSET_CLASS 1</t>
        </is>
      </c>
      <c r="F477" t="inlineStr">
        <is>
          <t>N</t>
        </is>
      </c>
      <c r="G477" t="n">
        <v>234</v>
      </c>
      <c r="H477" t="n">
        <v>1.811426559184606</v>
      </c>
      <c r="J477" t="n">
        <v>86</v>
      </c>
      <c r="K477">
        <f>'_pockets'!$AI$631</f>
        <v/>
      </c>
      <c r="L477">
        <f>'_pockets'!$AJ$631</f>
        <v/>
      </c>
      <c r="M477">
        <f>IF(AND($A477='Pockets'!$D$17,$B477='Pockets'!$C$17,OR('Pockets'!$E$17="All",AND('Pockets'!$E$17="Worse and material",$K477="Yes",$L477="Yes"),AND('Pockets'!$E$17="Worse or not sure",OR($K477="Yes",$K477="Not sure")))),1,0)</f>
        <v/>
      </c>
      <c r="N477">
        <f>$N476+$M477</f>
        <v/>
      </c>
      <c r="O477" t="inlineStr">
        <is>
          <t>three-way</t>
        </is>
      </c>
      <c r="P477" t="inlineStr">
        <is>
          <t>gco_rate</t>
        </is>
      </c>
    </row>
    <row r="478">
      <c r="A478" t="inlineStr">
        <is>
          <t>Split by SYS_FLAG</t>
        </is>
      </c>
      <c r="B478" t="inlineStr">
        <is>
          <t>Kept after losses</t>
        </is>
      </c>
      <c r="C478" t="n">
        <v>542</v>
      </c>
      <c r="D478" t="inlineStr">
        <is>
          <t>FICO 496 - 653</t>
        </is>
      </c>
      <c r="E478" t="inlineStr">
        <is>
          <t>Broker</t>
        </is>
      </c>
      <c r="F478" t="inlineStr">
        <is>
          <t>Y</t>
        </is>
      </c>
      <c r="G478" t="n">
        <v>265</v>
      </c>
      <c r="H478" t="n">
        <v>-3.558329630749638</v>
      </c>
      <c r="J478" t="n">
        <v>1</v>
      </c>
      <c r="K478">
        <f>'_pockets'!$AI$542</f>
        <v/>
      </c>
      <c r="L478">
        <f>'_pockets'!$AJ$542</f>
        <v/>
      </c>
      <c r="M478">
        <f>IF(AND($A478='Pockets'!$D$17,$B478='Pockets'!$C$17,OR('Pockets'!$E$17="All",AND('Pockets'!$E$17="Worse and material",$K478="Yes",$L478="Yes"),AND('Pockets'!$E$17="Worse or not sure",OR($K478="Yes",$K478="Not sure")))),1,0)</f>
        <v/>
      </c>
      <c r="N478">
        <f>$N477+$M478</f>
        <v/>
      </c>
      <c r="O478" t="inlineStr">
        <is>
          <t>three-way</t>
        </is>
      </c>
      <c r="P478" t="inlineStr">
        <is>
          <t>ranr_rate</t>
        </is>
      </c>
    </row>
    <row r="479">
      <c r="A479" t="inlineStr">
        <is>
          <t>Split by SYS_FLAG</t>
        </is>
      </c>
      <c r="B479" t="inlineStr">
        <is>
          <t>Kept after losses</t>
        </is>
      </c>
      <c r="C479" t="n">
        <v>1152</v>
      </c>
      <c r="D479" t="inlineStr">
        <is>
          <t>ORIG_BAL 37,951 - 49,151</t>
        </is>
      </c>
      <c r="E479" t="inlineStr">
        <is>
          <t>ASSET_CLASS 4</t>
        </is>
      </c>
      <c r="F479" t="inlineStr">
        <is>
          <t>Y</t>
        </is>
      </c>
      <c r="G479" t="n">
        <v>189</v>
      </c>
      <c r="H479" t="n">
        <v>-4.192902647421834</v>
      </c>
      <c r="J479" t="n">
        <v>2</v>
      </c>
      <c r="K479">
        <f>'_pockets'!$AI$1152</f>
        <v/>
      </c>
      <c r="L479">
        <f>'_pockets'!$AJ$1152</f>
        <v/>
      </c>
      <c r="M479">
        <f>IF(AND($A479='Pockets'!$D$17,$B479='Pockets'!$C$17,OR('Pockets'!$E$17="All",AND('Pockets'!$E$17="Worse and material",$K479="Yes",$L479="Yes"),AND('Pockets'!$E$17="Worse or not sure",OR($K479="Yes",$K479="Not sure")))),1,0)</f>
        <v/>
      </c>
      <c r="N479">
        <f>$N478+$M479</f>
        <v/>
      </c>
      <c r="O479" t="inlineStr">
        <is>
          <t>three-way</t>
        </is>
      </c>
      <c r="P479" t="inlineStr">
        <is>
          <t>ranr_rate</t>
        </is>
      </c>
    </row>
    <row r="480">
      <c r="A480" t="inlineStr">
        <is>
          <t>Split by SYS_FLAG</t>
        </is>
      </c>
      <c r="B480" t="inlineStr">
        <is>
          <t>Kept after losses</t>
        </is>
      </c>
      <c r="C480" t="n">
        <v>957</v>
      </c>
      <c r="D480" t="inlineStr">
        <is>
          <t>ORIG_BAL 49,152 - 59,984</t>
        </is>
      </c>
      <c r="E480" t="inlineStr">
        <is>
          <t>Broker</t>
        </is>
      </c>
      <c r="F480" t="inlineStr">
        <is>
          <t>Y</t>
        </is>
      </c>
      <c r="G480" t="n">
        <v>242</v>
      </c>
      <c r="H480" t="n">
        <v>-3.718061928865932</v>
      </c>
      <c r="J480" t="n">
        <v>3</v>
      </c>
      <c r="K480">
        <f>'_pockets'!$AI$957</f>
        <v/>
      </c>
      <c r="L480">
        <f>'_pockets'!$AJ$957</f>
        <v/>
      </c>
      <c r="M480">
        <f>IF(AND($A480='Pockets'!$D$17,$B480='Pockets'!$C$17,OR('Pockets'!$E$17="All",AND('Pockets'!$E$17="Worse and material",$K480="Yes",$L480="Yes"),AND('Pockets'!$E$17="Worse or not sure",OR($K480="Yes",$K480="Not sure")))),1,0)</f>
        <v/>
      </c>
      <c r="N480">
        <f>$N479+$M480</f>
        <v/>
      </c>
      <c r="O480" t="inlineStr">
        <is>
          <t>three-way</t>
        </is>
      </c>
      <c r="P480" t="inlineStr">
        <is>
          <t>ranr_rate</t>
        </is>
      </c>
    </row>
    <row r="481">
      <c r="A481" t="inlineStr">
        <is>
          <t>Split by SYS_FLAG</t>
        </is>
      </c>
      <c r="B481" t="inlineStr">
        <is>
          <t>Kept after losses</t>
        </is>
      </c>
      <c r="C481" t="n">
        <v>787</v>
      </c>
      <c r="D481" t="inlineStr">
        <is>
          <t>FICO 496 - 653</t>
        </is>
      </c>
      <c r="E481" t="inlineStr">
        <is>
          <t>ASSET_CLASS 4</t>
        </is>
      </c>
      <c r="F481" t="inlineStr">
        <is>
          <t>Y</t>
        </is>
      </c>
      <c r="G481" t="n">
        <v>189</v>
      </c>
      <c r="H481" t="n">
        <v>-4.192902647421834</v>
      </c>
      <c r="J481" t="n">
        <v>4</v>
      </c>
      <c r="K481">
        <f>'_pockets'!$AI$787</f>
        <v/>
      </c>
      <c r="L481">
        <f>'_pockets'!$AJ$787</f>
        <v/>
      </c>
      <c r="M481">
        <f>IF(AND($A481='Pockets'!$D$17,$B481='Pockets'!$C$17,OR('Pockets'!$E$17="All",AND('Pockets'!$E$17="Worse and material",$K481="Yes",$L481="Yes"),AND('Pockets'!$E$17="Worse or not sure",OR($K481="Yes",$K481="Not sure")))),1,0)</f>
        <v/>
      </c>
      <c r="N481">
        <f>$N480+$M481</f>
        <v/>
      </c>
      <c r="O481" t="inlineStr">
        <is>
          <t>three-way</t>
        </is>
      </c>
      <c r="P481" t="inlineStr">
        <is>
          <t>ranr_rate</t>
        </is>
      </c>
    </row>
    <row r="482">
      <c r="A482" t="inlineStr">
        <is>
          <t>Split by SYS_FLAG</t>
        </is>
      </c>
      <c r="B482" t="inlineStr">
        <is>
          <t>Kept after losses</t>
        </is>
      </c>
      <c r="C482" t="n">
        <v>972</v>
      </c>
      <c r="D482" t="inlineStr">
        <is>
          <t>ORIG_BAL 37,951 - 49,151</t>
        </is>
      </c>
      <c r="E482" t="inlineStr">
        <is>
          <t>Broker</t>
        </is>
      </c>
      <c r="F482" t="inlineStr">
        <is>
          <t>Y</t>
        </is>
      </c>
      <c r="G482" t="n">
        <v>249</v>
      </c>
      <c r="H482" t="n">
        <v>-3.667082436878989</v>
      </c>
      <c r="J482" t="n">
        <v>5</v>
      </c>
      <c r="K482">
        <f>'_pockets'!$AI$972</f>
        <v/>
      </c>
      <c r="L482">
        <f>'_pockets'!$AJ$972</f>
        <v/>
      </c>
      <c r="M482">
        <f>IF(AND($A482='Pockets'!$D$17,$B482='Pockets'!$C$17,OR('Pockets'!$E$17="All",AND('Pockets'!$E$17="Worse and material",$K482="Yes",$L482="Yes"),AND('Pockets'!$E$17="Worse or not sure",OR($K482="Yes",$K482="Not sure")))),1,0)</f>
        <v/>
      </c>
      <c r="N482">
        <f>$N481+$M482</f>
        <v/>
      </c>
      <c r="O482" t="inlineStr">
        <is>
          <t>three-way</t>
        </is>
      </c>
      <c r="P482" t="inlineStr">
        <is>
          <t>ranr_rate</t>
        </is>
      </c>
    </row>
    <row r="483">
      <c r="A483" t="inlineStr">
        <is>
          <t>Split by SYS_FLAG</t>
        </is>
      </c>
      <c r="B483" t="inlineStr">
        <is>
          <t>Kept after losses</t>
        </is>
      </c>
      <c r="C483" t="n">
        <v>807</v>
      </c>
      <c r="D483" t="inlineStr">
        <is>
          <t>FICO 654 - 685</t>
        </is>
      </c>
      <c r="E483" t="inlineStr">
        <is>
          <t>ASSET_CLASS 4</t>
        </is>
      </c>
      <c r="F483" t="inlineStr">
        <is>
          <t>Y</t>
        </is>
      </c>
      <c r="G483" t="n">
        <v>191</v>
      </c>
      <c r="H483" t="n">
        <v>-4.171426655472364</v>
      </c>
      <c r="J483" t="n">
        <v>6</v>
      </c>
      <c r="K483">
        <f>'_pockets'!$AI$807</f>
        <v/>
      </c>
      <c r="L483">
        <f>'_pockets'!$AJ$807</f>
        <v/>
      </c>
      <c r="M483">
        <f>IF(AND($A483='Pockets'!$D$17,$B483='Pockets'!$C$17,OR('Pockets'!$E$17="All",AND('Pockets'!$E$17="Worse and material",$K483="Yes",$L483="Yes"),AND('Pockets'!$E$17="Worse or not sure",OR($K483="Yes",$K483="Not sure")))),1,0)</f>
        <v/>
      </c>
      <c r="N483">
        <f>$N482+$M483</f>
        <v/>
      </c>
      <c r="O483" t="inlineStr">
        <is>
          <t>three-way</t>
        </is>
      </c>
      <c r="P483" t="inlineStr">
        <is>
          <t>ranr_rate</t>
        </is>
      </c>
    </row>
    <row r="484">
      <c r="A484" t="inlineStr">
        <is>
          <t>Split by SYS_FLAG</t>
        </is>
      </c>
      <c r="B484" t="inlineStr">
        <is>
          <t>Kept after losses</t>
        </is>
      </c>
      <c r="C484" t="n">
        <v>487</v>
      </c>
      <c r="D484" t="inlineStr">
        <is>
          <t>FICO 654 - 685</t>
        </is>
      </c>
      <c r="E484" t="inlineStr">
        <is>
          <t>Branch</t>
        </is>
      </c>
      <c r="F484" t="inlineStr">
        <is>
          <t>Y</t>
        </is>
      </c>
      <c r="G484" t="n">
        <v>254</v>
      </c>
      <c r="H484" t="n">
        <v>-3.631981507029823</v>
      </c>
      <c r="J484" t="n">
        <v>7</v>
      </c>
      <c r="K484">
        <f>'_pockets'!$AI$487</f>
        <v/>
      </c>
      <c r="L484">
        <f>'_pockets'!$AJ$487</f>
        <v/>
      </c>
      <c r="M484">
        <f>IF(AND($A484='Pockets'!$D$17,$B484='Pockets'!$C$17,OR('Pockets'!$E$17="All",AND('Pockets'!$E$17="Worse and material",$K484="Yes",$L484="Yes"),AND('Pockets'!$E$17="Worse or not sure",OR($K484="Yes",$K484="Not sure")))),1,0)</f>
        <v/>
      </c>
      <c r="N484">
        <f>$N483+$M484</f>
        <v/>
      </c>
      <c r="O484" t="inlineStr">
        <is>
          <t>three-way</t>
        </is>
      </c>
      <c r="P484" t="inlineStr">
        <is>
          <t>ranr_rate</t>
        </is>
      </c>
    </row>
    <row r="485">
      <c r="A485" t="inlineStr">
        <is>
          <t>Split by SYS_FLAG</t>
        </is>
      </c>
      <c r="B485" t="inlineStr">
        <is>
          <t>Kept after losses</t>
        </is>
      </c>
      <c r="C485" t="n">
        <v>447</v>
      </c>
      <c r="D485" t="inlineStr">
        <is>
          <t>FICO 686 - 711</t>
        </is>
      </c>
      <c r="E485" t="inlineStr">
        <is>
          <t>Broker</t>
        </is>
      </c>
      <c r="F485" t="inlineStr">
        <is>
          <t>Y</t>
        </is>
      </c>
      <c r="G485" t="n">
        <v>230</v>
      </c>
      <c r="H485" t="n">
        <v>-3.81087513522319</v>
      </c>
      <c r="J485" t="n">
        <v>8</v>
      </c>
      <c r="K485">
        <f>'_pockets'!$AI$447</f>
        <v/>
      </c>
      <c r="L485">
        <f>'_pockets'!$AJ$447</f>
        <v/>
      </c>
      <c r="M485">
        <f>IF(AND($A485='Pockets'!$D$17,$B485='Pockets'!$C$17,OR('Pockets'!$E$17="All",AND('Pockets'!$E$17="Worse and material",$K485="Yes",$L485="Yes"),AND('Pockets'!$E$17="Worse or not sure",OR($K485="Yes",$K485="Not sure")))),1,0)</f>
        <v/>
      </c>
      <c r="N485">
        <f>$N484+$M485</f>
        <v/>
      </c>
      <c r="O485" t="inlineStr">
        <is>
          <t>three-way</t>
        </is>
      </c>
      <c r="P485" t="inlineStr">
        <is>
          <t>ranr_rate</t>
        </is>
      </c>
    </row>
    <row r="486">
      <c r="A486" t="inlineStr">
        <is>
          <t>Split by SYS_FLAG</t>
        </is>
      </c>
      <c r="B486" t="inlineStr">
        <is>
          <t>Kept after losses</t>
        </is>
      </c>
      <c r="C486" t="n">
        <v>982</v>
      </c>
      <c r="D486" t="inlineStr">
        <is>
          <t>ORIG_BAL 15,449 - 26,323</t>
        </is>
      </c>
      <c r="E486" t="inlineStr">
        <is>
          <t>Broker</t>
        </is>
      </c>
      <c r="F486" t="inlineStr">
        <is>
          <t>Y</t>
        </is>
      </c>
      <c r="G486" t="n">
        <v>244</v>
      </c>
      <c r="H486" t="n">
        <v>-3.703270057049184</v>
      </c>
      <c r="J486" t="n">
        <v>9</v>
      </c>
      <c r="K486">
        <f>'_pockets'!$AI$982</f>
        <v/>
      </c>
      <c r="L486">
        <f>'_pockets'!$AJ$982</f>
        <v/>
      </c>
      <c r="M486">
        <f>IF(AND($A486='Pockets'!$D$17,$B486='Pockets'!$C$17,OR('Pockets'!$E$17="All",AND('Pockets'!$E$17="Worse and material",$K486="Yes",$L486="Yes"),AND('Pockets'!$E$17="Worse or not sure",OR($K486="Yes",$K486="Not sure")))),1,0)</f>
        <v/>
      </c>
      <c r="N486">
        <f>$N485+$M486</f>
        <v/>
      </c>
      <c r="O486" t="inlineStr">
        <is>
          <t>three-way</t>
        </is>
      </c>
      <c r="P486" t="inlineStr">
        <is>
          <t>ranr_rate</t>
        </is>
      </c>
    </row>
    <row r="487">
      <c r="A487" t="inlineStr">
        <is>
          <t>Split by SYS_FLAG</t>
        </is>
      </c>
      <c r="B487" t="inlineStr">
        <is>
          <t>Kept after losses</t>
        </is>
      </c>
      <c r="C487" t="n">
        <v>1142</v>
      </c>
      <c r="D487" t="inlineStr">
        <is>
          <t>ORIG_BAL 37,951 - 49,151</t>
        </is>
      </c>
      <c r="E487" t="inlineStr">
        <is>
          <t>ASSET_CLASS 3</t>
        </is>
      </c>
      <c r="F487" t="inlineStr">
        <is>
          <t>Y</t>
        </is>
      </c>
      <c r="G487" t="n">
        <v>195</v>
      </c>
      <c r="H487" t="n">
        <v>-4.129478999737247</v>
      </c>
      <c r="J487" t="n">
        <v>10</v>
      </c>
      <c r="K487">
        <f>'_pockets'!$AI$1142</f>
        <v/>
      </c>
      <c r="L487">
        <f>'_pockets'!$AJ$1142</f>
        <v/>
      </c>
      <c r="M487">
        <f>IF(AND($A487='Pockets'!$D$17,$B487='Pockets'!$C$17,OR('Pockets'!$E$17="All",AND('Pockets'!$E$17="Worse and material",$K487="Yes",$L487="Yes"),AND('Pockets'!$E$17="Worse or not sure",OR($K487="Yes",$K487="Not sure")))),1,0)</f>
        <v/>
      </c>
      <c r="N487">
        <f>$N486+$M487</f>
        <v/>
      </c>
      <c r="O487" t="inlineStr">
        <is>
          <t>three-way</t>
        </is>
      </c>
      <c r="P487" t="inlineStr">
        <is>
          <t>ranr_rate</t>
        </is>
      </c>
    </row>
    <row r="488">
      <c r="A488" t="inlineStr">
        <is>
          <t>Split by SYS_FLAG</t>
        </is>
      </c>
      <c r="B488" t="inlineStr">
        <is>
          <t>Kept after losses</t>
        </is>
      </c>
      <c r="C488" t="n">
        <v>442</v>
      </c>
      <c r="D488" t="inlineStr">
        <is>
          <t>FICO 496 - 653</t>
        </is>
      </c>
      <c r="E488" t="inlineStr">
        <is>
          <t>Broker</t>
        </is>
      </c>
      <c r="F488" t="inlineStr">
        <is>
          <t>N</t>
        </is>
      </c>
      <c r="G488" t="n">
        <v>258</v>
      </c>
      <c r="H488" t="n">
        <v>-3.604647582275089</v>
      </c>
      <c r="J488" t="n">
        <v>11</v>
      </c>
      <c r="K488">
        <f>'_pockets'!$AI$442</f>
        <v/>
      </c>
      <c r="L488">
        <f>'_pockets'!$AJ$442</f>
        <v/>
      </c>
      <c r="M488">
        <f>IF(AND($A488='Pockets'!$D$17,$B488='Pockets'!$C$17,OR('Pockets'!$E$17="All",AND('Pockets'!$E$17="Worse and material",$K488="Yes",$L488="Yes"),AND('Pockets'!$E$17="Worse or not sure",OR($K488="Yes",$K488="Not sure")))),1,0)</f>
        <v/>
      </c>
      <c r="N488">
        <f>$N487+$M488</f>
        <v/>
      </c>
      <c r="O488" t="inlineStr">
        <is>
          <t>three-way</t>
        </is>
      </c>
      <c r="P488" t="inlineStr">
        <is>
          <t>ranr_rate</t>
        </is>
      </c>
    </row>
    <row r="489">
      <c r="A489" t="inlineStr">
        <is>
          <t>Split by SYS_FLAG</t>
        </is>
      </c>
      <c r="B489" t="inlineStr">
        <is>
          <t>Kept after losses</t>
        </is>
      </c>
      <c r="C489" t="n">
        <v>1157</v>
      </c>
      <c r="D489" t="inlineStr">
        <is>
          <t>ORIG_BAL 49,152 - 59,984</t>
        </is>
      </c>
      <c r="E489" t="inlineStr">
        <is>
          <t>ASSET_CLASS 4</t>
        </is>
      </c>
      <c r="F489" t="inlineStr">
        <is>
          <t>Y</t>
        </is>
      </c>
      <c r="G489" t="n">
        <v>171</v>
      </c>
      <c r="H489" t="n">
        <v>-4.402990356124487</v>
      </c>
      <c r="J489" t="n">
        <v>12</v>
      </c>
      <c r="K489">
        <f>'_pockets'!$AI$1157</f>
        <v/>
      </c>
      <c r="L489">
        <f>'_pockets'!$AJ$1157</f>
        <v/>
      </c>
      <c r="M489">
        <f>IF(AND($A489='Pockets'!$D$17,$B489='Pockets'!$C$17,OR('Pockets'!$E$17="All",AND('Pockets'!$E$17="Worse and material",$K489="Yes",$L489="Yes"),AND('Pockets'!$E$17="Worse or not sure",OR($K489="Yes",$K489="Not sure")))),1,0)</f>
        <v/>
      </c>
      <c r="N489">
        <f>$N488+$M489</f>
        <v/>
      </c>
      <c r="O489" t="inlineStr">
        <is>
          <t>three-way</t>
        </is>
      </c>
      <c r="P489" t="inlineStr">
        <is>
          <t>ranr_rate</t>
        </is>
      </c>
    </row>
    <row r="490">
      <c r="A490" t="inlineStr">
        <is>
          <t>Split by SYS_FLAG</t>
        </is>
      </c>
      <c r="B490" t="inlineStr">
        <is>
          <t>Kept after losses</t>
        </is>
      </c>
      <c r="C490" t="n">
        <v>1127</v>
      </c>
      <c r="D490" t="inlineStr">
        <is>
          <t>ORIG_BAL 49,152 - 59,984</t>
        </is>
      </c>
      <c r="E490" t="inlineStr">
        <is>
          <t>ASSET_CLASS 2</t>
        </is>
      </c>
      <c r="F490" t="inlineStr">
        <is>
          <t>Y</t>
        </is>
      </c>
      <c r="G490" t="n">
        <v>197</v>
      </c>
      <c r="H490" t="n">
        <v>-4.108990260368546</v>
      </c>
      <c r="J490" t="n">
        <v>13</v>
      </c>
      <c r="K490">
        <f>'_pockets'!$AI$1127</f>
        <v/>
      </c>
      <c r="L490">
        <f>'_pockets'!$AJ$1127</f>
        <v/>
      </c>
      <c r="M490">
        <f>IF(AND($A490='Pockets'!$D$17,$B490='Pockets'!$C$17,OR('Pockets'!$E$17="All",AND('Pockets'!$E$17="Worse and material",$K490="Yes",$L490="Yes"),AND('Pockets'!$E$17="Worse or not sure",OR($K490="Yes",$K490="Not sure")))),1,0)</f>
        <v/>
      </c>
      <c r="N490">
        <f>$N489+$M490</f>
        <v/>
      </c>
      <c r="O490" t="inlineStr">
        <is>
          <t>three-way</t>
        </is>
      </c>
      <c r="P490" t="inlineStr">
        <is>
          <t>ranr_rate</t>
        </is>
      </c>
    </row>
    <row r="491">
      <c r="A491" t="inlineStr">
        <is>
          <t>Split by SYS_FLAG</t>
        </is>
      </c>
      <c r="B491" t="inlineStr">
        <is>
          <t>Kept after losses</t>
        </is>
      </c>
      <c r="C491" t="n">
        <v>977</v>
      </c>
      <c r="D491" t="inlineStr">
        <is>
          <t>ORIG_BAL 37,951 - 49,151</t>
        </is>
      </c>
      <c r="E491" t="inlineStr">
        <is>
          <t>Online</t>
        </is>
      </c>
      <c r="F491" t="inlineStr">
        <is>
          <t>Y</t>
        </is>
      </c>
      <c r="G491" t="n">
        <v>254</v>
      </c>
      <c r="H491" t="n">
        <v>-3.631981507029823</v>
      </c>
      <c r="J491" t="n">
        <v>14</v>
      </c>
      <c r="K491">
        <f>'_pockets'!$AI$977</f>
        <v/>
      </c>
      <c r="L491">
        <f>'_pockets'!$AJ$977</f>
        <v/>
      </c>
      <c r="M491">
        <f>IF(AND($A491='Pockets'!$D$17,$B491='Pockets'!$C$17,OR('Pockets'!$E$17="All",AND('Pockets'!$E$17="Worse and material",$K491="Yes",$L491="Yes"),AND('Pockets'!$E$17="Worse or not sure",OR($K491="Yes",$K491="Not sure")))),1,0)</f>
        <v/>
      </c>
      <c r="N491">
        <f>$N490+$M491</f>
        <v/>
      </c>
      <c r="O491" t="inlineStr">
        <is>
          <t>three-way</t>
        </is>
      </c>
      <c r="P491" t="inlineStr">
        <is>
          <t>ranr_rate</t>
        </is>
      </c>
    </row>
    <row r="492">
      <c r="A492" t="inlineStr">
        <is>
          <t>Split by SYS_FLAG</t>
        </is>
      </c>
      <c r="B492" t="inlineStr">
        <is>
          <t>Kept after losses</t>
        </is>
      </c>
      <c r="C492" t="n">
        <v>952</v>
      </c>
      <c r="D492" t="inlineStr">
        <is>
          <t>ORIG_BAL 49,152 - 59,984</t>
        </is>
      </c>
      <c r="E492" t="inlineStr">
        <is>
          <t>Broker</t>
        </is>
      </c>
      <c r="F492" t="inlineStr">
        <is>
          <t>N</t>
        </is>
      </c>
      <c r="G492" t="n">
        <v>278</v>
      </c>
      <c r="H492" t="n">
        <v>-3.477058709496619</v>
      </c>
      <c r="J492" t="n">
        <v>15</v>
      </c>
      <c r="K492">
        <f>'_pockets'!$AI$952</f>
        <v/>
      </c>
      <c r="L492">
        <f>'_pockets'!$AJ$952</f>
        <v/>
      </c>
      <c r="M492">
        <f>IF(AND($A492='Pockets'!$D$17,$B492='Pockets'!$C$17,OR('Pockets'!$E$17="All",AND('Pockets'!$E$17="Worse and material",$K492="Yes",$L492="Yes"),AND('Pockets'!$E$17="Worse or not sure",OR($K492="Yes",$K492="Not sure")))),1,0)</f>
        <v/>
      </c>
      <c r="N492">
        <f>$N491+$M492</f>
        <v/>
      </c>
      <c r="O492" t="inlineStr">
        <is>
          <t>three-way</t>
        </is>
      </c>
      <c r="P492" t="inlineStr">
        <is>
          <t>ranr_rate</t>
        </is>
      </c>
    </row>
    <row r="493">
      <c r="A493" t="inlineStr">
        <is>
          <t>Split by SYS_FLAG</t>
        </is>
      </c>
      <c r="B493" t="inlineStr">
        <is>
          <t>Kept after losses</t>
        </is>
      </c>
      <c r="C493" t="n">
        <v>872</v>
      </c>
      <c r="D493" t="inlineStr">
        <is>
          <t>ORIG_BAL 37,951 - 49,151</t>
        </is>
      </c>
      <c r="E493" t="inlineStr">
        <is>
          <t>Branch</t>
        </is>
      </c>
      <c r="F493" t="inlineStr">
        <is>
          <t>Y</t>
        </is>
      </c>
      <c r="G493" t="n">
        <v>257</v>
      </c>
      <c r="H493" t="n">
        <v>-3.611420448411321</v>
      </c>
      <c r="J493" t="n">
        <v>16</v>
      </c>
      <c r="K493">
        <f>'_pockets'!$AI$872</f>
        <v/>
      </c>
      <c r="L493">
        <f>'_pockets'!$AJ$872</f>
        <v/>
      </c>
      <c r="M493">
        <f>IF(AND($A493='Pockets'!$D$17,$B493='Pockets'!$C$17,OR('Pockets'!$E$17="All",AND('Pockets'!$E$17="Worse and material",$K493="Yes",$L493="Yes"),AND('Pockets'!$E$17="Worse or not sure",OR($K493="Yes",$K493="Not sure")))),1,0)</f>
        <v/>
      </c>
      <c r="N493">
        <f>$N492+$M493</f>
        <v/>
      </c>
      <c r="O493" t="inlineStr">
        <is>
          <t>three-way</t>
        </is>
      </c>
      <c r="P493" t="inlineStr">
        <is>
          <t>ranr_rate</t>
        </is>
      </c>
    </row>
    <row r="494">
      <c r="A494" t="inlineStr">
        <is>
          <t>Split by SYS_FLAG</t>
        </is>
      </c>
      <c r="B494" t="inlineStr">
        <is>
          <t>Kept after losses</t>
        </is>
      </c>
      <c r="C494" t="n">
        <v>902</v>
      </c>
      <c r="D494" t="inlineStr">
        <is>
          <t>ORIG_BAL 49,152 - 59,984</t>
        </is>
      </c>
      <c r="E494" t="inlineStr">
        <is>
          <t>Online</t>
        </is>
      </c>
      <c r="F494" t="inlineStr">
        <is>
          <t>Y</t>
        </is>
      </c>
      <c r="G494" t="n">
        <v>274</v>
      </c>
      <c r="H494" t="n">
        <v>-3.501439868534056</v>
      </c>
      <c r="J494" t="n">
        <v>17</v>
      </c>
      <c r="K494">
        <f>'_pockets'!$AI$902</f>
        <v/>
      </c>
      <c r="L494">
        <f>'_pockets'!$AJ$902</f>
        <v/>
      </c>
      <c r="M494">
        <f>IF(AND($A494='Pockets'!$D$17,$B494='Pockets'!$C$17,OR('Pockets'!$E$17="All",AND('Pockets'!$E$17="Worse and material",$K494="Yes",$L494="Yes"),AND('Pockets'!$E$17="Worse or not sure",OR($K494="Yes",$K494="Not sure")))),1,0)</f>
        <v/>
      </c>
      <c r="N494">
        <f>$N493+$M494</f>
        <v/>
      </c>
      <c r="O494" t="inlineStr">
        <is>
          <t>three-way</t>
        </is>
      </c>
      <c r="P494" t="inlineStr">
        <is>
          <t>ranr_rate</t>
        </is>
      </c>
    </row>
    <row r="495">
      <c r="A495" t="inlineStr">
        <is>
          <t>Split by SYS_FLAG</t>
        </is>
      </c>
      <c r="B495" t="inlineStr">
        <is>
          <t>Kept after losses</t>
        </is>
      </c>
      <c r="C495" t="n">
        <v>992</v>
      </c>
      <c r="D495" t="inlineStr">
        <is>
          <t>ORIG_BAL 26,324 - 37,950</t>
        </is>
      </c>
      <c r="E495" t="inlineStr">
        <is>
          <t>Broker</t>
        </is>
      </c>
      <c r="F495" t="inlineStr">
        <is>
          <t>N</t>
        </is>
      </c>
      <c r="G495" t="n">
        <v>305</v>
      </c>
      <c r="H495" t="n">
        <v>-3.325409914362533</v>
      </c>
      <c r="J495" t="n">
        <v>18</v>
      </c>
      <c r="K495">
        <f>'_pockets'!$AI$992</f>
        <v/>
      </c>
      <c r="L495">
        <f>'_pockets'!$AJ$992</f>
        <v/>
      </c>
      <c r="M495">
        <f>IF(AND($A495='Pockets'!$D$17,$B495='Pockets'!$C$17,OR('Pockets'!$E$17="All",AND('Pockets'!$E$17="Worse and material",$K495="Yes",$L495="Yes"),AND('Pockets'!$E$17="Worse or not sure",OR($K495="Yes",$K495="Not sure")))),1,0)</f>
        <v/>
      </c>
      <c r="N495">
        <f>$N494+$M495</f>
        <v/>
      </c>
      <c r="O495" t="inlineStr">
        <is>
          <t>three-way</t>
        </is>
      </c>
      <c r="P495" t="inlineStr">
        <is>
          <t>ranr_rate</t>
        </is>
      </c>
    </row>
    <row r="496">
      <c r="A496" t="inlineStr">
        <is>
          <t>Split by SYS_FLAG</t>
        </is>
      </c>
      <c r="B496" t="inlineStr">
        <is>
          <t>Kept after losses</t>
        </is>
      </c>
      <c r="C496" t="n">
        <v>427</v>
      </c>
      <c r="D496" t="inlineStr">
        <is>
          <t>FICO 712 - 745</t>
        </is>
      </c>
      <c r="E496" t="inlineStr">
        <is>
          <t>Branch</t>
        </is>
      </c>
      <c r="F496" t="inlineStr">
        <is>
          <t>Y</t>
        </is>
      </c>
      <c r="G496" t="n">
        <v>230</v>
      </c>
      <c r="H496" t="n">
        <v>-3.81087513522319</v>
      </c>
      <c r="J496" t="n">
        <v>19</v>
      </c>
      <c r="K496">
        <f>'_pockets'!$AI$427</f>
        <v/>
      </c>
      <c r="L496">
        <f>'_pockets'!$AJ$427</f>
        <v/>
      </c>
      <c r="M496">
        <f>IF(AND($A496='Pockets'!$D$17,$B496='Pockets'!$C$17,OR('Pockets'!$E$17="All",AND('Pockets'!$E$17="Worse and material",$K496="Yes",$L496="Yes"),AND('Pockets'!$E$17="Worse or not sure",OR($K496="Yes",$K496="Not sure")))),1,0)</f>
        <v/>
      </c>
      <c r="N496">
        <f>$N495+$M496</f>
        <v/>
      </c>
      <c r="O496" t="inlineStr">
        <is>
          <t>three-way</t>
        </is>
      </c>
      <c r="P496" t="inlineStr">
        <is>
          <t>ranr_rate</t>
        </is>
      </c>
    </row>
    <row r="497">
      <c r="A497" t="inlineStr">
        <is>
          <t>Split by SYS_FLAG</t>
        </is>
      </c>
      <c r="B497" t="inlineStr">
        <is>
          <t>Kept after losses</t>
        </is>
      </c>
      <c r="C497" t="n">
        <v>782</v>
      </c>
      <c r="D497" t="inlineStr">
        <is>
          <t>FICO 654 - 685</t>
        </is>
      </c>
      <c r="E497" t="inlineStr">
        <is>
          <t>ASSET_CLASS 3</t>
        </is>
      </c>
      <c r="F497" t="inlineStr">
        <is>
          <t>Y</t>
        </is>
      </c>
      <c r="G497" t="n">
        <v>193</v>
      </c>
      <c r="H497" t="n">
        <v>-4.15028833715379</v>
      </c>
      <c r="J497" t="n">
        <v>20</v>
      </c>
      <c r="K497">
        <f>'_pockets'!$AI$782</f>
        <v/>
      </c>
      <c r="L497">
        <f>'_pockets'!$AJ$782</f>
        <v/>
      </c>
      <c r="M497">
        <f>IF(AND($A497='Pockets'!$D$17,$B497='Pockets'!$C$17,OR('Pockets'!$E$17="All",AND('Pockets'!$E$17="Worse and material",$K497="Yes",$L497="Yes"),AND('Pockets'!$E$17="Worse or not sure",OR($K497="Yes",$K497="Not sure")))),1,0)</f>
        <v/>
      </c>
      <c r="N497">
        <f>$N496+$M497</f>
        <v/>
      </c>
      <c r="O497" t="inlineStr">
        <is>
          <t>three-way</t>
        </is>
      </c>
      <c r="P497" t="inlineStr">
        <is>
          <t>ranr_rate</t>
        </is>
      </c>
    </row>
    <row r="498">
      <c r="A498" t="inlineStr">
        <is>
          <t>Split by SYS_FLAG</t>
        </is>
      </c>
      <c r="B498" t="inlineStr">
        <is>
          <t>Kept after losses</t>
        </is>
      </c>
      <c r="C498" t="n">
        <v>577</v>
      </c>
      <c r="D498" t="inlineStr">
        <is>
          <t>FICO 686 - 711</t>
        </is>
      </c>
      <c r="E498" t="inlineStr">
        <is>
          <t>Branch</t>
        </is>
      </c>
      <c r="F498" t="inlineStr">
        <is>
          <t>N</t>
        </is>
      </c>
      <c r="G498" t="n">
        <v>280</v>
      </c>
      <c r="H498" t="n">
        <v>-3.4650672018409</v>
      </c>
      <c r="J498" t="n">
        <v>21</v>
      </c>
      <c r="K498">
        <f>'_pockets'!$AI$577</f>
        <v/>
      </c>
      <c r="L498">
        <f>'_pockets'!$AJ$577</f>
        <v/>
      </c>
      <c r="M498">
        <f>IF(AND($A498='Pockets'!$D$17,$B498='Pockets'!$C$17,OR('Pockets'!$E$17="All",AND('Pockets'!$E$17="Worse and material",$K498="Yes",$L498="Yes"),AND('Pockets'!$E$17="Worse or not sure",OR($K498="Yes",$K498="Not sure")))),1,0)</f>
        <v/>
      </c>
      <c r="N498">
        <f>$N497+$M498</f>
        <v/>
      </c>
      <c r="O498" t="inlineStr">
        <is>
          <t>three-way</t>
        </is>
      </c>
      <c r="P498" t="inlineStr">
        <is>
          <t>ranr_rate</t>
        </is>
      </c>
    </row>
    <row r="499">
      <c r="A499" t="inlineStr">
        <is>
          <t>Split by SYS_FLAG</t>
        </is>
      </c>
      <c r="B499" t="inlineStr">
        <is>
          <t>Kept after losses</t>
        </is>
      </c>
      <c r="C499" t="n">
        <v>817</v>
      </c>
      <c r="D499" t="inlineStr">
        <is>
          <t>FICO 686 - 711</t>
        </is>
      </c>
      <c r="E499" t="inlineStr">
        <is>
          <t>ASSET_CLASS 3</t>
        </is>
      </c>
      <c r="F499" t="inlineStr">
        <is>
          <t>Y</t>
        </is>
      </c>
      <c r="G499" t="n">
        <v>196</v>
      </c>
      <c r="H499" t="n">
        <v>-4.119195067510546</v>
      </c>
      <c r="J499" t="n">
        <v>22</v>
      </c>
      <c r="K499">
        <f>'_pockets'!$AI$817</f>
        <v/>
      </c>
      <c r="L499">
        <f>'_pockets'!$AJ$817</f>
        <v/>
      </c>
      <c r="M499">
        <f>IF(AND($A499='Pockets'!$D$17,$B499='Pockets'!$C$17,OR('Pockets'!$E$17="All",AND('Pockets'!$E$17="Worse and material",$K499="Yes",$L499="Yes"),AND('Pockets'!$E$17="Worse or not sure",OR($K499="Yes",$K499="Not sure")))),1,0)</f>
        <v/>
      </c>
      <c r="N499">
        <f>$N498+$M499</f>
        <v/>
      </c>
      <c r="O499" t="inlineStr">
        <is>
          <t>three-way</t>
        </is>
      </c>
      <c r="P499" t="inlineStr">
        <is>
          <t>ranr_rate</t>
        </is>
      </c>
    </row>
    <row r="500">
      <c r="A500" t="inlineStr">
        <is>
          <t>Split by SYS_FLAG</t>
        </is>
      </c>
      <c r="B500" t="inlineStr">
        <is>
          <t>Kept after losses</t>
        </is>
      </c>
      <c r="C500" t="n">
        <v>867</v>
      </c>
      <c r="D500" t="inlineStr">
        <is>
          <t>ORIG_BAL 26,324 - 37,950</t>
        </is>
      </c>
      <c r="E500" t="inlineStr">
        <is>
          <t>Branch</t>
        </is>
      </c>
      <c r="F500" t="inlineStr">
        <is>
          <t>Y</t>
        </is>
      </c>
      <c r="G500" t="n">
        <v>236</v>
      </c>
      <c r="H500" t="n">
        <v>-3.763573512320165</v>
      </c>
      <c r="J500" t="n">
        <v>23</v>
      </c>
      <c r="K500">
        <f>'_pockets'!$AI$867</f>
        <v/>
      </c>
      <c r="L500">
        <f>'_pockets'!$AJ$867</f>
        <v/>
      </c>
      <c r="M500">
        <f>IF(AND($A500='Pockets'!$D$17,$B500='Pockets'!$C$17,OR('Pockets'!$E$17="All",AND('Pockets'!$E$17="Worse and material",$K500="Yes",$L500="Yes"),AND('Pockets'!$E$17="Worse or not sure",OR($K500="Yes",$K500="Not sure")))),1,0)</f>
        <v/>
      </c>
      <c r="N500">
        <f>$N499+$M500</f>
        <v/>
      </c>
      <c r="O500" t="inlineStr">
        <is>
          <t>three-way</t>
        </is>
      </c>
      <c r="P500" t="inlineStr">
        <is>
          <t>ranr_rate</t>
        </is>
      </c>
    </row>
    <row r="501">
      <c r="A501" t="inlineStr">
        <is>
          <t>Split by SYS_FLAG</t>
        </is>
      </c>
      <c r="B501" t="inlineStr">
        <is>
          <t>Kept after losses</t>
        </is>
      </c>
      <c r="C501" t="n">
        <v>622</v>
      </c>
      <c r="D501" t="inlineStr">
        <is>
          <t>FICO 712 - 745</t>
        </is>
      </c>
      <c r="E501" t="inlineStr">
        <is>
          <t>ASSET_CLASS 4</t>
        </is>
      </c>
      <c r="F501" t="inlineStr">
        <is>
          <t>Y</t>
        </is>
      </c>
      <c r="G501" t="n">
        <v>207</v>
      </c>
      <c r="H501" t="n">
        <v>-4.011082117651476</v>
      </c>
      <c r="J501" t="n">
        <v>24</v>
      </c>
      <c r="K501">
        <f>'_pockets'!$AI$622</f>
        <v/>
      </c>
      <c r="L501">
        <f>'_pockets'!$AJ$622</f>
        <v/>
      </c>
      <c r="M501">
        <f>IF(AND($A501='Pockets'!$D$17,$B501='Pockets'!$C$17,OR('Pockets'!$E$17="All",AND('Pockets'!$E$17="Worse and material",$K501="Yes",$L501="Yes"),AND('Pockets'!$E$17="Worse or not sure",OR($K501="Yes",$K501="Not sure")))),1,0)</f>
        <v/>
      </c>
      <c r="N501">
        <f>$N500+$M501</f>
        <v/>
      </c>
      <c r="O501" t="inlineStr">
        <is>
          <t>three-way</t>
        </is>
      </c>
      <c r="P501" t="inlineStr">
        <is>
          <t>ranr_rate</t>
        </is>
      </c>
    </row>
    <row r="502">
      <c r="A502" t="inlineStr">
        <is>
          <t>Split by SYS_FLAG</t>
        </is>
      </c>
      <c r="B502" t="inlineStr">
        <is>
          <t>Kept after losses</t>
        </is>
      </c>
      <c r="C502" t="n">
        <v>877</v>
      </c>
      <c r="D502" t="inlineStr">
        <is>
          <t>ORIG_BAL 15,449 - 26,323</t>
        </is>
      </c>
      <c r="E502" t="inlineStr">
        <is>
          <t>Broker</t>
        </is>
      </c>
      <c r="F502" t="inlineStr">
        <is>
          <t>N</t>
        </is>
      </c>
      <c r="G502" t="n">
        <v>293</v>
      </c>
      <c r="H502" t="n">
        <v>-3.390180998593137</v>
      </c>
      <c r="J502" t="n">
        <v>25</v>
      </c>
      <c r="K502">
        <f>'_pockets'!$AI$877</f>
        <v/>
      </c>
      <c r="L502">
        <f>'_pockets'!$AJ$877</f>
        <v/>
      </c>
      <c r="M502">
        <f>IF(AND($A502='Pockets'!$D$17,$B502='Pockets'!$C$17,OR('Pockets'!$E$17="All",AND('Pockets'!$E$17="Worse and material",$K502="Yes",$L502="Yes"),AND('Pockets'!$E$17="Worse or not sure",OR($K502="Yes",$K502="Not sure")))),1,0)</f>
        <v/>
      </c>
      <c r="N502">
        <f>$N501+$M502</f>
        <v/>
      </c>
      <c r="O502" t="inlineStr">
        <is>
          <t>three-way</t>
        </is>
      </c>
      <c r="P502" t="inlineStr">
        <is>
          <t>ranr_rate</t>
        </is>
      </c>
    </row>
    <row r="503">
      <c r="A503" t="inlineStr">
        <is>
          <t>Split by SYS_FLAG</t>
        </is>
      </c>
      <c r="B503" t="inlineStr">
        <is>
          <t>Kept after losses</t>
        </is>
      </c>
      <c r="C503" t="n">
        <v>522</v>
      </c>
      <c r="D503" t="inlineStr">
        <is>
          <t>FICO 654 - 685</t>
        </is>
      </c>
      <c r="E503" t="inlineStr">
        <is>
          <t>Broker</t>
        </is>
      </c>
      <c r="F503" t="inlineStr">
        <is>
          <t>Y</t>
        </is>
      </c>
      <c r="G503" t="n">
        <v>244</v>
      </c>
      <c r="H503" t="n">
        <v>-3.703270057049184</v>
      </c>
      <c r="J503" t="n">
        <v>26</v>
      </c>
      <c r="K503">
        <f>'_pockets'!$AI$522</f>
        <v/>
      </c>
      <c r="L503">
        <f>'_pockets'!$AJ$522</f>
        <v/>
      </c>
      <c r="M503">
        <f>IF(AND($A503='Pockets'!$D$17,$B503='Pockets'!$C$17,OR('Pockets'!$E$17="All",AND('Pockets'!$E$17="Worse and material",$K503="Yes",$L503="Yes"),AND('Pockets'!$E$17="Worse or not sure",OR($K503="Yes",$K503="Not sure")))),1,0)</f>
        <v/>
      </c>
      <c r="N503">
        <f>$N502+$M503</f>
        <v/>
      </c>
      <c r="O503" t="inlineStr">
        <is>
          <t>three-way</t>
        </is>
      </c>
      <c r="P503" t="inlineStr">
        <is>
          <t>ranr_rate</t>
        </is>
      </c>
    </row>
    <row r="504">
      <c r="A504" t="inlineStr">
        <is>
          <t>Split by SYS_FLAG</t>
        </is>
      </c>
      <c r="B504" t="inlineStr">
        <is>
          <t>Kept after losses</t>
        </is>
      </c>
      <c r="C504" t="n">
        <v>852</v>
      </c>
      <c r="D504" t="inlineStr">
        <is>
          <t>ORIG_BAL 37,951 - 49,151</t>
        </is>
      </c>
      <c r="E504" t="inlineStr">
        <is>
          <t>Branch</t>
        </is>
      </c>
      <c r="F504" t="inlineStr">
        <is>
          <t>N</t>
        </is>
      </c>
      <c r="G504" t="n">
        <v>269</v>
      </c>
      <c r="H504" t="n">
        <v>-3.532688226561486</v>
      </c>
      <c r="J504" t="n">
        <v>27</v>
      </c>
      <c r="K504">
        <f>'_pockets'!$AI$852</f>
        <v/>
      </c>
      <c r="L504">
        <f>'_pockets'!$AJ$852</f>
        <v/>
      </c>
      <c r="M504">
        <f>IF(AND($A504='Pockets'!$D$17,$B504='Pockets'!$C$17,OR('Pockets'!$E$17="All",AND('Pockets'!$E$17="Worse and material",$K504="Yes",$L504="Yes"),AND('Pockets'!$E$17="Worse or not sure",OR($K504="Yes",$K504="Not sure")))),1,0)</f>
        <v/>
      </c>
      <c r="N504">
        <f>$N503+$M504</f>
        <v/>
      </c>
      <c r="O504" t="inlineStr">
        <is>
          <t>three-way</t>
        </is>
      </c>
      <c r="P504" t="inlineStr">
        <is>
          <t>ranr_rate</t>
        </is>
      </c>
    </row>
    <row r="505">
      <c r="A505" t="inlineStr">
        <is>
          <t>Split by SYS_FLAG</t>
        </is>
      </c>
      <c r="B505" t="inlineStr">
        <is>
          <t>Kept after losses</t>
        </is>
      </c>
      <c r="C505" t="n">
        <v>762</v>
      </c>
      <c r="D505" t="inlineStr">
        <is>
          <t>FICO 496 - 653</t>
        </is>
      </c>
      <c r="E505" t="inlineStr">
        <is>
          <t>ASSET_CLASS 1</t>
        </is>
      </c>
      <c r="F505" t="inlineStr">
        <is>
          <t>Y</t>
        </is>
      </c>
      <c r="G505" t="n">
        <v>186</v>
      </c>
      <c r="H505" t="n">
        <v>-4.225769591809444</v>
      </c>
      <c r="J505" t="n">
        <v>28</v>
      </c>
      <c r="K505">
        <f>'_pockets'!$AI$762</f>
        <v/>
      </c>
      <c r="L505">
        <f>'_pockets'!$AJ$762</f>
        <v/>
      </c>
      <c r="M505">
        <f>IF(AND($A505='Pockets'!$D$17,$B505='Pockets'!$C$17,OR('Pockets'!$E$17="All",AND('Pockets'!$E$17="Worse and material",$K505="Yes",$L505="Yes"),AND('Pockets'!$E$17="Worse or not sure",OR($K505="Yes",$K505="Not sure")))),1,0)</f>
        <v/>
      </c>
      <c r="N505">
        <f>$N504+$M505</f>
        <v/>
      </c>
      <c r="O505" t="inlineStr">
        <is>
          <t>three-way</t>
        </is>
      </c>
      <c r="P505" t="inlineStr">
        <is>
          <t>ranr_rate</t>
        </is>
      </c>
    </row>
    <row r="506">
      <c r="A506" t="inlineStr">
        <is>
          <t>Split by SYS_FLAG</t>
        </is>
      </c>
      <c r="B506" t="inlineStr">
        <is>
          <t>Kept after losses</t>
        </is>
      </c>
      <c r="C506" t="n">
        <v>1022</v>
      </c>
      <c r="D506" t="inlineStr">
        <is>
          <t>ORIG_BAL 26,324 - 37,950</t>
        </is>
      </c>
      <c r="E506" t="inlineStr">
        <is>
          <t>ASSET_CLASS 4</t>
        </is>
      </c>
      <c r="F506" t="inlineStr">
        <is>
          <t>Y</t>
        </is>
      </c>
      <c r="G506" t="n">
        <v>194</v>
      </c>
      <c r="H506" t="n">
        <v>-4.139843076855238</v>
      </c>
      <c r="J506" t="n">
        <v>29</v>
      </c>
      <c r="K506">
        <f>'_pockets'!$AI$1022</f>
        <v/>
      </c>
      <c r="L506">
        <f>'_pockets'!$AJ$1022</f>
        <v/>
      </c>
      <c r="M506">
        <f>IF(AND($A506='Pockets'!$D$17,$B506='Pockets'!$C$17,OR('Pockets'!$E$17="All",AND('Pockets'!$E$17="Worse and material",$K506="Yes",$L506="Yes"),AND('Pockets'!$E$17="Worse or not sure",OR($K506="Yes",$K506="Not sure")))),1,0)</f>
        <v/>
      </c>
      <c r="N506">
        <f>$N505+$M506</f>
        <v/>
      </c>
      <c r="O506" t="inlineStr">
        <is>
          <t>three-way</t>
        </is>
      </c>
      <c r="P506" t="inlineStr">
        <is>
          <t>ranr_rate</t>
        </is>
      </c>
    </row>
    <row r="507">
      <c r="A507" t="inlineStr">
        <is>
          <t>Split by SYS_FLAG</t>
        </is>
      </c>
      <c r="B507" t="inlineStr">
        <is>
          <t>Kept after losses</t>
        </is>
      </c>
      <c r="C507" t="n">
        <v>1042</v>
      </c>
      <c r="D507" t="inlineStr">
        <is>
          <t>ORIG_BAL 15,449 - 26,323</t>
        </is>
      </c>
      <c r="E507" t="inlineStr">
        <is>
          <t>ASSET_CLASS 4</t>
        </is>
      </c>
      <c r="F507" t="inlineStr">
        <is>
          <t>N</t>
        </is>
      </c>
      <c r="G507" t="n">
        <v>223</v>
      </c>
      <c r="H507" t="n">
        <v>-3.868482534444551</v>
      </c>
      <c r="J507" t="n">
        <v>30</v>
      </c>
      <c r="K507">
        <f>'_pockets'!$AI$1042</f>
        <v/>
      </c>
      <c r="L507">
        <f>'_pockets'!$AJ$1042</f>
        <v/>
      </c>
      <c r="M507">
        <f>IF(AND($A507='Pockets'!$D$17,$B507='Pockets'!$C$17,OR('Pockets'!$E$17="All",AND('Pockets'!$E$17="Worse and material",$K507="Yes",$L507="Yes"),AND('Pockets'!$E$17="Worse or not sure",OR($K507="Yes",$K507="Not sure")))),1,0)</f>
        <v/>
      </c>
      <c r="N507">
        <f>$N506+$M507</f>
        <v/>
      </c>
      <c r="O507" t="inlineStr">
        <is>
          <t>three-way</t>
        </is>
      </c>
      <c r="P507" t="inlineStr">
        <is>
          <t>ranr_rate</t>
        </is>
      </c>
    </row>
    <row r="508">
      <c r="A508" t="inlineStr">
        <is>
          <t>Split by SYS_FLAG</t>
        </is>
      </c>
      <c r="B508" t="inlineStr">
        <is>
          <t>Kept after losses</t>
        </is>
      </c>
      <c r="C508" t="n">
        <v>1057</v>
      </c>
      <c r="D508" t="inlineStr">
        <is>
          <t>ORIG_BAL 49,152 - 59,984</t>
        </is>
      </c>
      <c r="E508" t="inlineStr">
        <is>
          <t>ASSET_CLASS 1</t>
        </is>
      </c>
      <c r="F508" t="inlineStr">
        <is>
          <t>Y</t>
        </is>
      </c>
      <c r="G508" t="n">
        <v>195</v>
      </c>
      <c r="H508" t="n">
        <v>-4.129478999737247</v>
      </c>
      <c r="J508" t="n">
        <v>31</v>
      </c>
      <c r="K508">
        <f>'_pockets'!$AI$1057</f>
        <v/>
      </c>
      <c r="L508">
        <f>'_pockets'!$AJ$1057</f>
        <v/>
      </c>
      <c r="M508">
        <f>IF(AND($A508='Pockets'!$D$17,$B508='Pockets'!$C$17,OR('Pockets'!$E$17="All",AND('Pockets'!$E$17="Worse and material",$K508="Yes",$L508="Yes"),AND('Pockets'!$E$17="Worse or not sure",OR($K508="Yes",$K508="Not sure")))),1,0)</f>
        <v/>
      </c>
      <c r="N508">
        <f>$N507+$M508</f>
        <v/>
      </c>
      <c r="O508" t="inlineStr">
        <is>
          <t>three-way</t>
        </is>
      </c>
      <c r="P508" t="inlineStr">
        <is>
          <t>ranr_rate</t>
        </is>
      </c>
    </row>
    <row r="509">
      <c r="A509" t="inlineStr">
        <is>
          <t>Split by SYS_FLAG</t>
        </is>
      </c>
      <c r="B509" t="inlineStr">
        <is>
          <t>Kept after losses</t>
        </is>
      </c>
      <c r="C509" t="n">
        <v>927</v>
      </c>
      <c r="D509" t="inlineStr">
        <is>
          <t>ORIG_BAL 49,152 - 59,984</t>
        </is>
      </c>
      <c r="E509" t="inlineStr">
        <is>
          <t>Branch</t>
        </is>
      </c>
      <c r="F509" t="inlineStr">
        <is>
          <t>Y</t>
        </is>
      </c>
      <c r="G509" t="n">
        <v>226</v>
      </c>
      <c r="H509" t="n">
        <v>-3.84346246812027</v>
      </c>
      <c r="J509" t="n">
        <v>32</v>
      </c>
      <c r="K509">
        <f>'_pockets'!$AI$927</f>
        <v/>
      </c>
      <c r="L509">
        <f>'_pockets'!$AJ$927</f>
        <v/>
      </c>
      <c r="M509">
        <f>IF(AND($A509='Pockets'!$D$17,$B509='Pockets'!$C$17,OR('Pockets'!$E$17="All",AND('Pockets'!$E$17="Worse and material",$K509="Yes",$L509="Yes"),AND('Pockets'!$E$17="Worse or not sure",OR($K509="Yes",$K509="Not sure")))),1,0)</f>
        <v/>
      </c>
      <c r="N509">
        <f>$N508+$M509</f>
        <v/>
      </c>
      <c r="O509" t="inlineStr">
        <is>
          <t>three-way</t>
        </is>
      </c>
      <c r="P509" t="inlineStr">
        <is>
          <t>ranr_rate</t>
        </is>
      </c>
    </row>
    <row r="510">
      <c r="A510" t="inlineStr">
        <is>
          <t>Split by SYS_FLAG</t>
        </is>
      </c>
      <c r="B510" t="inlineStr">
        <is>
          <t>Kept after losses</t>
        </is>
      </c>
      <c r="C510" t="n">
        <v>627</v>
      </c>
      <c r="D510" t="inlineStr">
        <is>
          <t>FICO 746 - 921</t>
        </is>
      </c>
      <c r="E510" t="inlineStr">
        <is>
          <t>ASSET_CLASS 2</t>
        </is>
      </c>
      <c r="F510" t="inlineStr">
        <is>
          <t>Y</t>
        </is>
      </c>
      <c r="G510" t="n">
        <v>180</v>
      </c>
      <c r="H510" t="n">
        <v>-4.293973291489264</v>
      </c>
      <c r="J510" t="n">
        <v>33</v>
      </c>
      <c r="K510">
        <f>'_pockets'!$AI$627</f>
        <v/>
      </c>
      <c r="L510">
        <f>'_pockets'!$AJ$627</f>
        <v/>
      </c>
      <c r="M510">
        <f>IF(AND($A510='Pockets'!$D$17,$B510='Pockets'!$C$17,OR('Pockets'!$E$17="All",AND('Pockets'!$E$17="Worse and material",$K510="Yes",$L510="Yes"),AND('Pockets'!$E$17="Worse or not sure",OR($K510="Yes",$K510="Not sure")))),1,0)</f>
        <v/>
      </c>
      <c r="N510">
        <f>$N509+$M510</f>
        <v/>
      </c>
      <c r="O510" t="inlineStr">
        <is>
          <t>three-way</t>
        </is>
      </c>
      <c r="P510" t="inlineStr">
        <is>
          <t>ranr_rate</t>
        </is>
      </c>
    </row>
    <row r="511">
      <c r="A511" t="inlineStr">
        <is>
          <t>Split by SYS_FLAG</t>
        </is>
      </c>
      <c r="B511" t="inlineStr">
        <is>
          <t>Kept after losses</t>
        </is>
      </c>
      <c r="C511" t="n">
        <v>562</v>
      </c>
      <c r="D511" t="inlineStr">
        <is>
          <t>FICO 654 - 685</t>
        </is>
      </c>
      <c r="E511" t="inlineStr">
        <is>
          <t>Online</t>
        </is>
      </c>
      <c r="F511" t="inlineStr">
        <is>
          <t>Y</t>
        </is>
      </c>
      <c r="G511" t="n">
        <v>236</v>
      </c>
      <c r="H511" t="n">
        <v>-3.763573512320165</v>
      </c>
      <c r="J511" t="n">
        <v>34</v>
      </c>
      <c r="K511">
        <f>'_pockets'!$AI$562</f>
        <v/>
      </c>
      <c r="L511">
        <f>'_pockets'!$AJ$562</f>
        <v/>
      </c>
      <c r="M511">
        <f>IF(AND($A511='Pockets'!$D$17,$B511='Pockets'!$C$17,OR('Pockets'!$E$17="All",AND('Pockets'!$E$17="Worse and material",$K511="Yes",$L511="Yes"),AND('Pockets'!$E$17="Worse or not sure",OR($K511="Yes",$K511="Not sure")))),1,0)</f>
        <v/>
      </c>
      <c r="N511">
        <f>$N510+$M511</f>
        <v/>
      </c>
      <c r="O511" t="inlineStr">
        <is>
          <t>three-way</t>
        </is>
      </c>
      <c r="P511" t="inlineStr">
        <is>
          <t>ranr_rate</t>
        </is>
      </c>
    </row>
    <row r="512">
      <c r="A512" t="inlineStr">
        <is>
          <t>Split by SYS_FLAG</t>
        </is>
      </c>
      <c r="B512" t="inlineStr">
        <is>
          <t>Kept after losses</t>
        </is>
      </c>
      <c r="C512" t="n">
        <v>657</v>
      </c>
      <c r="D512" t="inlineStr">
        <is>
          <t>FICO 686 - 711</t>
        </is>
      </c>
      <c r="E512" t="inlineStr">
        <is>
          <t>ASSET_CLASS 4</t>
        </is>
      </c>
      <c r="F512" t="inlineStr">
        <is>
          <t>Y</t>
        </is>
      </c>
      <c r="G512" t="n">
        <v>172</v>
      </c>
      <c r="H512" t="n">
        <v>-4.390452749065276</v>
      </c>
      <c r="J512" t="n">
        <v>35</v>
      </c>
      <c r="K512">
        <f>'_pockets'!$AI$657</f>
        <v/>
      </c>
      <c r="L512">
        <f>'_pockets'!$AJ$657</f>
        <v/>
      </c>
      <c r="M512">
        <f>IF(AND($A512='Pockets'!$D$17,$B512='Pockets'!$C$17,OR('Pockets'!$E$17="All",AND('Pockets'!$E$17="Worse and material",$K512="Yes",$L512="Yes"),AND('Pockets'!$E$17="Worse or not sure",OR($K512="Yes",$K512="Not sure")))),1,0)</f>
        <v/>
      </c>
      <c r="N512">
        <f>$N511+$M512</f>
        <v/>
      </c>
      <c r="O512" t="inlineStr">
        <is>
          <t>three-way</t>
        </is>
      </c>
      <c r="P512" t="inlineStr">
        <is>
          <t>ranr_rate</t>
        </is>
      </c>
    </row>
    <row r="513">
      <c r="A513" t="inlineStr">
        <is>
          <t>Split by SYS_FLAG</t>
        </is>
      </c>
      <c r="B513" t="inlineStr">
        <is>
          <t>Kept after losses</t>
        </is>
      </c>
      <c r="C513" t="n">
        <v>507</v>
      </c>
      <c r="D513" t="inlineStr">
        <is>
          <t>FICO 712 - 745</t>
        </is>
      </c>
      <c r="E513" t="inlineStr">
        <is>
          <t>Broker</t>
        </is>
      </c>
      <c r="F513" t="inlineStr">
        <is>
          <t>N</t>
        </is>
      </c>
      <c r="G513" t="n">
        <v>291</v>
      </c>
      <c r="H513" t="n">
        <v>-3.40136979248773</v>
      </c>
      <c r="J513" t="n">
        <v>36</v>
      </c>
      <c r="K513">
        <f>'_pockets'!$AI$507</f>
        <v/>
      </c>
      <c r="L513">
        <f>'_pockets'!$AJ$507</f>
        <v/>
      </c>
      <c r="M513">
        <f>IF(AND($A513='Pockets'!$D$17,$B513='Pockets'!$C$17,OR('Pockets'!$E$17="All",AND('Pockets'!$E$17="Worse and material",$K513="Yes",$L513="Yes"),AND('Pockets'!$E$17="Worse or not sure",OR($K513="Yes",$K513="Not sure")))),1,0)</f>
        <v/>
      </c>
      <c r="N513">
        <f>$N512+$M513</f>
        <v/>
      </c>
      <c r="O513" t="inlineStr">
        <is>
          <t>three-way</t>
        </is>
      </c>
      <c r="P513" t="inlineStr">
        <is>
          <t>ranr_rate</t>
        </is>
      </c>
    </row>
    <row r="514">
      <c r="A514" t="inlineStr">
        <is>
          <t>Split by SYS_FLAG</t>
        </is>
      </c>
      <c r="B514" t="inlineStr">
        <is>
          <t>Kept after losses</t>
        </is>
      </c>
      <c r="C514" t="n">
        <v>772</v>
      </c>
      <c r="D514" t="inlineStr">
        <is>
          <t>FICO 686 - 711</t>
        </is>
      </c>
      <c r="E514" t="inlineStr">
        <is>
          <t>ASSET_CLASS 2</t>
        </is>
      </c>
      <c r="F514" t="inlineStr">
        <is>
          <t>Y</t>
        </is>
      </c>
      <c r="G514" t="n">
        <v>179</v>
      </c>
      <c r="H514" t="n">
        <v>-4.305675599695102</v>
      </c>
      <c r="J514" t="n">
        <v>37</v>
      </c>
      <c r="K514">
        <f>'_pockets'!$AI$772</f>
        <v/>
      </c>
      <c r="L514">
        <f>'_pockets'!$AJ$772</f>
        <v/>
      </c>
      <c r="M514">
        <f>IF(AND($A514='Pockets'!$D$17,$B514='Pockets'!$C$17,OR('Pockets'!$E$17="All",AND('Pockets'!$E$17="Worse and material",$K514="Yes",$L514="Yes"),AND('Pockets'!$E$17="Worse or not sure",OR($K514="Yes",$K514="Not sure")))),1,0)</f>
        <v/>
      </c>
      <c r="N514">
        <f>$N513+$M514</f>
        <v/>
      </c>
      <c r="O514" t="inlineStr">
        <is>
          <t>three-way</t>
        </is>
      </c>
      <c r="P514" t="inlineStr">
        <is>
          <t>ranr_rate</t>
        </is>
      </c>
    </row>
    <row r="515">
      <c r="A515" t="inlineStr">
        <is>
          <t>Split by SYS_FLAG</t>
        </is>
      </c>
      <c r="B515" t="inlineStr">
        <is>
          <t>Kept after losses</t>
        </is>
      </c>
      <c r="C515" t="n">
        <v>847</v>
      </c>
      <c r="D515" t="inlineStr">
        <is>
          <t>ORIG_BAL 26,324 - 37,950</t>
        </is>
      </c>
      <c r="E515" t="inlineStr">
        <is>
          <t>Broker</t>
        </is>
      </c>
      <c r="F515" t="inlineStr">
        <is>
          <t>Y</t>
        </is>
      </c>
      <c r="G515" t="n">
        <v>248</v>
      </c>
      <c r="H515" t="n">
        <v>-3.674231270764568</v>
      </c>
      <c r="J515" t="n">
        <v>38</v>
      </c>
      <c r="K515">
        <f>'_pockets'!$AI$847</f>
        <v/>
      </c>
      <c r="L515">
        <f>'_pockets'!$AJ$847</f>
        <v/>
      </c>
      <c r="M515">
        <f>IF(AND($A515='Pockets'!$D$17,$B515='Pockets'!$C$17,OR('Pockets'!$E$17="All",AND('Pockets'!$E$17="Worse and material",$K515="Yes",$L515="Yes"),AND('Pockets'!$E$17="Worse or not sure",OR($K515="Yes",$K515="Not sure")))),1,0)</f>
        <v/>
      </c>
      <c r="N515">
        <f>$N514+$M515</f>
        <v/>
      </c>
      <c r="O515" t="inlineStr">
        <is>
          <t>three-way</t>
        </is>
      </c>
      <c r="P515" t="inlineStr">
        <is>
          <t>ranr_rate</t>
        </is>
      </c>
    </row>
    <row r="516">
      <c r="A516" t="inlineStr">
        <is>
          <t>Split by SYS_FLAG</t>
        </is>
      </c>
      <c r="B516" t="inlineStr">
        <is>
          <t>Kept after losses</t>
        </is>
      </c>
      <c r="C516" t="n">
        <v>557</v>
      </c>
      <c r="D516" t="inlineStr">
        <is>
          <t>FICO 686 - 711</t>
        </is>
      </c>
      <c r="E516" t="inlineStr">
        <is>
          <t>Branch</t>
        </is>
      </c>
      <c r="F516" t="inlineStr">
        <is>
          <t>Y</t>
        </is>
      </c>
      <c r="G516" t="n">
        <v>235</v>
      </c>
      <c r="H516" t="n">
        <v>-3.771329718567285</v>
      </c>
      <c r="J516" t="n">
        <v>39</v>
      </c>
      <c r="K516">
        <f>'_pockets'!$AI$557</f>
        <v/>
      </c>
      <c r="L516">
        <f>'_pockets'!$AJ$557</f>
        <v/>
      </c>
      <c r="M516">
        <f>IF(AND($A516='Pockets'!$D$17,$B516='Pockets'!$C$17,OR('Pockets'!$E$17="All",AND('Pockets'!$E$17="Worse and material",$K516="Yes",$L516="Yes"),AND('Pockets'!$E$17="Worse or not sure",OR($K516="Yes",$K516="Not sure")))),1,0)</f>
        <v/>
      </c>
      <c r="N516">
        <f>$N515+$M516</f>
        <v/>
      </c>
      <c r="O516" t="inlineStr">
        <is>
          <t>three-way</t>
        </is>
      </c>
      <c r="P516" t="inlineStr">
        <is>
          <t>ranr_rate</t>
        </is>
      </c>
    </row>
    <row r="517">
      <c r="A517" t="inlineStr">
        <is>
          <t>Split by SYS_FLAG</t>
        </is>
      </c>
      <c r="B517" t="inlineStr">
        <is>
          <t>Kept after losses</t>
        </is>
      </c>
      <c r="C517" t="n">
        <v>1092</v>
      </c>
      <c r="D517" t="inlineStr">
        <is>
          <t>ORIG_BAL 49,152 - 59,984</t>
        </is>
      </c>
      <c r="E517" t="inlineStr">
        <is>
          <t>ASSET_CLASS 3</t>
        </is>
      </c>
      <c r="F517" t="inlineStr">
        <is>
          <t>Y</t>
        </is>
      </c>
      <c r="G517" t="n">
        <v>179</v>
      </c>
      <c r="H517" t="n">
        <v>-4.305675599695102</v>
      </c>
      <c r="J517" t="n">
        <v>40</v>
      </c>
      <c r="K517">
        <f>'_pockets'!$AI$1092</f>
        <v/>
      </c>
      <c r="L517">
        <f>'_pockets'!$AJ$1092</f>
        <v/>
      </c>
      <c r="M517">
        <f>IF(AND($A517='Pockets'!$D$17,$B517='Pockets'!$C$17,OR('Pockets'!$E$17="All",AND('Pockets'!$E$17="Worse and material",$K517="Yes",$L517="Yes"),AND('Pockets'!$E$17="Worse or not sure",OR($K517="Yes",$K517="Not sure")))),1,0)</f>
        <v/>
      </c>
      <c r="N517">
        <f>$N516+$M517</f>
        <v/>
      </c>
      <c r="O517" t="inlineStr">
        <is>
          <t>three-way</t>
        </is>
      </c>
      <c r="P517" t="inlineStr">
        <is>
          <t>ranr_rate</t>
        </is>
      </c>
    </row>
    <row r="518">
      <c r="A518" t="inlineStr">
        <is>
          <t>Split by SYS_FLAG</t>
        </is>
      </c>
      <c r="B518" t="inlineStr">
        <is>
          <t>Kept after losses</t>
        </is>
      </c>
      <c r="C518" t="n">
        <v>692</v>
      </c>
      <c r="D518" t="inlineStr">
        <is>
          <t>FICO 496 - 653</t>
        </is>
      </c>
      <c r="E518" t="inlineStr">
        <is>
          <t>ASSET_CLASS 3</t>
        </is>
      </c>
      <c r="F518" t="inlineStr">
        <is>
          <t>Y</t>
        </is>
      </c>
      <c r="G518" t="n">
        <v>166</v>
      </c>
      <c r="H518" t="n">
        <v>-4.467382006264032</v>
      </c>
      <c r="J518" t="n">
        <v>41</v>
      </c>
      <c r="K518">
        <f>'_pockets'!$AI$692</f>
        <v/>
      </c>
      <c r="L518">
        <f>'_pockets'!$AJ$692</f>
        <v/>
      </c>
      <c r="M518">
        <f>IF(AND($A518='Pockets'!$D$17,$B518='Pockets'!$C$17,OR('Pockets'!$E$17="All",AND('Pockets'!$E$17="Worse and material",$K518="Yes",$L518="Yes"),AND('Pockets'!$E$17="Worse or not sure",OR($K518="Yes",$K518="Not sure")))),1,0)</f>
        <v/>
      </c>
      <c r="N518">
        <f>$N517+$M518</f>
        <v/>
      </c>
      <c r="O518" t="inlineStr">
        <is>
          <t>three-way</t>
        </is>
      </c>
      <c r="P518" t="inlineStr">
        <is>
          <t>ranr_rate</t>
        </is>
      </c>
    </row>
    <row r="519">
      <c r="A519" t="inlineStr">
        <is>
          <t>Split by SYS_FLAG</t>
        </is>
      </c>
      <c r="B519" t="inlineStr">
        <is>
          <t>Kept after losses</t>
        </is>
      </c>
      <c r="C519" t="n">
        <v>1147</v>
      </c>
      <c r="D519" t="inlineStr">
        <is>
          <t>ORIG_BAL 15,449 - 26,323</t>
        </is>
      </c>
      <c r="E519" t="inlineStr">
        <is>
          <t>ASSET_CLASS 3</t>
        </is>
      </c>
      <c r="F519" t="inlineStr">
        <is>
          <t>Y</t>
        </is>
      </c>
      <c r="G519" t="n">
        <v>193</v>
      </c>
      <c r="H519" t="n">
        <v>-4.15028833715379</v>
      </c>
      <c r="J519" t="n">
        <v>42</v>
      </c>
      <c r="K519">
        <f>'_pockets'!$AI$1147</f>
        <v/>
      </c>
      <c r="L519">
        <f>'_pockets'!$AJ$1147</f>
        <v/>
      </c>
      <c r="M519">
        <f>IF(AND($A519='Pockets'!$D$17,$B519='Pockets'!$C$17,OR('Pockets'!$E$17="All",AND('Pockets'!$E$17="Worse and material",$K519="Yes",$L519="Yes"),AND('Pockets'!$E$17="Worse or not sure",OR($K519="Yes",$K519="Not sure")))),1,0)</f>
        <v/>
      </c>
      <c r="N519">
        <f>$N518+$M519</f>
        <v/>
      </c>
      <c r="O519" t="inlineStr">
        <is>
          <t>three-way</t>
        </is>
      </c>
      <c r="P519" t="inlineStr">
        <is>
          <t>ranr_rate</t>
        </is>
      </c>
    </row>
    <row r="520">
      <c r="A520" t="inlineStr">
        <is>
          <t>Split by SYS_FLAG</t>
        </is>
      </c>
      <c r="B520" t="inlineStr">
        <is>
          <t>Kept after losses</t>
        </is>
      </c>
      <c r="C520" t="n">
        <v>652</v>
      </c>
      <c r="D520" t="inlineStr">
        <is>
          <t>FICO 496 - 653</t>
        </is>
      </c>
      <c r="E520" t="inlineStr">
        <is>
          <t>ASSET_CLASS 4</t>
        </is>
      </c>
      <c r="F520" t="inlineStr">
        <is>
          <t>N</t>
        </is>
      </c>
      <c r="G520" t="n">
        <v>203</v>
      </c>
      <c r="H520" t="n">
        <v>-4.049368160317101</v>
      </c>
      <c r="J520" t="n">
        <v>43</v>
      </c>
      <c r="K520">
        <f>'_pockets'!$AI$652</f>
        <v/>
      </c>
      <c r="L520">
        <f>'_pockets'!$AJ$652</f>
        <v/>
      </c>
      <c r="M520">
        <f>IF(AND($A520='Pockets'!$D$17,$B520='Pockets'!$C$17,OR('Pockets'!$E$17="All",AND('Pockets'!$E$17="Worse and material",$K520="Yes",$L520="Yes"),AND('Pockets'!$E$17="Worse or not sure",OR($K520="Yes",$K520="Not sure")))),1,0)</f>
        <v/>
      </c>
      <c r="N520">
        <f>$N519+$M520</f>
        <v/>
      </c>
      <c r="O520" t="inlineStr">
        <is>
          <t>three-way</t>
        </is>
      </c>
      <c r="P520" t="inlineStr">
        <is>
          <t>ranr_rate</t>
        </is>
      </c>
    </row>
    <row r="521">
      <c r="A521" t="inlineStr">
        <is>
          <t>Split by SYS_FLAG</t>
        </is>
      </c>
      <c r="B521" t="inlineStr">
        <is>
          <t>Kept after losses</t>
        </is>
      </c>
      <c r="C521" t="n">
        <v>717</v>
      </c>
      <c r="D521" t="inlineStr">
        <is>
          <t>FICO 654 - 685</t>
        </is>
      </c>
      <c r="E521" t="inlineStr">
        <is>
          <t>ASSET_CLASS 2</t>
        </is>
      </c>
      <c r="F521" t="inlineStr">
        <is>
          <t>Y</t>
        </is>
      </c>
      <c r="G521" t="n">
        <v>163</v>
      </c>
      <c r="H521" t="n">
        <v>-4.507442362754577</v>
      </c>
      <c r="J521" t="n">
        <v>44</v>
      </c>
      <c r="K521">
        <f>'_pockets'!$AI$717</f>
        <v/>
      </c>
      <c r="L521">
        <f>'_pockets'!$AJ$717</f>
        <v/>
      </c>
      <c r="M521">
        <f>IF(AND($A521='Pockets'!$D$17,$B521='Pockets'!$C$17,OR('Pockets'!$E$17="All",AND('Pockets'!$E$17="Worse and material",$K521="Yes",$L521="Yes"),AND('Pockets'!$E$17="Worse or not sure",OR($K521="Yes",$K521="Not sure")))),1,0)</f>
        <v/>
      </c>
      <c r="N521">
        <f>$N520+$M521</f>
        <v/>
      </c>
      <c r="O521" t="inlineStr">
        <is>
          <t>three-way</t>
        </is>
      </c>
      <c r="P521" t="inlineStr">
        <is>
          <t>ranr_rate</t>
        </is>
      </c>
    </row>
    <row r="522">
      <c r="A522" t="inlineStr">
        <is>
          <t>Split by SYS_FLAG</t>
        </is>
      </c>
      <c r="B522" t="inlineStr">
        <is>
          <t>Kept after losses</t>
        </is>
      </c>
      <c r="C522" t="n">
        <v>1137</v>
      </c>
      <c r="D522" t="inlineStr">
        <is>
          <t>ORIG_BAL 15,449 - 26,323</t>
        </is>
      </c>
      <c r="E522" t="inlineStr">
        <is>
          <t>ASSET_CLASS 1</t>
        </is>
      </c>
      <c r="F522" t="inlineStr">
        <is>
          <t>Y</t>
        </is>
      </c>
      <c r="G522" t="n">
        <v>180</v>
      </c>
      <c r="H522" t="n">
        <v>-4.293973291489264</v>
      </c>
      <c r="J522" t="n">
        <v>45</v>
      </c>
      <c r="K522">
        <f>'_pockets'!$AI$1137</f>
        <v/>
      </c>
      <c r="L522">
        <f>'_pockets'!$AJ$1137</f>
        <v/>
      </c>
      <c r="M522">
        <f>IF(AND($A522='Pockets'!$D$17,$B522='Pockets'!$C$17,OR('Pockets'!$E$17="All",AND('Pockets'!$E$17="Worse and material",$K522="Yes",$L522="Yes"),AND('Pockets'!$E$17="Worse or not sure",OR($K522="Yes",$K522="Not sure")))),1,0)</f>
        <v/>
      </c>
      <c r="N522">
        <f>$N521+$M522</f>
        <v/>
      </c>
      <c r="O522" t="inlineStr">
        <is>
          <t>three-way</t>
        </is>
      </c>
      <c r="P522" t="inlineStr">
        <is>
          <t>ranr_rate</t>
        </is>
      </c>
    </row>
    <row r="523">
      <c r="A523" t="inlineStr">
        <is>
          <t>Split by SYS_FLAG</t>
        </is>
      </c>
      <c r="B523" t="inlineStr">
        <is>
          <t>Kept after losses</t>
        </is>
      </c>
      <c r="C523" t="n">
        <v>552</v>
      </c>
      <c r="D523" t="inlineStr">
        <is>
          <t>FICO 746 - 921</t>
        </is>
      </c>
      <c r="E523" t="inlineStr">
        <is>
          <t>Broker</t>
        </is>
      </c>
      <c r="F523" t="inlineStr">
        <is>
          <t>Y</t>
        </is>
      </c>
      <c r="G523" t="n">
        <v>237</v>
      </c>
      <c r="H523" t="n">
        <v>-3.755867006548794</v>
      </c>
      <c r="J523" t="n">
        <v>46</v>
      </c>
      <c r="K523">
        <f>'_pockets'!$AI$552</f>
        <v/>
      </c>
      <c r="L523">
        <f>'_pockets'!$AJ$552</f>
        <v/>
      </c>
      <c r="M523">
        <f>IF(AND($A523='Pockets'!$D$17,$B523='Pockets'!$C$17,OR('Pockets'!$E$17="All",AND('Pockets'!$E$17="Worse and material",$K523="Yes",$L523="Yes"),AND('Pockets'!$E$17="Worse or not sure",OR($K523="Yes",$K523="Not sure")))),1,0)</f>
        <v/>
      </c>
      <c r="N523">
        <f>$N522+$M523</f>
        <v/>
      </c>
      <c r="O523" t="inlineStr">
        <is>
          <t>three-way</t>
        </is>
      </c>
      <c r="P523" t="inlineStr">
        <is>
          <t>ranr_rate</t>
        </is>
      </c>
    </row>
    <row r="524">
      <c r="A524" t="inlineStr">
        <is>
          <t>Split by SYS_FLAG</t>
        </is>
      </c>
      <c r="B524" t="inlineStr">
        <is>
          <t>Kept after losses</t>
        </is>
      </c>
      <c r="C524" t="n">
        <v>482</v>
      </c>
      <c r="D524" t="inlineStr">
        <is>
          <t>FICO 746 - 921</t>
        </is>
      </c>
      <c r="E524" t="inlineStr">
        <is>
          <t>Online</t>
        </is>
      </c>
      <c r="F524" t="inlineStr">
        <is>
          <t>Y</t>
        </is>
      </c>
      <c r="G524" t="n">
        <v>225</v>
      </c>
      <c r="H524" t="n">
        <v>-3.851746270336815</v>
      </c>
      <c r="J524" t="n">
        <v>47</v>
      </c>
      <c r="K524">
        <f>'_pockets'!$AI$482</f>
        <v/>
      </c>
      <c r="L524">
        <f>'_pockets'!$AJ$482</f>
        <v/>
      </c>
      <c r="M524">
        <f>IF(AND($A524='Pockets'!$D$17,$B524='Pockets'!$C$17,OR('Pockets'!$E$17="All",AND('Pockets'!$E$17="Worse and material",$K524="Yes",$L524="Yes"),AND('Pockets'!$E$17="Worse or not sure",OR($K524="Yes",$K524="Not sure")))),1,0)</f>
        <v/>
      </c>
      <c r="N524">
        <f>$N523+$M524</f>
        <v/>
      </c>
      <c r="O524" t="inlineStr">
        <is>
          <t>three-way</t>
        </is>
      </c>
      <c r="P524" t="inlineStr">
        <is>
          <t>ranr_rate</t>
        </is>
      </c>
    </row>
    <row r="525">
      <c r="A525" t="inlineStr">
        <is>
          <t>Split by SYS_FLAG</t>
        </is>
      </c>
      <c r="B525" t="inlineStr">
        <is>
          <t>Kept after losses</t>
        </is>
      </c>
      <c r="C525" t="n">
        <v>1112</v>
      </c>
      <c r="D525" t="inlineStr">
        <is>
          <t>ORIG_BAL 5,005 - 15,448</t>
        </is>
      </c>
      <c r="E525" t="inlineStr">
        <is>
          <t>ASSET_CLASS 2</t>
        </is>
      </c>
      <c r="F525" t="inlineStr">
        <is>
          <t>Y</t>
        </is>
      </c>
      <c r="G525" t="n">
        <v>160</v>
      </c>
      <c r="H525" t="n">
        <v>-4.5486327544254</v>
      </c>
      <c r="J525" t="n">
        <v>48</v>
      </c>
      <c r="K525">
        <f>'_pockets'!$AI$1112</f>
        <v/>
      </c>
      <c r="L525">
        <f>'_pockets'!$AJ$1112</f>
        <v/>
      </c>
      <c r="M525">
        <f>IF(AND($A525='Pockets'!$D$17,$B525='Pockets'!$C$17,OR('Pockets'!$E$17="All",AND('Pockets'!$E$17="Worse and material",$K525="Yes",$L525="Yes"),AND('Pockets'!$E$17="Worse or not sure",OR($K525="Yes",$K525="Not sure")))),1,0)</f>
        <v/>
      </c>
      <c r="N525">
        <f>$N524+$M525</f>
        <v/>
      </c>
      <c r="O525" t="inlineStr">
        <is>
          <t>three-way</t>
        </is>
      </c>
      <c r="P525" t="inlineStr">
        <is>
          <t>ranr_rate</t>
        </is>
      </c>
    </row>
    <row r="526">
      <c r="A526" t="inlineStr">
        <is>
          <t>Split by SYS_FLAG</t>
        </is>
      </c>
      <c r="B526" t="inlineStr">
        <is>
          <t>Kept after losses</t>
        </is>
      </c>
      <c r="C526" t="n">
        <v>892</v>
      </c>
      <c r="D526" t="inlineStr">
        <is>
          <t>ORIG_BAL 5,005 - 15,448</t>
        </is>
      </c>
      <c r="E526" t="inlineStr">
        <is>
          <t>Broker</t>
        </is>
      </c>
      <c r="F526" t="inlineStr">
        <is>
          <t>Y</t>
        </is>
      </c>
      <c r="G526" t="n">
        <v>237</v>
      </c>
      <c r="H526" t="n">
        <v>-3.755867006548794</v>
      </c>
      <c r="J526" t="n">
        <v>49</v>
      </c>
      <c r="K526">
        <f>'_pockets'!$AI$892</f>
        <v/>
      </c>
      <c r="L526">
        <f>'_pockets'!$AJ$892</f>
        <v/>
      </c>
      <c r="M526">
        <f>IF(AND($A526='Pockets'!$D$17,$B526='Pockets'!$C$17,OR('Pockets'!$E$17="All",AND('Pockets'!$E$17="Worse and material",$K526="Yes",$L526="Yes"),AND('Pockets'!$E$17="Worse or not sure",OR($K526="Yes",$K526="Not sure")))),1,0)</f>
        <v/>
      </c>
      <c r="N526">
        <f>$N525+$M526</f>
        <v/>
      </c>
      <c r="O526" t="inlineStr">
        <is>
          <t>three-way</t>
        </is>
      </c>
      <c r="P526" t="inlineStr">
        <is>
          <t>ranr_rate</t>
        </is>
      </c>
    </row>
    <row r="527">
      <c r="A527" t="inlineStr">
        <is>
          <t>Split by SYS_FLAG</t>
        </is>
      </c>
      <c r="B527" t="inlineStr">
        <is>
          <t>Kept after losses</t>
        </is>
      </c>
      <c r="C527" t="n">
        <v>737</v>
      </c>
      <c r="D527" t="inlineStr">
        <is>
          <t>FICO (marked missing)</t>
        </is>
      </c>
      <c r="E527" t="inlineStr">
        <is>
          <t>ASSET_CLASS 3</t>
        </is>
      </c>
      <c r="F527" t="inlineStr">
        <is>
          <t>Y</t>
        </is>
      </c>
      <c r="G527" t="n">
        <v>22</v>
      </c>
      <c r="H527" t="n">
        <v>-12.16018162082152</v>
      </c>
      <c r="J527" t="n">
        <v>50</v>
      </c>
      <c r="K527">
        <f>'_pockets'!$AI$737</f>
        <v/>
      </c>
      <c r="L527">
        <f>'_pockets'!$AJ$737</f>
        <v/>
      </c>
      <c r="M527">
        <f>IF(AND($A527='Pockets'!$D$17,$B527='Pockets'!$C$17,OR('Pockets'!$E$17="All",AND('Pockets'!$E$17="Worse and material",$K527="Yes",$L527="Yes"),AND('Pockets'!$E$17="Worse or not sure",OR($K527="Yes",$K527="Not sure")))),1,0)</f>
        <v/>
      </c>
      <c r="N527">
        <f>$N526+$M527</f>
        <v/>
      </c>
      <c r="O527" t="inlineStr">
        <is>
          <t>three-way</t>
        </is>
      </c>
      <c r="P527" t="inlineStr">
        <is>
          <t>ranr_rate</t>
        </is>
      </c>
    </row>
    <row r="528">
      <c r="A528" t="inlineStr">
        <is>
          <t>Split by SYS_FLAG</t>
        </is>
      </c>
      <c r="B528" t="inlineStr">
        <is>
          <t>Kept after losses</t>
        </is>
      </c>
      <c r="C528" t="n">
        <v>592</v>
      </c>
      <c r="D528" t="inlineStr">
        <is>
          <t>FICO (marked missing)</t>
        </is>
      </c>
      <c r="E528" t="inlineStr">
        <is>
          <t>Broker</t>
        </is>
      </c>
      <c r="F528" t="inlineStr">
        <is>
          <t>Y</t>
        </is>
      </c>
      <c r="G528" t="n">
        <v>25</v>
      </c>
      <c r="H528" t="n">
        <v>-11.40940713703047</v>
      </c>
      <c r="J528" t="n">
        <v>51</v>
      </c>
      <c r="K528">
        <f>'_pockets'!$AI$592</f>
        <v/>
      </c>
      <c r="L528">
        <f>'_pockets'!$AJ$592</f>
        <v/>
      </c>
      <c r="M528">
        <f>IF(AND($A528='Pockets'!$D$17,$B528='Pockets'!$C$17,OR('Pockets'!$E$17="All",AND('Pockets'!$E$17="Worse and material",$K528="Yes",$L528="Yes"),AND('Pockets'!$E$17="Worse or not sure",OR($K528="Yes",$K528="Not sure")))),1,0)</f>
        <v/>
      </c>
      <c r="N528">
        <f>$N527+$M528</f>
        <v/>
      </c>
      <c r="O528" t="inlineStr">
        <is>
          <t>three-way</t>
        </is>
      </c>
      <c r="P528" t="inlineStr">
        <is>
          <t>ranr_rate</t>
        </is>
      </c>
    </row>
    <row r="529">
      <c r="A529" t="inlineStr">
        <is>
          <t>Split by SYS_FLAG</t>
        </is>
      </c>
      <c r="B529" t="inlineStr">
        <is>
          <t>Kept after losses</t>
        </is>
      </c>
      <c r="C529" t="n">
        <v>1002</v>
      </c>
      <c r="D529" t="inlineStr">
        <is>
          <t>ORIG_BAL 26,324 - 37,950</t>
        </is>
      </c>
      <c r="E529" t="inlineStr">
        <is>
          <t>ASSET_CLASS 2</t>
        </is>
      </c>
      <c r="F529" t="inlineStr">
        <is>
          <t>Y</t>
        </is>
      </c>
      <c r="G529" t="n">
        <v>179</v>
      </c>
      <c r="H529" t="n">
        <v>-4.305675599695102</v>
      </c>
      <c r="J529" t="n">
        <v>52</v>
      </c>
      <c r="K529">
        <f>'_pockets'!$AI$1002</f>
        <v/>
      </c>
      <c r="L529">
        <f>'_pockets'!$AJ$1002</f>
        <v/>
      </c>
      <c r="M529">
        <f>IF(AND($A529='Pockets'!$D$17,$B529='Pockets'!$C$17,OR('Pockets'!$E$17="All",AND('Pockets'!$E$17="Worse and material",$K529="Yes",$L529="Yes"),AND('Pockets'!$E$17="Worse or not sure",OR($K529="Yes",$K529="Not sure")))),1,0)</f>
        <v/>
      </c>
      <c r="N529">
        <f>$N528+$M529</f>
        <v/>
      </c>
      <c r="O529" t="inlineStr">
        <is>
          <t>three-way</t>
        </is>
      </c>
      <c r="P529" t="inlineStr">
        <is>
          <t>ranr_rate</t>
        </is>
      </c>
    </row>
    <row r="530">
      <c r="A530" t="inlineStr">
        <is>
          <t>Split by SYS_FLAG</t>
        </is>
      </c>
      <c r="B530" t="inlineStr">
        <is>
          <t>Kept after losses</t>
        </is>
      </c>
      <c r="C530" t="n">
        <v>437</v>
      </c>
      <c r="D530" t="inlineStr">
        <is>
          <t>FICO 746 - 921</t>
        </is>
      </c>
      <c r="E530" t="inlineStr">
        <is>
          <t>Branch</t>
        </is>
      </c>
      <c r="F530" t="inlineStr">
        <is>
          <t>Y</t>
        </is>
      </c>
      <c r="G530" t="n">
        <v>239</v>
      </c>
      <c r="H530" t="n">
        <v>-3.74060101019733</v>
      </c>
      <c r="J530" t="n">
        <v>53</v>
      </c>
      <c r="K530">
        <f>'_pockets'!$AI$437</f>
        <v/>
      </c>
      <c r="L530">
        <f>'_pockets'!$AJ$437</f>
        <v/>
      </c>
      <c r="M530">
        <f>IF(AND($A530='Pockets'!$D$17,$B530='Pockets'!$C$17,OR('Pockets'!$E$17="All",AND('Pockets'!$E$17="Worse and material",$K530="Yes",$L530="Yes"),AND('Pockets'!$E$17="Worse or not sure",OR($K530="Yes",$K530="Not sure")))),1,0)</f>
        <v/>
      </c>
      <c r="N530">
        <f>$N529+$M530</f>
        <v/>
      </c>
      <c r="O530" t="inlineStr">
        <is>
          <t>three-way</t>
        </is>
      </c>
      <c r="P530" t="inlineStr">
        <is>
          <t>ranr_rate</t>
        </is>
      </c>
    </row>
    <row r="531">
      <c r="A531" t="inlineStr">
        <is>
          <t>Split by SYS_FLAG</t>
        </is>
      </c>
      <c r="B531" t="inlineStr">
        <is>
          <t>Kept after losses</t>
        </is>
      </c>
      <c r="C531" t="n">
        <v>967</v>
      </c>
      <c r="D531" t="inlineStr">
        <is>
          <t>ORIG_BAL 5,005 - 15,448</t>
        </is>
      </c>
      <c r="E531" t="inlineStr">
        <is>
          <t>Branch</t>
        </is>
      </c>
      <c r="F531" t="inlineStr">
        <is>
          <t>Y</t>
        </is>
      </c>
      <c r="G531" t="n">
        <v>241</v>
      </c>
      <c r="H531" t="n">
        <v>-3.725527632982031</v>
      </c>
      <c r="J531" t="n">
        <v>54</v>
      </c>
      <c r="K531">
        <f>'_pockets'!$AI$967</f>
        <v/>
      </c>
      <c r="L531">
        <f>'_pockets'!$AJ$967</f>
        <v/>
      </c>
      <c r="M531">
        <f>IF(AND($A531='Pockets'!$D$17,$B531='Pockets'!$C$17,OR('Pockets'!$E$17="All",AND('Pockets'!$E$17="Worse and material",$K531="Yes",$L531="Yes"),AND('Pockets'!$E$17="Worse or not sure",OR($K531="Yes",$K531="Not sure")))),1,0)</f>
        <v/>
      </c>
      <c r="N531">
        <f>$N530+$M531</f>
        <v/>
      </c>
      <c r="O531" t="inlineStr">
        <is>
          <t>three-way</t>
        </is>
      </c>
      <c r="P531" t="inlineStr">
        <is>
          <t>ranr_rate</t>
        </is>
      </c>
    </row>
    <row r="532">
      <c r="A532" t="inlineStr">
        <is>
          <t>Split by SYS_FLAG</t>
        </is>
      </c>
      <c r="B532" t="inlineStr">
        <is>
          <t>Kept after losses</t>
        </is>
      </c>
      <c r="C532" t="n">
        <v>837</v>
      </c>
      <c r="D532" t="inlineStr">
        <is>
          <t>FICO (marked missing)</t>
        </is>
      </c>
      <c r="E532" t="inlineStr">
        <is>
          <t>ASSET_CLASS 2</t>
        </is>
      </c>
      <c r="F532" t="inlineStr">
        <is>
          <t>Y</t>
        </is>
      </c>
      <c r="G532" t="n">
        <v>18</v>
      </c>
      <c r="H532" t="n">
        <v>-13.44021728627589</v>
      </c>
      <c r="J532" t="n">
        <v>55</v>
      </c>
      <c r="K532">
        <f>'_pockets'!$AI$837</f>
        <v/>
      </c>
      <c r="L532">
        <f>'_pockets'!$AJ$837</f>
        <v/>
      </c>
      <c r="M532">
        <f>IF(AND($A532='Pockets'!$D$17,$B532='Pockets'!$C$17,OR('Pockets'!$E$17="All",AND('Pockets'!$E$17="Worse and material",$K532="Yes",$L532="Yes"),AND('Pockets'!$E$17="Worse or not sure",OR($K532="Yes",$K532="Not sure")))),1,0)</f>
        <v/>
      </c>
      <c r="N532">
        <f>$N531+$M532</f>
        <v/>
      </c>
      <c r="O532" t="inlineStr">
        <is>
          <t>three-way</t>
        </is>
      </c>
      <c r="P532" t="inlineStr">
        <is>
          <t>ranr_rate</t>
        </is>
      </c>
    </row>
    <row r="533">
      <c r="A533" t="inlineStr">
        <is>
          <t>Split by SYS_FLAG</t>
        </is>
      </c>
      <c r="B533" t="inlineStr">
        <is>
          <t>Kept after losses</t>
        </is>
      </c>
      <c r="C533" t="n">
        <v>727</v>
      </c>
      <c r="D533" t="inlineStr">
        <is>
          <t>FICO 746 - 921</t>
        </is>
      </c>
      <c r="E533" t="inlineStr">
        <is>
          <t>ASSET_CLASS 1</t>
        </is>
      </c>
      <c r="F533" t="inlineStr">
        <is>
          <t>Y</t>
        </is>
      </c>
      <c r="G533" t="n">
        <v>183</v>
      </c>
      <c r="H533" t="n">
        <v>-4.259448559186338</v>
      </c>
      <c r="J533" t="n">
        <v>56</v>
      </c>
      <c r="K533">
        <f>'_pockets'!$AI$727</f>
        <v/>
      </c>
      <c r="L533">
        <f>'_pockets'!$AJ$727</f>
        <v/>
      </c>
      <c r="M533">
        <f>IF(AND($A533='Pockets'!$D$17,$B533='Pockets'!$C$17,OR('Pockets'!$E$17="All",AND('Pockets'!$E$17="Worse and material",$K533="Yes",$L533="Yes"),AND('Pockets'!$E$17="Worse or not sure",OR($K533="Yes",$K533="Not sure")))),1,0)</f>
        <v/>
      </c>
      <c r="N533">
        <f>$N532+$M533</f>
        <v/>
      </c>
      <c r="O533" t="inlineStr">
        <is>
          <t>three-way</t>
        </is>
      </c>
      <c r="P533" t="inlineStr">
        <is>
          <t>ranr_rate</t>
        </is>
      </c>
    </row>
    <row r="534">
      <c r="A534" t="inlineStr">
        <is>
          <t>Split by SYS_FLAG</t>
        </is>
      </c>
      <c r="B534" t="inlineStr">
        <is>
          <t>Kept after losses</t>
        </is>
      </c>
      <c r="C534" t="n">
        <v>712</v>
      </c>
      <c r="D534" t="inlineStr">
        <is>
          <t>FICO 712 - 745</t>
        </is>
      </c>
      <c r="E534" t="inlineStr">
        <is>
          <t>ASSET_CLASS 2</t>
        </is>
      </c>
      <c r="F534" t="inlineStr">
        <is>
          <t>N</t>
        </is>
      </c>
      <c r="G534" t="n">
        <v>247</v>
      </c>
      <c r="H534" t="n">
        <v>-3.681424000112374</v>
      </c>
      <c r="J534" t="n">
        <v>57</v>
      </c>
      <c r="K534">
        <f>'_pockets'!$AI$712</f>
        <v/>
      </c>
      <c r="L534">
        <f>'_pockets'!$AJ$712</f>
        <v/>
      </c>
      <c r="M534">
        <f>IF(AND($A534='Pockets'!$D$17,$B534='Pockets'!$C$17,OR('Pockets'!$E$17="All",AND('Pockets'!$E$17="Worse and material",$K534="Yes",$L534="Yes"),AND('Pockets'!$E$17="Worse or not sure",OR($K534="Yes",$K534="Not sure")))),1,0)</f>
        <v/>
      </c>
      <c r="N534">
        <f>$N533+$M534</f>
        <v/>
      </c>
      <c r="O534" t="inlineStr">
        <is>
          <t>three-way</t>
        </is>
      </c>
      <c r="P534" t="inlineStr">
        <is>
          <t>ranr_rate</t>
        </is>
      </c>
    </row>
    <row r="535">
      <c r="A535" t="inlineStr">
        <is>
          <t>Split by SYS_FLAG</t>
        </is>
      </c>
      <c r="B535" t="inlineStr">
        <is>
          <t>Kept after losses</t>
        </is>
      </c>
      <c r="C535" t="n">
        <v>477</v>
      </c>
      <c r="D535" t="inlineStr">
        <is>
          <t>FICO 686 - 711</t>
        </is>
      </c>
      <c r="E535" t="inlineStr">
        <is>
          <t>Online</t>
        </is>
      </c>
      <c r="F535" t="inlineStr">
        <is>
          <t>Y</t>
        </is>
      </c>
      <c r="G535" t="n">
        <v>249</v>
      </c>
      <c r="H535" t="n">
        <v>-3.667082436878989</v>
      </c>
      <c r="J535" t="n">
        <v>58</v>
      </c>
      <c r="K535">
        <f>'_pockets'!$AI$477</f>
        <v/>
      </c>
      <c r="L535">
        <f>'_pockets'!$AJ$477</f>
        <v/>
      </c>
      <c r="M535">
        <f>IF(AND($A535='Pockets'!$D$17,$B535='Pockets'!$C$17,OR('Pockets'!$E$17="All",AND('Pockets'!$E$17="Worse and material",$K535="Yes",$L535="Yes"),AND('Pockets'!$E$17="Worse or not sure",OR($K535="Yes",$K535="Not sure")))),1,0)</f>
        <v/>
      </c>
      <c r="N535">
        <f>$N534+$M535</f>
        <v/>
      </c>
      <c r="O535" t="inlineStr">
        <is>
          <t>three-way</t>
        </is>
      </c>
      <c r="P535" t="inlineStr">
        <is>
          <t>ranr_rate</t>
        </is>
      </c>
    </row>
    <row r="536">
      <c r="A536" t="inlineStr">
        <is>
          <t>Split by SYS_FLAG</t>
        </is>
      </c>
      <c r="B536" t="inlineStr">
        <is>
          <t>Kept after losses</t>
        </is>
      </c>
      <c r="C536" t="n">
        <v>1047</v>
      </c>
      <c r="D536" t="inlineStr">
        <is>
          <t>ORIG_BAL 5,005 - 15,448</t>
        </is>
      </c>
      <c r="E536" t="inlineStr">
        <is>
          <t>ASSET_CLASS 4</t>
        </is>
      </c>
      <c r="F536" t="inlineStr">
        <is>
          <t>Y</t>
        </is>
      </c>
      <c r="G536" t="n">
        <v>196</v>
      </c>
      <c r="H536" t="n">
        <v>-4.119195067510546</v>
      </c>
      <c r="J536" t="n">
        <v>59</v>
      </c>
      <c r="K536">
        <f>'_pockets'!$AI$1047</f>
        <v/>
      </c>
      <c r="L536">
        <f>'_pockets'!$AJ$1047</f>
        <v/>
      </c>
      <c r="M536">
        <f>IF(AND($A536='Pockets'!$D$17,$B536='Pockets'!$C$17,OR('Pockets'!$E$17="All",AND('Pockets'!$E$17="Worse and material",$K536="Yes",$L536="Yes"),AND('Pockets'!$E$17="Worse or not sure",OR($K536="Yes",$K536="Not sure")))),1,0)</f>
        <v/>
      </c>
      <c r="N536">
        <f>$N535+$M536</f>
        <v/>
      </c>
      <c r="O536" t="inlineStr">
        <is>
          <t>three-way</t>
        </is>
      </c>
      <c r="P536" t="inlineStr">
        <is>
          <t>ranr_rate</t>
        </is>
      </c>
    </row>
    <row r="537">
      <c r="A537" t="inlineStr">
        <is>
          <t>Split by SYS_FLAG</t>
        </is>
      </c>
      <c r="B537" t="inlineStr">
        <is>
          <t>Kept after losses</t>
        </is>
      </c>
      <c r="C537" t="n">
        <v>742</v>
      </c>
      <c r="D537" t="inlineStr">
        <is>
          <t>FICO 712 - 745</t>
        </is>
      </c>
      <c r="E537" t="inlineStr">
        <is>
          <t>ASSET_CLASS 3</t>
        </is>
      </c>
      <c r="F537" t="inlineStr">
        <is>
          <t>Y</t>
        </is>
      </c>
      <c r="G537" t="n">
        <v>169</v>
      </c>
      <c r="H537" t="n">
        <v>-4.428401248928057</v>
      </c>
      <c r="J537" t="n">
        <v>60</v>
      </c>
      <c r="K537">
        <f>'_pockets'!$AI$742</f>
        <v/>
      </c>
      <c r="L537">
        <f>'_pockets'!$AJ$742</f>
        <v/>
      </c>
      <c r="M537">
        <f>IF(AND($A537='Pockets'!$D$17,$B537='Pockets'!$C$17,OR('Pockets'!$E$17="All",AND('Pockets'!$E$17="Worse and material",$K537="Yes",$L537="Yes"),AND('Pockets'!$E$17="Worse or not sure",OR($K537="Yes",$K537="Not sure")))),1,0)</f>
        <v/>
      </c>
      <c r="N537">
        <f>$N536+$M537</f>
        <v/>
      </c>
      <c r="O537" t="inlineStr">
        <is>
          <t>three-way</t>
        </is>
      </c>
      <c r="P537" t="inlineStr">
        <is>
          <t>ranr_rate</t>
        </is>
      </c>
    </row>
    <row r="538">
      <c r="A538" t="inlineStr">
        <is>
          <t>Split by SYS_FLAG</t>
        </is>
      </c>
      <c r="B538" t="inlineStr">
        <is>
          <t>Kept after losses</t>
        </is>
      </c>
      <c r="C538" t="n">
        <v>732</v>
      </c>
      <c r="D538" t="inlineStr">
        <is>
          <t>FICO 712 - 745</t>
        </is>
      </c>
      <c r="E538" t="inlineStr">
        <is>
          <t>ASSET_CLASS 1</t>
        </is>
      </c>
      <c r="F538" t="inlineStr">
        <is>
          <t>Y</t>
        </is>
      </c>
      <c r="G538" t="n">
        <v>167</v>
      </c>
      <c r="H538" t="n">
        <v>-4.454270864150215</v>
      </c>
      <c r="J538" t="n">
        <v>61</v>
      </c>
      <c r="K538">
        <f>'_pockets'!$AI$732</f>
        <v/>
      </c>
      <c r="L538">
        <f>'_pockets'!$AJ$732</f>
        <v/>
      </c>
      <c r="M538">
        <f>IF(AND($A538='Pockets'!$D$17,$B538='Pockets'!$C$17,OR('Pockets'!$E$17="All",AND('Pockets'!$E$17="Worse and material",$K538="Yes",$L538="Yes"),AND('Pockets'!$E$17="Worse or not sure",OR($K538="Yes",$K538="Not sure")))),1,0)</f>
        <v/>
      </c>
      <c r="N538">
        <f>$N537+$M538</f>
        <v/>
      </c>
      <c r="O538" t="inlineStr">
        <is>
          <t>three-way</t>
        </is>
      </c>
      <c r="P538" t="inlineStr">
        <is>
          <t>ranr_rate</t>
        </is>
      </c>
    </row>
    <row r="539">
      <c r="A539" t="inlineStr">
        <is>
          <t>Split by SYS_FLAG</t>
        </is>
      </c>
      <c r="B539" t="inlineStr">
        <is>
          <t>Kept after losses</t>
        </is>
      </c>
      <c r="C539" t="n">
        <v>637</v>
      </c>
      <c r="D539" t="inlineStr">
        <is>
          <t>FICO 686 - 711</t>
        </is>
      </c>
      <c r="E539" t="inlineStr">
        <is>
          <t>ASSET_CLASS 1</t>
        </is>
      </c>
      <c r="F539" t="inlineStr">
        <is>
          <t>Y</t>
        </is>
      </c>
      <c r="G539" t="n">
        <v>167</v>
      </c>
      <c r="H539" t="n">
        <v>-4.454270864150215</v>
      </c>
      <c r="J539" t="n">
        <v>62</v>
      </c>
      <c r="K539">
        <f>'_pockets'!$AI$637</f>
        <v/>
      </c>
      <c r="L539">
        <f>'_pockets'!$AJ$637</f>
        <v/>
      </c>
      <c r="M539">
        <f>IF(AND($A539='Pockets'!$D$17,$B539='Pockets'!$C$17,OR('Pockets'!$E$17="All",AND('Pockets'!$E$17="Worse and material",$K539="Yes",$L539="Yes"),AND('Pockets'!$E$17="Worse or not sure",OR($K539="Yes",$K539="Not sure")))),1,0)</f>
        <v/>
      </c>
      <c r="N539">
        <f>$N538+$M539</f>
        <v/>
      </c>
      <c r="O539" t="inlineStr">
        <is>
          <t>three-way</t>
        </is>
      </c>
      <c r="P539" t="inlineStr">
        <is>
          <t>ranr_rate</t>
        </is>
      </c>
    </row>
    <row r="540">
      <c r="A540" t="inlineStr">
        <is>
          <t>Split by SYS_FLAG</t>
        </is>
      </c>
      <c r="B540" t="inlineStr">
        <is>
          <t>Kept after losses</t>
        </is>
      </c>
      <c r="C540" t="n">
        <v>512</v>
      </c>
      <c r="D540" t="inlineStr">
        <is>
          <t>FICO 712 - 745</t>
        </is>
      </c>
      <c r="E540" t="inlineStr">
        <is>
          <t>Online</t>
        </is>
      </c>
      <c r="F540" t="inlineStr">
        <is>
          <t>Y</t>
        </is>
      </c>
      <c r="G540" t="n">
        <v>278</v>
      </c>
      <c r="H540" t="n">
        <v>-3.477058709496619</v>
      </c>
      <c r="J540" t="n">
        <v>63</v>
      </c>
      <c r="K540">
        <f>'_pockets'!$AI$512</f>
        <v/>
      </c>
      <c r="L540">
        <f>'_pockets'!$AJ$512</f>
        <v/>
      </c>
      <c r="M540">
        <f>IF(AND($A540='Pockets'!$D$17,$B540='Pockets'!$C$17,OR('Pockets'!$E$17="All",AND('Pockets'!$E$17="Worse and material",$K540="Yes",$L540="Yes"),AND('Pockets'!$E$17="Worse or not sure",OR($K540="Yes",$K540="Not sure")))),1,0)</f>
        <v/>
      </c>
      <c r="N540">
        <f>$N539+$M540</f>
        <v/>
      </c>
      <c r="O540" t="inlineStr">
        <is>
          <t>three-way</t>
        </is>
      </c>
      <c r="P540" t="inlineStr">
        <is>
          <t>ranr_rate</t>
        </is>
      </c>
    </row>
    <row r="541">
      <c r="A541" t="inlineStr">
        <is>
          <t>Split by SYS_FLAG</t>
        </is>
      </c>
      <c r="B541" t="inlineStr">
        <is>
          <t>Kept after losses</t>
        </is>
      </c>
      <c r="C541" t="n">
        <v>1187</v>
      </c>
      <c r="D541" t="inlineStr">
        <is>
          <t>ORIG_BAL 5,005 - 15,448</t>
        </is>
      </c>
      <c r="E541" t="inlineStr">
        <is>
          <t>ASSET_CLASS 3</t>
        </is>
      </c>
      <c r="F541" t="inlineStr">
        <is>
          <t>Y</t>
        </is>
      </c>
      <c r="G541" t="n">
        <v>184</v>
      </c>
      <c r="H541" t="n">
        <v>-4.248129968750006</v>
      </c>
      <c r="J541" t="n">
        <v>64</v>
      </c>
      <c r="K541">
        <f>'_pockets'!$AI$1187</f>
        <v/>
      </c>
      <c r="L541">
        <f>'_pockets'!$AJ$1187</f>
        <v/>
      </c>
      <c r="M541">
        <f>IF(AND($A541='Pockets'!$D$17,$B541='Pockets'!$C$17,OR('Pockets'!$E$17="All",AND('Pockets'!$E$17="Worse and material",$K541="Yes",$L541="Yes"),AND('Pockets'!$E$17="Worse or not sure",OR($K541="Yes",$K541="Not sure")))),1,0)</f>
        <v/>
      </c>
      <c r="N541">
        <f>$N540+$M541</f>
        <v/>
      </c>
      <c r="O541" t="inlineStr">
        <is>
          <t>three-way</t>
        </is>
      </c>
      <c r="P541" t="inlineStr">
        <is>
          <t>ranr_rate</t>
        </is>
      </c>
    </row>
    <row r="542">
      <c r="A542" t="inlineStr">
        <is>
          <t>Split by SYS_FLAG</t>
        </is>
      </c>
      <c r="B542" t="inlineStr">
        <is>
          <t>Kept after losses</t>
        </is>
      </c>
      <c r="C542" t="n">
        <v>932</v>
      </c>
      <c r="D542" t="inlineStr">
        <is>
          <t>ORIG_BAL 5,005 - 15,448</t>
        </is>
      </c>
      <c r="E542" t="inlineStr">
        <is>
          <t>Online</t>
        </is>
      </c>
      <c r="F542" t="inlineStr">
        <is>
          <t>Y</t>
        </is>
      </c>
      <c r="G542" t="n">
        <v>242</v>
      </c>
      <c r="H542" t="n">
        <v>-3.718061928865932</v>
      </c>
      <c r="J542" t="n">
        <v>65</v>
      </c>
      <c r="K542">
        <f>'_pockets'!$AI$932</f>
        <v/>
      </c>
      <c r="L542">
        <f>'_pockets'!$AJ$932</f>
        <v/>
      </c>
      <c r="M542">
        <f>IF(AND($A542='Pockets'!$D$17,$B542='Pockets'!$C$17,OR('Pockets'!$E$17="All",AND('Pockets'!$E$17="Worse and material",$K542="Yes",$L542="Yes"),AND('Pockets'!$E$17="Worse or not sure",OR($K542="Yes",$K542="Not sure")))),1,0)</f>
        <v/>
      </c>
      <c r="N542">
        <f>$N541+$M542</f>
        <v/>
      </c>
      <c r="O542" t="inlineStr">
        <is>
          <t>three-way</t>
        </is>
      </c>
      <c r="P542" t="inlineStr">
        <is>
          <t>ranr_rate</t>
        </is>
      </c>
    </row>
    <row r="543">
      <c r="A543" t="inlineStr">
        <is>
          <t>Split by SYS_FLAG</t>
        </is>
      </c>
      <c r="B543" t="inlineStr">
        <is>
          <t>Kept after losses</t>
        </is>
      </c>
      <c r="C543" t="n">
        <v>517</v>
      </c>
      <c r="D543" t="inlineStr">
        <is>
          <t>FICO 686 - 711</t>
        </is>
      </c>
      <c r="E543" t="inlineStr">
        <is>
          <t>Broker</t>
        </is>
      </c>
      <c r="F543" t="inlineStr">
        <is>
          <t>N</t>
        </is>
      </c>
      <c r="G543" t="n">
        <v>271</v>
      </c>
      <c r="H543" t="n">
        <v>-3.520083745273923</v>
      </c>
      <c r="J543" t="n">
        <v>66</v>
      </c>
      <c r="K543">
        <f>'_pockets'!$AI$517</f>
        <v/>
      </c>
      <c r="L543">
        <f>'_pockets'!$AJ$517</f>
        <v/>
      </c>
      <c r="M543">
        <f>IF(AND($A543='Pockets'!$D$17,$B543='Pockets'!$C$17,OR('Pockets'!$E$17="All",AND('Pockets'!$E$17="Worse and material",$K543="Yes",$L543="Yes"),AND('Pockets'!$E$17="Worse or not sure",OR($K543="Yes",$K543="Not sure")))),1,0)</f>
        <v/>
      </c>
      <c r="N543">
        <f>$N542+$M543</f>
        <v/>
      </c>
      <c r="O543" t="inlineStr">
        <is>
          <t>three-way</t>
        </is>
      </c>
      <c r="P543" t="inlineStr">
        <is>
          <t>ranr_rate</t>
        </is>
      </c>
    </row>
    <row r="544">
      <c r="A544" t="inlineStr">
        <is>
          <t>Split by SYS_FLAG</t>
        </is>
      </c>
      <c r="B544" t="inlineStr">
        <is>
          <t>Kept after losses</t>
        </is>
      </c>
      <c r="C544" t="n">
        <v>422</v>
      </c>
      <c r="D544" t="inlineStr">
        <is>
          <t>FICO 712 - 745</t>
        </is>
      </c>
      <c r="E544" t="inlineStr">
        <is>
          <t>Branch</t>
        </is>
      </c>
      <c r="F544" t="inlineStr">
        <is>
          <t>N</t>
        </is>
      </c>
      <c r="G544" t="n">
        <v>307</v>
      </c>
      <c r="H544" t="n">
        <v>-3.314991142989085</v>
      </c>
      <c r="J544" t="n">
        <v>67</v>
      </c>
      <c r="K544">
        <f>'_pockets'!$AI$422</f>
        <v/>
      </c>
      <c r="L544">
        <f>'_pockets'!$AJ$422</f>
        <v/>
      </c>
      <c r="M544">
        <f>IF(AND($A544='Pockets'!$D$17,$B544='Pockets'!$C$17,OR('Pockets'!$E$17="All",AND('Pockets'!$E$17="Worse and material",$K544="Yes",$L544="Yes"),AND('Pockets'!$E$17="Worse or not sure",OR($K544="Yes",$K544="Not sure")))),1,0)</f>
        <v/>
      </c>
      <c r="N544">
        <f>$N543+$M544</f>
        <v/>
      </c>
      <c r="O544" t="inlineStr">
        <is>
          <t>three-way</t>
        </is>
      </c>
      <c r="P544" t="inlineStr">
        <is>
          <t>ranr_rate</t>
        </is>
      </c>
    </row>
    <row r="545">
      <c r="A545" t="inlineStr">
        <is>
          <t>Split by SYS_FLAG</t>
        </is>
      </c>
      <c r="B545" t="inlineStr">
        <is>
          <t>Kept after losses</t>
        </is>
      </c>
      <c r="C545" t="n">
        <v>767</v>
      </c>
      <c r="D545" t="inlineStr">
        <is>
          <t>FICO 746 - 921</t>
        </is>
      </c>
      <c r="E545" t="inlineStr">
        <is>
          <t>ASSET_CLASS 3</t>
        </is>
      </c>
      <c r="F545" t="inlineStr">
        <is>
          <t>Y</t>
        </is>
      </c>
      <c r="G545" t="n">
        <v>174</v>
      </c>
      <c r="H545" t="n">
        <v>-4.365705145793554</v>
      </c>
      <c r="J545" t="n">
        <v>68</v>
      </c>
      <c r="K545">
        <f>'_pockets'!$AI$767</f>
        <v/>
      </c>
      <c r="L545">
        <f>'_pockets'!$AJ$767</f>
        <v/>
      </c>
      <c r="M545">
        <f>IF(AND($A545='Pockets'!$D$17,$B545='Pockets'!$C$17,OR('Pockets'!$E$17="All",AND('Pockets'!$E$17="Worse and material",$K545="Yes",$L545="Yes"),AND('Pockets'!$E$17="Worse or not sure",OR($K545="Yes",$K545="Not sure")))),1,0)</f>
        <v/>
      </c>
      <c r="N545">
        <f>$N544+$M545</f>
        <v/>
      </c>
      <c r="O545" t="inlineStr">
        <is>
          <t>three-way</t>
        </is>
      </c>
      <c r="P545" t="inlineStr">
        <is>
          <t>ranr_rate</t>
        </is>
      </c>
    </row>
    <row r="546">
      <c r="A546" t="inlineStr">
        <is>
          <t>Split by SYS_FLAG</t>
        </is>
      </c>
      <c r="B546" t="inlineStr">
        <is>
          <t>Kept after losses</t>
        </is>
      </c>
      <c r="C546" t="n">
        <v>582</v>
      </c>
      <c r="D546" t="inlineStr">
        <is>
          <t>FICO (marked missing)</t>
        </is>
      </c>
      <c r="E546" t="inlineStr">
        <is>
          <t>Branch</t>
        </is>
      </c>
      <c r="F546" t="inlineStr">
        <is>
          <t>Y</t>
        </is>
      </c>
      <c r="G546" t="n">
        <v>22</v>
      </c>
      <c r="H546" t="n">
        <v>-12.16018162082152</v>
      </c>
      <c r="J546" t="n">
        <v>69</v>
      </c>
      <c r="K546">
        <f>'_pockets'!$AI$582</f>
        <v/>
      </c>
      <c r="L546">
        <f>'_pockets'!$AJ$582</f>
        <v/>
      </c>
      <c r="M546">
        <f>IF(AND($A546='Pockets'!$D$17,$B546='Pockets'!$C$17,OR('Pockets'!$E$17="All",AND('Pockets'!$E$17="Worse and material",$K546="Yes",$L546="Yes"),AND('Pockets'!$E$17="Worse or not sure",OR($K546="Yes",$K546="Not sure")))),1,0)</f>
        <v/>
      </c>
      <c r="N546">
        <f>$N545+$M546</f>
        <v/>
      </c>
      <c r="O546" t="inlineStr">
        <is>
          <t>three-way</t>
        </is>
      </c>
      <c r="P546" t="inlineStr">
        <is>
          <t>ranr_rate</t>
        </is>
      </c>
    </row>
    <row r="547">
      <c r="A547" t="inlineStr">
        <is>
          <t>Split by SYS_FLAG</t>
        </is>
      </c>
      <c r="B547" t="inlineStr">
        <is>
          <t>Kept after losses</t>
        </is>
      </c>
      <c r="C547" t="n">
        <v>532</v>
      </c>
      <c r="D547" t="inlineStr">
        <is>
          <t>FICO (marked missing)</t>
        </is>
      </c>
      <c r="E547" t="inlineStr">
        <is>
          <t>Online</t>
        </is>
      </c>
      <c r="F547" t="inlineStr">
        <is>
          <t>Y</t>
        </is>
      </c>
      <c r="G547" t="n">
        <v>25</v>
      </c>
      <c r="H547" t="n">
        <v>-11.40940713703047</v>
      </c>
      <c r="J547" t="n">
        <v>70</v>
      </c>
      <c r="K547">
        <f>'_pockets'!$AI$532</f>
        <v/>
      </c>
      <c r="L547">
        <f>'_pockets'!$AJ$532</f>
        <v/>
      </c>
      <c r="M547">
        <f>IF(AND($A547='Pockets'!$D$17,$B547='Pockets'!$C$17,OR('Pockets'!$E$17="All",AND('Pockets'!$E$17="Worse and material",$K547="Yes",$L547="Yes"),AND('Pockets'!$E$17="Worse or not sure",OR($K547="Yes",$K547="Not sure")))),1,0)</f>
        <v/>
      </c>
      <c r="N547">
        <f>$N546+$M547</f>
        <v/>
      </c>
      <c r="O547" t="inlineStr">
        <is>
          <t>three-way</t>
        </is>
      </c>
      <c r="P547" t="inlineStr">
        <is>
          <t>ranr_rate</t>
        </is>
      </c>
    </row>
    <row r="548">
      <c r="A548" t="inlineStr">
        <is>
          <t>Split by SYS_FLAG</t>
        </is>
      </c>
      <c r="B548" t="inlineStr">
        <is>
          <t>Kept after losses</t>
        </is>
      </c>
      <c r="C548" t="n">
        <v>702</v>
      </c>
      <c r="D548" t="inlineStr">
        <is>
          <t>FICO 654 - 685</t>
        </is>
      </c>
      <c r="E548" t="inlineStr">
        <is>
          <t>ASSET_CLASS 4</t>
        </is>
      </c>
      <c r="F548" t="inlineStr">
        <is>
          <t>N</t>
        </is>
      </c>
      <c r="G548" t="n">
        <v>219</v>
      </c>
      <c r="H548" t="n">
        <v>-3.902647642493216</v>
      </c>
      <c r="J548" t="n">
        <v>71</v>
      </c>
      <c r="K548">
        <f>'_pockets'!$AI$702</f>
        <v/>
      </c>
      <c r="L548">
        <f>'_pockets'!$AJ$702</f>
        <v/>
      </c>
      <c r="M548">
        <f>IF(AND($A548='Pockets'!$D$17,$B548='Pockets'!$C$17,OR('Pockets'!$E$17="All",AND('Pockets'!$E$17="Worse and material",$K548="Yes",$L548="Yes"),AND('Pockets'!$E$17="Worse or not sure",OR($K548="Yes",$K548="Not sure")))),1,0)</f>
        <v/>
      </c>
      <c r="N548">
        <f>$N547+$M548</f>
        <v/>
      </c>
      <c r="O548" t="inlineStr">
        <is>
          <t>three-way</t>
        </is>
      </c>
      <c r="P548" t="inlineStr">
        <is>
          <t>ranr_rate</t>
        </is>
      </c>
    </row>
    <row r="549">
      <c r="A549" t="inlineStr">
        <is>
          <t>Split by SYS_FLAG</t>
        </is>
      </c>
      <c r="B549" t="inlineStr">
        <is>
          <t>Kept after losses</t>
        </is>
      </c>
      <c r="C549" t="n">
        <v>827</v>
      </c>
      <c r="D549" t="inlineStr">
        <is>
          <t>FICO (marked missing)</t>
        </is>
      </c>
      <c r="E549" t="inlineStr">
        <is>
          <t>ASSET_CLASS 2</t>
        </is>
      </c>
      <c r="F549" t="inlineStr">
        <is>
          <t>N</t>
        </is>
      </c>
      <c r="G549" t="n">
        <v>18</v>
      </c>
      <c r="H549" t="n">
        <v>-13.44021728627589</v>
      </c>
      <c r="J549" t="n">
        <v>72</v>
      </c>
      <c r="K549">
        <f>'_pockets'!$AI$827</f>
        <v/>
      </c>
      <c r="L549">
        <f>'_pockets'!$AJ$827</f>
        <v/>
      </c>
      <c r="M549">
        <f>IF(AND($A549='Pockets'!$D$17,$B549='Pockets'!$C$17,OR('Pockets'!$E$17="All",AND('Pockets'!$E$17="Worse and material",$K549="Yes",$L549="Yes"),AND('Pockets'!$E$17="Worse or not sure",OR($K549="Yes",$K549="Not sure")))),1,0)</f>
        <v/>
      </c>
      <c r="N549">
        <f>$N548+$M549</f>
        <v/>
      </c>
      <c r="O549" t="inlineStr">
        <is>
          <t>three-way</t>
        </is>
      </c>
      <c r="P549" t="inlineStr">
        <is>
          <t>ranr_rate</t>
        </is>
      </c>
    </row>
    <row r="550">
      <c r="A550" t="inlineStr">
        <is>
          <t>Split by SYS_FLAG</t>
        </is>
      </c>
      <c r="B550" t="inlineStr">
        <is>
          <t>Kept after losses</t>
        </is>
      </c>
      <c r="C550" t="n">
        <v>1037</v>
      </c>
      <c r="D550" t="inlineStr">
        <is>
          <t>ORIG_BAL 26,324 - 37,950</t>
        </is>
      </c>
      <c r="E550" t="inlineStr">
        <is>
          <t>ASSET_CLASS 1</t>
        </is>
      </c>
      <c r="F550" t="inlineStr">
        <is>
          <t>Y</t>
        </is>
      </c>
      <c r="G550" t="n">
        <v>173</v>
      </c>
      <c r="H550" t="n">
        <v>-4.37802487258003</v>
      </c>
      <c r="J550" t="n">
        <v>73</v>
      </c>
      <c r="K550">
        <f>'_pockets'!$AI$1037</f>
        <v/>
      </c>
      <c r="L550">
        <f>'_pockets'!$AJ$1037</f>
        <v/>
      </c>
      <c r="M550">
        <f>IF(AND($A550='Pockets'!$D$17,$B550='Pockets'!$C$17,OR('Pockets'!$E$17="All",AND('Pockets'!$E$17="Worse and material",$K550="Yes",$L550="Yes"),AND('Pockets'!$E$17="Worse or not sure",OR($K550="Yes",$K550="Not sure")))),1,0)</f>
        <v/>
      </c>
      <c r="N550">
        <f>$N549+$M550</f>
        <v/>
      </c>
      <c r="O550" t="inlineStr">
        <is>
          <t>three-way</t>
        </is>
      </c>
      <c r="P550" t="inlineStr">
        <is>
          <t>ranr_rate</t>
        </is>
      </c>
    </row>
    <row r="551">
      <c r="A551" t="inlineStr">
        <is>
          <t>Split by SYS_FLAG</t>
        </is>
      </c>
      <c r="B551" t="inlineStr">
        <is>
          <t>Kept after losses</t>
        </is>
      </c>
      <c r="C551" t="n">
        <v>667</v>
      </c>
      <c r="D551" t="inlineStr">
        <is>
          <t>FICO 746 - 921</t>
        </is>
      </c>
      <c r="E551" t="inlineStr">
        <is>
          <t>ASSET_CLASS 4</t>
        </is>
      </c>
      <c r="F551" t="inlineStr">
        <is>
          <t>Y</t>
        </is>
      </c>
      <c r="G551" t="n">
        <v>164</v>
      </c>
      <c r="H551" t="n">
        <v>-4.493965908257609</v>
      </c>
      <c r="J551" t="n">
        <v>74</v>
      </c>
      <c r="K551">
        <f>'_pockets'!$AI$667</f>
        <v/>
      </c>
      <c r="L551">
        <f>'_pockets'!$AJ$667</f>
        <v/>
      </c>
      <c r="M551">
        <f>IF(AND($A551='Pockets'!$D$17,$B551='Pockets'!$C$17,OR('Pockets'!$E$17="All",AND('Pockets'!$E$17="Worse and material",$K551="Yes",$L551="Yes"),AND('Pockets'!$E$17="Worse or not sure",OR($K551="Yes",$K551="Not sure")))),1,0)</f>
        <v/>
      </c>
      <c r="N551">
        <f>$N550+$M551</f>
        <v/>
      </c>
      <c r="O551" t="inlineStr">
        <is>
          <t>three-way</t>
        </is>
      </c>
      <c r="P551" t="inlineStr">
        <is>
          <t>ranr_rate</t>
        </is>
      </c>
    </row>
    <row r="552">
      <c r="A552" t="inlineStr">
        <is>
          <t>Split by SYS_FLAG</t>
        </is>
      </c>
      <c r="B552" t="inlineStr">
        <is>
          <t>Kept after losses</t>
        </is>
      </c>
      <c r="C552" t="n">
        <v>752</v>
      </c>
      <c r="D552" t="inlineStr">
        <is>
          <t>FICO 686 - 711</t>
        </is>
      </c>
      <c r="E552" t="inlineStr">
        <is>
          <t>ASSET_CLASS 1</t>
        </is>
      </c>
      <c r="F552" t="inlineStr">
        <is>
          <t>N</t>
        </is>
      </c>
      <c r="G552" t="n">
        <v>205</v>
      </c>
      <c r="H552" t="n">
        <v>-4.030083706012126</v>
      </c>
      <c r="J552" t="n">
        <v>75</v>
      </c>
      <c r="K552">
        <f>'_pockets'!$AI$752</f>
        <v/>
      </c>
      <c r="L552">
        <f>'_pockets'!$AJ$752</f>
        <v/>
      </c>
      <c r="M552">
        <f>IF(AND($A552='Pockets'!$D$17,$B552='Pockets'!$C$17,OR('Pockets'!$E$17="All",AND('Pockets'!$E$17="Worse and material",$K552="Yes",$L552="Yes"),AND('Pockets'!$E$17="Worse or not sure",OR($K552="Yes",$K552="Not sure")))),1,0)</f>
        <v/>
      </c>
      <c r="N552">
        <f>$N551+$M552</f>
        <v/>
      </c>
      <c r="O552" t="inlineStr">
        <is>
          <t>three-way</t>
        </is>
      </c>
      <c r="P552" t="inlineStr">
        <is>
          <t>ranr_rate</t>
        </is>
      </c>
    </row>
    <row r="553">
      <c r="A553" t="inlineStr">
        <is>
          <t>Split by SYS_FLAG</t>
        </is>
      </c>
      <c r="B553" t="inlineStr">
        <is>
          <t>Kept after losses</t>
        </is>
      </c>
      <c r="C553" t="n">
        <v>1117</v>
      </c>
      <c r="D553" t="inlineStr">
        <is>
          <t>ORIG_BAL 5,005 - 15,448</t>
        </is>
      </c>
      <c r="E553" t="inlineStr">
        <is>
          <t>ASSET_CLASS 1</t>
        </is>
      </c>
      <c r="F553" t="inlineStr">
        <is>
          <t>Y</t>
        </is>
      </c>
      <c r="G553" t="n">
        <v>180</v>
      </c>
      <c r="H553" t="n">
        <v>-4.293973291489264</v>
      </c>
      <c r="J553" t="n">
        <v>76</v>
      </c>
      <c r="K553">
        <f>'_pockets'!$AI$1117</f>
        <v/>
      </c>
      <c r="L553">
        <f>'_pockets'!$AJ$1117</f>
        <v/>
      </c>
      <c r="M553">
        <f>IF(AND($A553='Pockets'!$D$17,$B553='Pockets'!$C$17,OR('Pockets'!$E$17="All",AND('Pockets'!$E$17="Worse and material",$K553="Yes",$L553="Yes"),AND('Pockets'!$E$17="Worse or not sure",OR($K553="Yes",$K553="Not sure")))),1,0)</f>
        <v/>
      </c>
      <c r="N553">
        <f>$N552+$M553</f>
        <v/>
      </c>
      <c r="O553" t="inlineStr">
        <is>
          <t>three-way</t>
        </is>
      </c>
      <c r="P553" t="inlineStr">
        <is>
          <t>ranr_rate</t>
        </is>
      </c>
    </row>
    <row r="554">
      <c r="A554" t="inlineStr">
        <is>
          <t>Split by SYS_FLAG</t>
        </is>
      </c>
      <c r="B554" t="inlineStr">
        <is>
          <t>Kept after losses</t>
        </is>
      </c>
      <c r="C554" t="n">
        <v>587</v>
      </c>
      <c r="D554" t="inlineStr">
        <is>
          <t>FICO (marked missing)</t>
        </is>
      </c>
      <c r="E554" t="inlineStr">
        <is>
          <t>Broker</t>
        </is>
      </c>
      <c r="F554" t="inlineStr">
        <is>
          <t>N</t>
        </is>
      </c>
      <c r="G554" t="n">
        <v>29</v>
      </c>
      <c r="H554" t="n">
        <v>-10.59602656090819</v>
      </c>
      <c r="J554" t="n">
        <v>77</v>
      </c>
      <c r="K554">
        <f>'_pockets'!$AI$587</f>
        <v/>
      </c>
      <c r="L554">
        <f>'_pockets'!$AJ$587</f>
        <v/>
      </c>
      <c r="M554">
        <f>IF(AND($A554='Pockets'!$D$17,$B554='Pockets'!$C$17,OR('Pockets'!$E$17="All",AND('Pockets'!$E$17="Worse and material",$K554="Yes",$L554="Yes"),AND('Pockets'!$E$17="Worse or not sure",OR($K554="Yes",$K554="Not sure")))),1,0)</f>
        <v/>
      </c>
      <c r="N554">
        <f>$N553+$M554</f>
        <v/>
      </c>
      <c r="O554" t="inlineStr">
        <is>
          <t>three-way</t>
        </is>
      </c>
      <c r="P554" t="inlineStr">
        <is>
          <t>ranr_rate</t>
        </is>
      </c>
    </row>
    <row r="555">
      <c r="A555" t="inlineStr">
        <is>
          <t>Split by SYS_FLAG</t>
        </is>
      </c>
      <c r="B555" t="inlineStr">
        <is>
          <t>Kept after losses</t>
        </is>
      </c>
      <c r="C555" t="n">
        <v>1097</v>
      </c>
      <c r="D555" t="inlineStr">
        <is>
          <t>ORIG_BAL 5,005 - 15,448</t>
        </is>
      </c>
      <c r="E555" t="inlineStr">
        <is>
          <t>ASSET_CLASS 4</t>
        </is>
      </c>
      <c r="F555" t="inlineStr">
        <is>
          <t>N</t>
        </is>
      </c>
      <c r="G555" t="n">
        <v>229</v>
      </c>
      <c r="H555" t="n">
        <v>-3.818940986528518</v>
      </c>
      <c r="J555" t="n">
        <v>78</v>
      </c>
      <c r="K555">
        <f>'_pockets'!$AI$1097</f>
        <v/>
      </c>
      <c r="L555">
        <f>'_pockets'!$AJ$1097</f>
        <v/>
      </c>
      <c r="M555">
        <f>IF(AND($A555='Pockets'!$D$17,$B555='Pockets'!$C$17,OR('Pockets'!$E$17="All",AND('Pockets'!$E$17="Worse and material",$K555="Yes",$L555="Yes"),AND('Pockets'!$E$17="Worse or not sure",OR($K555="Yes",$K555="Not sure")))),1,0)</f>
        <v/>
      </c>
      <c r="N555">
        <f>$N554+$M555</f>
        <v/>
      </c>
      <c r="O555" t="inlineStr">
        <is>
          <t>three-way</t>
        </is>
      </c>
      <c r="P555" t="inlineStr">
        <is>
          <t>ranr_rate</t>
        </is>
      </c>
    </row>
    <row r="556">
      <c r="A556" t="inlineStr">
        <is>
          <t>Split by SYS_FLAG</t>
        </is>
      </c>
      <c r="B556" t="inlineStr">
        <is>
          <t>Kept after losses</t>
        </is>
      </c>
      <c r="C556" t="n">
        <v>567</v>
      </c>
      <c r="D556" t="inlineStr">
        <is>
          <t>FICO (marked missing)</t>
        </is>
      </c>
      <c r="E556" t="inlineStr">
        <is>
          <t>Branch</t>
        </is>
      </c>
      <c r="F556" t="inlineStr">
        <is>
          <t>N</t>
        </is>
      </c>
      <c r="G556" t="n">
        <v>29</v>
      </c>
      <c r="H556" t="n">
        <v>-10.59602656090819</v>
      </c>
      <c r="J556" t="n">
        <v>79</v>
      </c>
      <c r="K556">
        <f>'_pockets'!$AI$567</f>
        <v/>
      </c>
      <c r="L556">
        <f>'_pockets'!$AJ$567</f>
        <v/>
      </c>
      <c r="M556">
        <f>IF(AND($A556='Pockets'!$D$17,$B556='Pockets'!$C$17,OR('Pockets'!$E$17="All",AND('Pockets'!$E$17="Worse and material",$K556="Yes",$L556="Yes"),AND('Pockets'!$E$17="Worse or not sure",OR($K556="Yes",$K556="Not sure")))),1,0)</f>
        <v/>
      </c>
      <c r="N556">
        <f>$N555+$M556</f>
        <v/>
      </c>
      <c r="O556" t="inlineStr">
        <is>
          <t>three-way</t>
        </is>
      </c>
      <c r="P556" t="inlineStr">
        <is>
          <t>ranr_rate</t>
        </is>
      </c>
    </row>
    <row r="557">
      <c r="A557" t="inlineStr">
        <is>
          <t>Split by SYS_FLAG</t>
        </is>
      </c>
      <c r="B557" t="inlineStr">
        <is>
          <t>Kept after losses</t>
        </is>
      </c>
      <c r="C557" t="n">
        <v>537</v>
      </c>
      <c r="D557" t="inlineStr">
        <is>
          <t>FICO 746 - 921</t>
        </is>
      </c>
      <c r="E557" t="inlineStr">
        <is>
          <t>Branch</t>
        </is>
      </c>
      <c r="F557" t="inlineStr">
        <is>
          <t>N</t>
        </is>
      </c>
      <c r="G557" t="n">
        <v>279</v>
      </c>
      <c r="H557" t="n">
        <v>-3.471046614747157</v>
      </c>
      <c r="J557" t="n">
        <v>80</v>
      </c>
      <c r="K557">
        <f>'_pockets'!$AI$537</f>
        <v/>
      </c>
      <c r="L557">
        <f>'_pockets'!$AJ$537</f>
        <v/>
      </c>
      <c r="M557">
        <f>IF(AND($A557='Pockets'!$D$17,$B557='Pockets'!$C$17,OR('Pockets'!$E$17="All",AND('Pockets'!$E$17="Worse and material",$K557="Yes",$L557="Yes"),AND('Pockets'!$E$17="Worse or not sure",OR($K557="Yes",$K557="Not sure")))),1,0)</f>
        <v/>
      </c>
      <c r="N557">
        <f>$N556+$M557</f>
        <v/>
      </c>
      <c r="O557" t="inlineStr">
        <is>
          <t>three-way</t>
        </is>
      </c>
      <c r="P557" t="inlineStr">
        <is>
          <t>ranr_rate</t>
        </is>
      </c>
    </row>
    <row r="558">
      <c r="A558" t="inlineStr">
        <is>
          <t>Split by SYS_FLAG</t>
        </is>
      </c>
      <c r="B558" t="inlineStr">
        <is>
          <t>Kept after losses</t>
        </is>
      </c>
      <c r="C558" t="n">
        <v>462</v>
      </c>
      <c r="D558" t="inlineStr">
        <is>
          <t>FICO 746 - 921</t>
        </is>
      </c>
      <c r="E558" t="inlineStr">
        <is>
          <t>Online</t>
        </is>
      </c>
      <c r="F558" t="inlineStr">
        <is>
          <t>N</t>
        </is>
      </c>
      <c r="G558" t="n">
        <v>292</v>
      </c>
      <c r="H558" t="n">
        <v>-3.395760816297401</v>
      </c>
      <c r="J558" t="n">
        <v>81</v>
      </c>
      <c r="K558">
        <f>'_pockets'!$AI$462</f>
        <v/>
      </c>
      <c r="L558">
        <f>'_pockets'!$AJ$462</f>
        <v/>
      </c>
      <c r="M558">
        <f>IF(AND($A558='Pockets'!$D$17,$B558='Pockets'!$C$17,OR('Pockets'!$E$17="All",AND('Pockets'!$E$17="Worse and material",$K558="Yes",$L558="Yes"),AND('Pockets'!$E$17="Worse or not sure",OR($K558="Yes",$K558="Not sure")))),1,0)</f>
        <v/>
      </c>
      <c r="N558">
        <f>$N557+$M558</f>
        <v/>
      </c>
      <c r="O558" t="inlineStr">
        <is>
          <t>three-way</t>
        </is>
      </c>
      <c r="P558" t="inlineStr">
        <is>
          <t>ranr_rate</t>
        </is>
      </c>
    </row>
    <row r="559">
      <c r="A559" t="inlineStr">
        <is>
          <t>Split by SYS_FLAG</t>
        </is>
      </c>
      <c r="B559" t="inlineStr">
        <is>
          <t>Kept after losses</t>
        </is>
      </c>
      <c r="C559" t="n">
        <v>457</v>
      </c>
      <c r="D559" t="inlineStr">
        <is>
          <t>FICO 746 - 921</t>
        </is>
      </c>
      <c r="E559" t="inlineStr">
        <is>
          <t>Broker</t>
        </is>
      </c>
      <c r="F559" t="inlineStr">
        <is>
          <t>N</t>
        </is>
      </c>
      <c r="G559" t="n">
        <v>299</v>
      </c>
      <c r="H559" t="n">
        <v>-3.357300701198503</v>
      </c>
      <c r="J559" t="n">
        <v>82</v>
      </c>
      <c r="K559">
        <f>'_pockets'!$AI$457</f>
        <v/>
      </c>
      <c r="L559">
        <f>'_pockets'!$AJ$457</f>
        <v/>
      </c>
      <c r="M559">
        <f>IF(AND($A559='Pockets'!$D$17,$B559='Pockets'!$C$17,OR('Pockets'!$E$17="All",AND('Pockets'!$E$17="Worse and material",$K559="Yes",$L559="Yes"),AND('Pockets'!$E$17="Worse or not sure",OR($K559="Yes",$K559="Not sure")))),1,0)</f>
        <v/>
      </c>
      <c r="N559">
        <f>$N558+$M559</f>
        <v/>
      </c>
      <c r="O559" t="inlineStr">
        <is>
          <t>three-way</t>
        </is>
      </c>
      <c r="P559" t="inlineStr">
        <is>
          <t>ranr_rate</t>
        </is>
      </c>
    </row>
    <row r="560">
      <c r="A560" t="inlineStr">
        <is>
          <t>Split by SYS_FLAG</t>
        </is>
      </c>
      <c r="B560" t="inlineStr">
        <is>
          <t>Kept after losses</t>
        </is>
      </c>
      <c r="C560" t="n">
        <v>707</v>
      </c>
      <c r="D560" t="inlineStr">
        <is>
          <t>FICO 746 - 921</t>
        </is>
      </c>
      <c r="E560" t="inlineStr">
        <is>
          <t>ASSET_CLASS 2</t>
        </is>
      </c>
      <c r="F560" t="inlineStr">
        <is>
          <t>N</t>
        </is>
      </c>
      <c r="G560" t="n">
        <v>219</v>
      </c>
      <c r="H560" t="n">
        <v>-3.902647642493216</v>
      </c>
      <c r="J560" t="n">
        <v>83</v>
      </c>
      <c r="K560">
        <f>'_pockets'!$AI$707</f>
        <v/>
      </c>
      <c r="L560">
        <f>'_pockets'!$AJ$707</f>
        <v/>
      </c>
      <c r="M560">
        <f>IF(AND($A560='Pockets'!$D$17,$B560='Pockets'!$C$17,OR('Pockets'!$E$17="All",AND('Pockets'!$E$17="Worse and material",$K560="Yes",$L560="Yes"),AND('Pockets'!$E$17="Worse or not sure",OR($K560="Yes",$K560="Not sure")))),1,0)</f>
        <v/>
      </c>
      <c r="N560">
        <f>$N559+$M560</f>
        <v/>
      </c>
      <c r="O560" t="inlineStr">
        <is>
          <t>three-way</t>
        </is>
      </c>
      <c r="P560" t="inlineStr">
        <is>
          <t>ranr_rate</t>
        </is>
      </c>
    </row>
    <row r="561">
      <c r="A561" t="inlineStr">
        <is>
          <t>Split by SYS_FLAG</t>
        </is>
      </c>
      <c r="B561" t="inlineStr">
        <is>
          <t>Kept after losses</t>
        </is>
      </c>
      <c r="C561" t="n">
        <v>647</v>
      </c>
      <c r="D561" t="inlineStr">
        <is>
          <t>FICO 746 - 921</t>
        </is>
      </c>
      <c r="E561" t="inlineStr">
        <is>
          <t>ASSET_CLASS 1</t>
        </is>
      </c>
      <c r="F561" t="inlineStr">
        <is>
          <t>N</t>
        </is>
      </c>
      <c r="G561" t="n">
        <v>231</v>
      </c>
      <c r="H561" t="n">
        <v>-3.802862295069971</v>
      </c>
      <c r="J561" t="n">
        <v>84</v>
      </c>
      <c r="K561">
        <f>'_pockets'!$AI$647</f>
        <v/>
      </c>
      <c r="L561">
        <f>'_pockets'!$AJ$647</f>
        <v/>
      </c>
      <c r="M561">
        <f>IF(AND($A561='Pockets'!$D$17,$B561='Pockets'!$C$17,OR('Pockets'!$E$17="All",AND('Pockets'!$E$17="Worse and material",$K561="Yes",$L561="Yes"),AND('Pockets'!$E$17="Worse or not sure",OR($K561="Yes",$K561="Not sure")))),1,0)</f>
        <v/>
      </c>
      <c r="N561">
        <f>$N560+$M561</f>
        <v/>
      </c>
      <c r="O561" t="inlineStr">
        <is>
          <t>three-way</t>
        </is>
      </c>
      <c r="P561" t="inlineStr">
        <is>
          <t>ranr_rate</t>
        </is>
      </c>
    </row>
    <row r="562">
      <c r="A562" t="inlineStr">
        <is>
          <t>Split by SYS_FLAG</t>
        </is>
      </c>
      <c r="B562" t="inlineStr">
        <is>
          <t>Kept after losses</t>
        </is>
      </c>
      <c r="C562" t="n">
        <v>747</v>
      </c>
      <c r="D562" t="inlineStr">
        <is>
          <t>FICO 746 - 921</t>
        </is>
      </c>
      <c r="E562" t="inlineStr">
        <is>
          <t>ASSET_CLASS 4</t>
        </is>
      </c>
      <c r="F562" t="inlineStr">
        <is>
          <t>N</t>
        </is>
      </c>
      <c r="G562" t="n">
        <v>209</v>
      </c>
      <c r="H562" t="n">
        <v>-3.992356601805577</v>
      </c>
      <c r="J562" t="n">
        <v>85</v>
      </c>
      <c r="K562">
        <f>'_pockets'!$AI$747</f>
        <v/>
      </c>
      <c r="L562">
        <f>'_pockets'!$AJ$747</f>
        <v/>
      </c>
      <c r="M562">
        <f>IF(AND($A562='Pockets'!$D$17,$B562='Pockets'!$C$17,OR('Pockets'!$E$17="All",AND('Pockets'!$E$17="Worse and material",$K562="Yes",$L562="Yes"),AND('Pockets'!$E$17="Worse or not sure",OR($K562="Yes",$K562="Not sure")))),1,0)</f>
        <v/>
      </c>
      <c r="N562">
        <f>$N561+$M562</f>
        <v/>
      </c>
      <c r="O562" t="inlineStr">
        <is>
          <t>three-way</t>
        </is>
      </c>
      <c r="P562" t="inlineStr">
        <is>
          <t>ranr_rate</t>
        </is>
      </c>
    </row>
    <row r="563">
      <c r="A563" t="inlineStr">
        <is>
          <t>Split by SYS_FLAG</t>
        </is>
      </c>
      <c r="B563" t="inlineStr">
        <is>
          <t>Kept after losses</t>
        </is>
      </c>
      <c r="C563" t="n">
        <v>687</v>
      </c>
      <c r="D563" t="inlineStr">
        <is>
          <t>FICO 746 - 921</t>
        </is>
      </c>
      <c r="E563" t="inlineStr">
        <is>
          <t>ASSET_CLASS 3</t>
        </is>
      </c>
      <c r="F563" t="inlineStr">
        <is>
          <t>N</t>
        </is>
      </c>
      <c r="G563" t="n">
        <v>211</v>
      </c>
      <c r="H563" t="n">
        <v>-3.973900591118031</v>
      </c>
      <c r="J563" t="n">
        <v>86</v>
      </c>
      <c r="K563">
        <f>'_pockets'!$AI$687</f>
        <v/>
      </c>
      <c r="L563">
        <f>'_pockets'!$AJ$687</f>
        <v/>
      </c>
      <c r="M563">
        <f>IF(AND($A563='Pockets'!$D$17,$B563='Pockets'!$C$17,OR('Pockets'!$E$17="All",AND('Pockets'!$E$17="Worse and material",$K563="Yes",$L563="Yes"),AND('Pockets'!$E$17="Worse or not sure",OR($K563="Yes",$K563="Not sure")))),1,0)</f>
        <v/>
      </c>
      <c r="N563">
        <f>$N562+$M563</f>
        <v/>
      </c>
      <c r="O563" t="inlineStr">
        <is>
          <t>three-way</t>
        </is>
      </c>
      <c r="P563" t="inlineStr">
        <is>
          <t>ranr_rate</t>
        </is>
      </c>
    </row>
    <row r="564">
      <c r="A564" t="inlineStr">
        <is>
          <t>Split by SYS_FLAG</t>
        </is>
      </c>
      <c r="B564" t="inlineStr">
        <is>
          <t>Kept after losses</t>
        </is>
      </c>
      <c r="C564" t="n">
        <v>472</v>
      </c>
      <c r="D564" t="inlineStr">
        <is>
          <t>FICO 712 - 745</t>
        </is>
      </c>
      <c r="E564" t="inlineStr">
        <is>
          <t>Broker</t>
        </is>
      </c>
      <c r="F564" t="inlineStr">
        <is>
          <t>Y</t>
        </is>
      </c>
      <c r="G564" t="n">
        <v>218</v>
      </c>
      <c r="H564" t="n">
        <v>-3.911337064533781</v>
      </c>
      <c r="J564" t="n">
        <v>87</v>
      </c>
      <c r="K564">
        <f>'_pockets'!$AI$472</f>
        <v/>
      </c>
      <c r="L564">
        <f>'_pockets'!$AJ$472</f>
        <v/>
      </c>
      <c r="M564">
        <f>IF(AND($A564='Pockets'!$D$17,$B564='Pockets'!$C$17,OR('Pockets'!$E$17="All",AND('Pockets'!$E$17="Worse and material",$K564="Yes",$L564="Yes"),AND('Pockets'!$E$17="Worse or not sure",OR($K564="Yes",$K564="Not sure")))),1,0)</f>
        <v/>
      </c>
      <c r="N564">
        <f>$N563+$M564</f>
        <v/>
      </c>
      <c r="O564" t="inlineStr">
        <is>
          <t>three-way</t>
        </is>
      </c>
      <c r="P564" t="inlineStr">
        <is>
          <t>ranr_rate</t>
        </is>
      </c>
    </row>
    <row r="565">
      <c r="A565" t="inlineStr">
        <is>
          <t>Split by SYS_FLAG</t>
        </is>
      </c>
      <c r="B565" t="inlineStr">
        <is>
          <t>Kept after losses</t>
        </is>
      </c>
      <c r="C565" t="n">
        <v>612</v>
      </c>
      <c r="D565" t="inlineStr">
        <is>
          <t>FICO 712 - 745</t>
        </is>
      </c>
      <c r="E565" t="inlineStr">
        <is>
          <t>ASSET_CLASS 2</t>
        </is>
      </c>
      <c r="F565" t="inlineStr">
        <is>
          <t>Y</t>
        </is>
      </c>
      <c r="G565" t="n">
        <v>183</v>
      </c>
      <c r="H565" t="n">
        <v>-4.259448559186338</v>
      </c>
      <c r="J565" t="n">
        <v>88</v>
      </c>
      <c r="K565">
        <f>'_pockets'!$AI$612</f>
        <v/>
      </c>
      <c r="L565">
        <f>'_pockets'!$AJ$612</f>
        <v/>
      </c>
      <c r="M565">
        <f>IF(AND($A565='Pockets'!$D$17,$B565='Pockets'!$C$17,OR('Pockets'!$E$17="All",AND('Pockets'!$E$17="Worse and material",$K565="Yes",$L565="Yes"),AND('Pockets'!$E$17="Worse or not sure",OR($K565="Yes",$K565="Not sure")))),1,0)</f>
        <v/>
      </c>
      <c r="N565">
        <f>$N564+$M565</f>
        <v/>
      </c>
      <c r="O565" t="inlineStr">
        <is>
          <t>three-way</t>
        </is>
      </c>
      <c r="P565" t="inlineStr">
        <is>
          <t>ranr_rate</t>
        </is>
      </c>
    </row>
    <row r="566">
      <c r="A566" t="inlineStr">
        <is>
          <t>Split by SYS_FLAG</t>
        </is>
      </c>
      <c r="B566" t="inlineStr">
        <is>
          <t>Kept after losses</t>
        </is>
      </c>
      <c r="C566" t="n">
        <v>642</v>
      </c>
      <c r="D566" t="inlineStr">
        <is>
          <t>FICO 712 - 745</t>
        </is>
      </c>
      <c r="E566" t="inlineStr">
        <is>
          <t>ASSET_CLASS 4</t>
        </is>
      </c>
      <c r="F566" t="inlineStr">
        <is>
          <t>N</t>
        </is>
      </c>
      <c r="G566" t="n">
        <v>220</v>
      </c>
      <c r="H566" t="n">
        <v>-3.894018152914142</v>
      </c>
      <c r="J566" t="n">
        <v>89</v>
      </c>
      <c r="K566">
        <f>'_pockets'!$AI$642</f>
        <v/>
      </c>
      <c r="L566">
        <f>'_pockets'!$AJ$642</f>
        <v/>
      </c>
      <c r="M566">
        <f>IF(AND($A566='Pockets'!$D$17,$B566='Pockets'!$C$17,OR('Pockets'!$E$17="All",AND('Pockets'!$E$17="Worse and material",$K566="Yes",$L566="Yes"),AND('Pockets'!$E$17="Worse or not sure",OR($K566="Yes",$K566="Not sure")))),1,0)</f>
        <v/>
      </c>
      <c r="N566">
        <f>$N565+$M566</f>
        <v/>
      </c>
      <c r="O566" t="inlineStr">
        <is>
          <t>three-way</t>
        </is>
      </c>
      <c r="P566" t="inlineStr">
        <is>
          <t>ranr_rate</t>
        </is>
      </c>
    </row>
    <row r="567">
      <c r="A567" t="inlineStr">
        <is>
          <t>Split by SYS_FLAG</t>
        </is>
      </c>
      <c r="B567" t="inlineStr">
        <is>
          <t>Kept after losses</t>
        </is>
      </c>
      <c r="C567" t="n">
        <v>777</v>
      </c>
      <c r="D567" t="inlineStr">
        <is>
          <t>FICO 712 - 745</t>
        </is>
      </c>
      <c r="E567" t="inlineStr">
        <is>
          <t>ASSET_CLASS 3</t>
        </is>
      </c>
      <c r="F567" t="inlineStr">
        <is>
          <t>N</t>
        </is>
      </c>
      <c r="G567" t="n">
        <v>223</v>
      </c>
      <c r="H567" t="n">
        <v>-3.868482534444551</v>
      </c>
      <c r="J567" t="n">
        <v>90</v>
      </c>
      <c r="K567">
        <f>'_pockets'!$AI$777</f>
        <v/>
      </c>
      <c r="L567">
        <f>'_pockets'!$AJ$777</f>
        <v/>
      </c>
      <c r="M567">
        <f>IF(AND($A567='Pockets'!$D$17,$B567='Pockets'!$C$17,OR('Pockets'!$E$17="All",AND('Pockets'!$E$17="Worse and material",$K567="Yes",$L567="Yes"),AND('Pockets'!$E$17="Worse or not sure",OR($K567="Yes",$K567="Not sure")))),1,0)</f>
        <v/>
      </c>
      <c r="N567">
        <f>$N566+$M567</f>
        <v/>
      </c>
      <c r="O567" t="inlineStr">
        <is>
          <t>three-way</t>
        </is>
      </c>
      <c r="P567" t="inlineStr">
        <is>
          <t>ranr_rate</t>
        </is>
      </c>
    </row>
    <row r="568">
      <c r="A568" t="inlineStr">
        <is>
          <t>Split by SYS_FLAG</t>
        </is>
      </c>
      <c r="B568" t="inlineStr">
        <is>
          <t>Kept after losses</t>
        </is>
      </c>
      <c r="C568" t="n">
        <v>607</v>
      </c>
      <c r="D568" t="inlineStr">
        <is>
          <t>FICO 712 - 745</t>
        </is>
      </c>
      <c r="E568" t="inlineStr">
        <is>
          <t>ASSET_CLASS 1</t>
        </is>
      </c>
      <c r="F568" t="inlineStr">
        <is>
          <t>N</t>
        </is>
      </c>
      <c r="G568" t="n">
        <v>194</v>
      </c>
      <c r="H568" t="n">
        <v>-4.139843076855238</v>
      </c>
      <c r="J568" t="n">
        <v>91</v>
      </c>
      <c r="K568">
        <f>'_pockets'!$AI$607</f>
        <v/>
      </c>
      <c r="L568">
        <f>'_pockets'!$AJ$607</f>
        <v/>
      </c>
      <c r="M568">
        <f>IF(AND($A568='Pockets'!$D$17,$B568='Pockets'!$C$17,OR('Pockets'!$E$17="All",AND('Pockets'!$E$17="Worse and material",$K568="Yes",$L568="Yes"),AND('Pockets'!$E$17="Worse or not sure",OR($K568="Yes",$K568="Not sure")))),1,0)</f>
        <v/>
      </c>
      <c r="N568">
        <f>$N567+$M568</f>
        <v/>
      </c>
      <c r="O568" t="inlineStr">
        <is>
          <t>three-way</t>
        </is>
      </c>
      <c r="P568" t="inlineStr">
        <is>
          <t>ranr_rate</t>
        </is>
      </c>
    </row>
    <row r="569">
      <c r="A569" t="inlineStr">
        <is>
          <t>Split by SYS_FLAG</t>
        </is>
      </c>
      <c r="B569" t="inlineStr">
        <is>
          <t>Kept after losses</t>
        </is>
      </c>
      <c r="C569" t="n">
        <v>1132</v>
      </c>
      <c r="D569" t="inlineStr">
        <is>
          <t>ORIG_BAL 15,449 - 26,323</t>
        </is>
      </c>
      <c r="E569" t="inlineStr">
        <is>
          <t>ASSET_CLASS 3</t>
        </is>
      </c>
      <c r="F569" t="inlineStr">
        <is>
          <t>N</t>
        </is>
      </c>
      <c r="G569" t="n">
        <v>234</v>
      </c>
      <c r="H569" t="n">
        <v>-3.779136156597146</v>
      </c>
      <c r="J569" t="n">
        <v>92</v>
      </c>
      <c r="K569">
        <f>'_pockets'!$AI$1132</f>
        <v/>
      </c>
      <c r="L569">
        <f>'_pockets'!$AJ$1132</f>
        <v/>
      </c>
      <c r="M569">
        <f>IF(AND($A569='Pockets'!$D$17,$B569='Pockets'!$C$17,OR('Pockets'!$E$17="All",AND('Pockets'!$E$17="Worse and material",$K569="Yes",$L569="Yes"),AND('Pockets'!$E$17="Worse or not sure",OR($K569="Yes",$K569="Not sure")))),1,0)</f>
        <v/>
      </c>
      <c r="N569">
        <f>$N568+$M569</f>
        <v/>
      </c>
      <c r="O569" t="inlineStr">
        <is>
          <t>three-way</t>
        </is>
      </c>
      <c r="P569" t="inlineStr">
        <is>
          <t>ranr_rate</t>
        </is>
      </c>
    </row>
    <row r="570">
      <c r="A570" t="inlineStr">
        <is>
          <t>Split by SYS_FLAG</t>
        </is>
      </c>
      <c r="B570" t="inlineStr">
        <is>
          <t>Kept after losses</t>
        </is>
      </c>
      <c r="C570" t="n">
        <v>1027</v>
      </c>
      <c r="D570" t="inlineStr">
        <is>
          <t>ORIG_BAL 37,951 - 49,151</t>
        </is>
      </c>
      <c r="E570" t="inlineStr">
        <is>
          <t>ASSET_CLASS 2</t>
        </is>
      </c>
      <c r="F570" t="inlineStr">
        <is>
          <t>Y</t>
        </is>
      </c>
      <c r="G570" t="n">
        <v>199</v>
      </c>
      <c r="H570" t="n">
        <v>-4.088814032012918</v>
      </c>
      <c r="J570" t="n">
        <v>93</v>
      </c>
      <c r="K570">
        <f>'_pockets'!$AI$1027</f>
        <v/>
      </c>
      <c r="L570">
        <f>'_pockets'!$AJ$1027</f>
        <v/>
      </c>
      <c r="M570">
        <f>IF(AND($A570='Pockets'!$D$17,$B570='Pockets'!$C$17,OR('Pockets'!$E$17="All",AND('Pockets'!$E$17="Worse and material",$K570="Yes",$L570="Yes"),AND('Pockets'!$E$17="Worse or not sure",OR($K570="Yes",$K570="Not sure")))),1,0)</f>
        <v/>
      </c>
      <c r="N570">
        <f>$N569+$M570</f>
        <v/>
      </c>
      <c r="O570" t="inlineStr">
        <is>
          <t>three-way</t>
        </is>
      </c>
      <c r="P570" t="inlineStr">
        <is>
          <t>ranr_rate</t>
        </is>
      </c>
    </row>
    <row r="571">
      <c r="A571" t="inlineStr">
        <is>
          <t>Split by SYS_FLAG</t>
        </is>
      </c>
      <c r="B571" t="inlineStr">
        <is>
          <t>Kept after losses</t>
        </is>
      </c>
      <c r="C571" t="n">
        <v>942</v>
      </c>
      <c r="D571" t="inlineStr">
        <is>
          <t>ORIG_BAL 15,449 - 26,323</t>
        </is>
      </c>
      <c r="E571" t="inlineStr">
        <is>
          <t>Branch</t>
        </is>
      </c>
      <c r="F571" t="inlineStr">
        <is>
          <t>Y</t>
        </is>
      </c>
      <c r="G571" t="n">
        <v>251</v>
      </c>
      <c r="H571" t="n">
        <v>-3.652914701040563</v>
      </c>
      <c r="J571" t="n">
        <v>94</v>
      </c>
      <c r="K571">
        <f>'_pockets'!$AI$942</f>
        <v/>
      </c>
      <c r="L571">
        <f>'_pockets'!$AJ$942</f>
        <v/>
      </c>
      <c r="M571">
        <f>IF(AND($A571='Pockets'!$D$17,$B571='Pockets'!$C$17,OR('Pockets'!$E$17="All",AND('Pockets'!$E$17="Worse and material",$K571="Yes",$L571="Yes"),AND('Pockets'!$E$17="Worse or not sure",OR($K571="Yes",$K571="Not sure")))),1,0)</f>
        <v/>
      </c>
      <c r="N571">
        <f>$N570+$M571</f>
        <v/>
      </c>
      <c r="O571" t="inlineStr">
        <is>
          <t>three-way</t>
        </is>
      </c>
      <c r="P571" t="inlineStr">
        <is>
          <t>ranr_rate</t>
        </is>
      </c>
    </row>
    <row r="572">
      <c r="A572" t="inlineStr">
        <is>
          <t>Split by SYS_FLAG</t>
        </is>
      </c>
      <c r="B572" t="inlineStr">
        <is>
          <t>Kept after losses</t>
        </is>
      </c>
      <c r="C572" t="n">
        <v>452</v>
      </c>
      <c r="D572" t="inlineStr">
        <is>
          <t>FICO 712 - 745</t>
        </is>
      </c>
      <c r="E572" t="inlineStr">
        <is>
          <t>Online</t>
        </is>
      </c>
      <c r="F572" t="inlineStr">
        <is>
          <t>N</t>
        </is>
      </c>
      <c r="G572" t="n">
        <v>286</v>
      </c>
      <c r="H572" t="n">
        <v>-3.429860965810268</v>
      </c>
      <c r="J572" t="n">
        <v>95</v>
      </c>
      <c r="K572">
        <f>'_pockets'!$AI$452</f>
        <v/>
      </c>
      <c r="L572">
        <f>'_pockets'!$AJ$452</f>
        <v/>
      </c>
      <c r="M572">
        <f>IF(AND($A572='Pockets'!$D$17,$B572='Pockets'!$C$17,OR('Pockets'!$E$17="All",AND('Pockets'!$E$17="Worse and material",$K572="Yes",$L572="Yes"),AND('Pockets'!$E$17="Worse or not sure",OR($K572="Yes",$K572="Not sure")))),1,0)</f>
        <v/>
      </c>
      <c r="N572">
        <f>$N571+$M572</f>
        <v/>
      </c>
      <c r="O572" t="inlineStr">
        <is>
          <t>three-way</t>
        </is>
      </c>
      <c r="P572" t="inlineStr">
        <is>
          <t>ranr_rate</t>
        </is>
      </c>
    </row>
    <row r="573">
      <c r="A573" t="inlineStr">
        <is>
          <t>Split by SYS_FLAG</t>
        </is>
      </c>
      <c r="B573" t="inlineStr">
        <is>
          <t>Kept after losses</t>
        </is>
      </c>
      <c r="C573" t="n">
        <v>962</v>
      </c>
      <c r="D573" t="inlineStr">
        <is>
          <t>ORIG_BAL 15,449 - 26,323</t>
        </is>
      </c>
      <c r="E573" t="inlineStr">
        <is>
          <t>Branch</t>
        </is>
      </c>
      <c r="F573" t="inlineStr">
        <is>
          <t>N</t>
        </is>
      </c>
      <c r="G573" t="n">
        <v>274</v>
      </c>
      <c r="H573" t="n">
        <v>-3.501439868534056</v>
      </c>
      <c r="J573" t="n">
        <v>96</v>
      </c>
      <c r="K573">
        <f>'_pockets'!$AI$962</f>
        <v/>
      </c>
      <c r="L573">
        <f>'_pockets'!$AJ$962</f>
        <v/>
      </c>
      <c r="M573">
        <f>IF(AND($A573='Pockets'!$D$17,$B573='Pockets'!$C$17,OR('Pockets'!$E$17="All",AND('Pockets'!$E$17="Worse and material",$K573="Yes",$L573="Yes"),AND('Pockets'!$E$17="Worse or not sure",OR($K573="Yes",$K573="Not sure")))),1,0)</f>
        <v/>
      </c>
      <c r="N573">
        <f>$N572+$M573</f>
        <v/>
      </c>
      <c r="O573" t="inlineStr">
        <is>
          <t>three-way</t>
        </is>
      </c>
      <c r="P573" t="inlineStr">
        <is>
          <t>ranr_rate</t>
        </is>
      </c>
    </row>
    <row r="574">
      <c r="A574" t="inlineStr">
        <is>
          <t>Split by SYS_FLAG</t>
        </is>
      </c>
      <c r="B574" t="inlineStr">
        <is>
          <t>Kept after losses</t>
        </is>
      </c>
      <c r="C574" t="n">
        <v>1107</v>
      </c>
      <c r="D574" t="inlineStr">
        <is>
          <t>ORIG_BAL 15,449 - 26,323</t>
        </is>
      </c>
      <c r="E574" t="inlineStr">
        <is>
          <t>ASSET_CLASS 2</t>
        </is>
      </c>
      <c r="F574" t="inlineStr">
        <is>
          <t>N</t>
        </is>
      </c>
      <c r="G574" t="n">
        <v>186</v>
      </c>
      <c r="H574" t="n">
        <v>-4.225769591809444</v>
      </c>
      <c r="J574" t="n">
        <v>97</v>
      </c>
      <c r="K574">
        <f>'_pockets'!$AI$1107</f>
        <v/>
      </c>
      <c r="L574">
        <f>'_pockets'!$AJ$1107</f>
        <v/>
      </c>
      <c r="M574">
        <f>IF(AND($A574='Pockets'!$D$17,$B574='Pockets'!$C$17,OR('Pockets'!$E$17="All",AND('Pockets'!$E$17="Worse and material",$K574="Yes",$L574="Yes"),AND('Pockets'!$E$17="Worse or not sure",OR($K574="Yes",$K574="Not sure")))),1,0)</f>
        <v/>
      </c>
      <c r="N574">
        <f>$N573+$M574</f>
        <v/>
      </c>
      <c r="O574" t="inlineStr">
        <is>
          <t>three-way</t>
        </is>
      </c>
      <c r="P574" t="inlineStr">
        <is>
          <t>ranr_rate</t>
        </is>
      </c>
    </row>
    <row r="575">
      <c r="A575" t="inlineStr">
        <is>
          <t>Split by SYS_FLAG</t>
        </is>
      </c>
      <c r="B575" t="inlineStr">
        <is>
          <t>Earned before losses</t>
        </is>
      </c>
      <c r="C575" t="n">
        <v>448</v>
      </c>
      <c r="D575" t="inlineStr">
        <is>
          <t>FICO 686 - 711</t>
        </is>
      </c>
      <c r="E575" t="inlineStr">
        <is>
          <t>Broker</t>
        </is>
      </c>
      <c r="F575" t="inlineStr">
        <is>
          <t>Y</t>
        </is>
      </c>
      <c r="G575" t="n">
        <v>230</v>
      </c>
      <c r="H575" t="n">
        <v>-2.503377923570298</v>
      </c>
      <c r="J575" t="n">
        <v>1</v>
      </c>
      <c r="K575">
        <f>'_pockets'!$AI$448</f>
        <v/>
      </c>
      <c r="L575">
        <f>'_pockets'!$AJ$448</f>
        <v/>
      </c>
      <c r="M575">
        <f>IF(AND($A575='Pockets'!$D$17,$B575='Pockets'!$C$17,OR('Pockets'!$E$17="All",AND('Pockets'!$E$17="Worse and material",$K575="Yes",$L575="Yes"),AND('Pockets'!$E$17="Worse or not sure",OR($K575="Yes",$K575="Not sure")))),1,0)</f>
        <v/>
      </c>
      <c r="N575">
        <f>$N574+$M575</f>
        <v/>
      </c>
      <c r="O575" t="inlineStr">
        <is>
          <t>three-way</t>
        </is>
      </c>
      <c r="P575" t="inlineStr">
        <is>
          <t>contribution_rate</t>
        </is>
      </c>
    </row>
    <row r="576">
      <c r="A576" t="inlineStr">
        <is>
          <t>Split by SYS_FLAG</t>
        </is>
      </c>
      <c r="B576" t="inlineStr">
        <is>
          <t>Earned before losses</t>
        </is>
      </c>
      <c r="C576" t="n">
        <v>578</v>
      </c>
      <c r="D576" t="inlineStr">
        <is>
          <t>FICO 686 - 711</t>
        </is>
      </c>
      <c r="E576" t="inlineStr">
        <is>
          <t>Branch</t>
        </is>
      </c>
      <c r="F576" t="inlineStr">
        <is>
          <t>N</t>
        </is>
      </c>
      <c r="G576" t="n">
        <v>280</v>
      </c>
      <c r="H576" t="n">
        <v>-2.276216366488607</v>
      </c>
      <c r="J576" t="n">
        <v>2</v>
      </c>
      <c r="K576">
        <f>'_pockets'!$AI$578</f>
        <v/>
      </c>
      <c r="L576">
        <f>'_pockets'!$AJ$578</f>
        <v/>
      </c>
      <c r="M576">
        <f>IF(AND($A576='Pockets'!$D$17,$B576='Pockets'!$C$17,OR('Pockets'!$E$17="All",AND('Pockets'!$E$17="Worse and material",$K576="Yes",$L576="Yes"),AND('Pockets'!$E$17="Worse or not sure",OR($K576="Yes",$K576="Not sure")))),1,0)</f>
        <v/>
      </c>
      <c r="N576">
        <f>$N575+$M576</f>
        <v/>
      </c>
      <c r="O576" t="inlineStr">
        <is>
          <t>three-way</t>
        </is>
      </c>
      <c r="P576" t="inlineStr">
        <is>
          <t>contribution_rate</t>
        </is>
      </c>
    </row>
    <row r="577">
      <c r="A577" t="inlineStr">
        <is>
          <t>Split by SYS_FLAG</t>
        </is>
      </c>
      <c r="B577" t="inlineStr">
        <is>
          <t>Earned before losses</t>
        </is>
      </c>
      <c r="C577" t="n">
        <v>423</v>
      </c>
      <c r="D577" t="inlineStr">
        <is>
          <t>FICO 712 - 745</t>
        </is>
      </c>
      <c r="E577" t="inlineStr">
        <is>
          <t>Branch</t>
        </is>
      </c>
      <c r="F577" t="inlineStr">
        <is>
          <t>N</t>
        </is>
      </c>
      <c r="G577" t="n">
        <v>306</v>
      </c>
      <c r="H577" t="n">
        <v>-2.181044835695397</v>
      </c>
      <c r="J577" t="n">
        <v>3</v>
      </c>
      <c r="K577">
        <f>'_pockets'!$AI$423</f>
        <v/>
      </c>
      <c r="L577">
        <f>'_pockets'!$AJ$423</f>
        <v/>
      </c>
      <c r="M577">
        <f>IF(AND($A577='Pockets'!$D$17,$B577='Pockets'!$C$17,OR('Pockets'!$E$17="All",AND('Pockets'!$E$17="Worse and material",$K577="Yes",$L577="Yes"),AND('Pockets'!$E$17="Worse or not sure",OR($K577="Yes",$K577="Not sure")))),1,0)</f>
        <v/>
      </c>
      <c r="N577">
        <f>$N576+$M577</f>
        <v/>
      </c>
      <c r="O577" t="inlineStr">
        <is>
          <t>three-way</t>
        </is>
      </c>
      <c r="P577" t="inlineStr">
        <is>
          <t>contribution_rate</t>
        </is>
      </c>
    </row>
    <row r="578">
      <c r="A578" t="inlineStr">
        <is>
          <t>Split by SYS_FLAG</t>
        </is>
      </c>
      <c r="B578" t="inlineStr">
        <is>
          <t>Earned before losses</t>
        </is>
      </c>
      <c r="C578" t="n">
        <v>508</v>
      </c>
      <c r="D578" t="inlineStr">
        <is>
          <t>FICO 712 - 745</t>
        </is>
      </c>
      <c r="E578" t="inlineStr">
        <is>
          <t>Broker</t>
        </is>
      </c>
      <c r="F578" t="inlineStr">
        <is>
          <t>N</t>
        </is>
      </c>
      <c r="G578" t="n">
        <v>291</v>
      </c>
      <c r="H578" t="n">
        <v>-2.234373492616256</v>
      </c>
      <c r="J578" t="n">
        <v>4</v>
      </c>
      <c r="K578">
        <f>'_pockets'!$AI$508</f>
        <v/>
      </c>
      <c r="L578">
        <f>'_pockets'!$AJ$508</f>
        <v/>
      </c>
      <c r="M578">
        <f>IF(AND($A578='Pockets'!$D$17,$B578='Pockets'!$C$17,OR('Pockets'!$E$17="All",AND('Pockets'!$E$17="Worse and material",$K578="Yes",$L578="Yes"),AND('Pockets'!$E$17="Worse or not sure",OR($K578="Yes",$K578="Not sure")))),1,0)</f>
        <v/>
      </c>
      <c r="N578">
        <f>$N577+$M578</f>
        <v/>
      </c>
      <c r="O578" t="inlineStr">
        <is>
          <t>three-way</t>
        </is>
      </c>
      <c r="P578" t="inlineStr">
        <is>
          <t>contribution_rate</t>
        </is>
      </c>
    </row>
    <row r="579">
      <c r="A579" t="inlineStr">
        <is>
          <t>Split by SYS_FLAG</t>
        </is>
      </c>
      <c r="B579" t="inlineStr">
        <is>
          <t>Earned before losses</t>
        </is>
      </c>
      <c r="C579" t="n">
        <v>558</v>
      </c>
      <c r="D579" t="inlineStr">
        <is>
          <t>FICO 686 - 711</t>
        </is>
      </c>
      <c r="E579" t="inlineStr">
        <is>
          <t>Branch</t>
        </is>
      </c>
      <c r="F579" t="inlineStr">
        <is>
          <t>Y</t>
        </is>
      </c>
      <c r="G579" t="n">
        <v>235</v>
      </c>
      <c r="H579" t="n">
        <v>-2.477400496294085</v>
      </c>
      <c r="J579" t="n">
        <v>5</v>
      </c>
      <c r="K579">
        <f>'_pockets'!$AI$558</f>
        <v/>
      </c>
      <c r="L579">
        <f>'_pockets'!$AJ$558</f>
        <v/>
      </c>
      <c r="M579">
        <f>IF(AND($A579='Pockets'!$D$17,$B579='Pockets'!$C$17,OR('Pockets'!$E$17="All",AND('Pockets'!$E$17="Worse and material",$K579="Yes",$L579="Yes"),AND('Pockets'!$E$17="Worse or not sure",OR($K579="Yes",$K579="Not sure")))),1,0)</f>
        <v/>
      </c>
      <c r="N579">
        <f>$N578+$M579</f>
        <v/>
      </c>
      <c r="O579" t="inlineStr">
        <is>
          <t>three-way</t>
        </is>
      </c>
      <c r="P579" t="inlineStr">
        <is>
          <t>contribution_rate</t>
        </is>
      </c>
    </row>
    <row r="580">
      <c r="A580" t="inlineStr">
        <is>
          <t>Split by SYS_FLAG</t>
        </is>
      </c>
      <c r="B580" t="inlineStr">
        <is>
          <t>Earned before losses</t>
        </is>
      </c>
      <c r="C580" t="n">
        <v>428</v>
      </c>
      <c r="D580" t="inlineStr">
        <is>
          <t>FICO 712 - 745</t>
        </is>
      </c>
      <c r="E580" t="inlineStr">
        <is>
          <t>Branch</t>
        </is>
      </c>
      <c r="F580" t="inlineStr">
        <is>
          <t>Y</t>
        </is>
      </c>
      <c r="G580" t="n">
        <v>230</v>
      </c>
      <c r="H580" t="n">
        <v>-2.503377923570298</v>
      </c>
      <c r="J580" t="n">
        <v>6</v>
      </c>
      <c r="K580">
        <f>'_pockets'!$AI$428</f>
        <v/>
      </c>
      <c r="L580">
        <f>'_pockets'!$AJ$428</f>
        <v/>
      </c>
      <c r="M580">
        <f>IF(AND($A580='Pockets'!$D$17,$B580='Pockets'!$C$17,OR('Pockets'!$E$17="All",AND('Pockets'!$E$17="Worse and material",$K580="Yes",$L580="Yes"),AND('Pockets'!$E$17="Worse or not sure",OR($K580="Yes",$K580="Not sure")))),1,0)</f>
        <v/>
      </c>
      <c r="N580">
        <f>$N579+$M580</f>
        <v/>
      </c>
      <c r="O580" t="inlineStr">
        <is>
          <t>three-way</t>
        </is>
      </c>
      <c r="P580" t="inlineStr">
        <is>
          <t>contribution_rate</t>
        </is>
      </c>
    </row>
    <row r="581">
      <c r="A581" t="inlineStr">
        <is>
          <t>Split by SYS_FLAG</t>
        </is>
      </c>
      <c r="B581" t="inlineStr">
        <is>
          <t>Earned before losses</t>
        </is>
      </c>
      <c r="C581" t="n">
        <v>853</v>
      </c>
      <c r="D581" t="inlineStr">
        <is>
          <t>ORIG_BAL 37,951 - 49,151</t>
        </is>
      </c>
      <c r="E581" t="inlineStr">
        <is>
          <t>Branch</t>
        </is>
      </c>
      <c r="F581" t="inlineStr">
        <is>
          <t>N</t>
        </is>
      </c>
      <c r="G581" t="n">
        <v>268</v>
      </c>
      <c r="H581" t="n">
        <v>-2.324811795742961</v>
      </c>
      <c r="J581" t="n">
        <v>7</v>
      </c>
      <c r="K581">
        <f>'_pockets'!$AI$853</f>
        <v/>
      </c>
      <c r="L581">
        <f>'_pockets'!$AJ$853</f>
        <v/>
      </c>
      <c r="M581">
        <f>IF(AND($A581='Pockets'!$D$17,$B581='Pockets'!$C$17,OR('Pockets'!$E$17="All",AND('Pockets'!$E$17="Worse and material",$K581="Yes",$L581="Yes"),AND('Pockets'!$E$17="Worse or not sure",OR($K581="Yes",$K581="Not sure")))),1,0)</f>
        <v/>
      </c>
      <c r="N581">
        <f>$N580+$M581</f>
        <v/>
      </c>
      <c r="O581" t="inlineStr">
        <is>
          <t>three-way</t>
        </is>
      </c>
      <c r="P581" t="inlineStr">
        <is>
          <t>contribution_rate</t>
        </is>
      </c>
    </row>
    <row r="582">
      <c r="A582" t="inlineStr">
        <is>
          <t>Split by SYS_FLAG</t>
        </is>
      </c>
      <c r="B582" t="inlineStr">
        <is>
          <t>Earned before losses</t>
        </is>
      </c>
      <c r="C582" t="n">
        <v>873</v>
      </c>
      <c r="D582" t="inlineStr">
        <is>
          <t>ORIG_BAL 37,951 - 49,151</t>
        </is>
      </c>
      <c r="E582" t="inlineStr">
        <is>
          <t>Branch</t>
        </is>
      </c>
      <c r="F582" t="inlineStr">
        <is>
          <t>Y</t>
        </is>
      </c>
      <c r="G582" t="n">
        <v>257</v>
      </c>
      <c r="H582" t="n">
        <v>-2.372355937133785</v>
      </c>
      <c r="J582" t="n">
        <v>8</v>
      </c>
      <c r="K582">
        <f>'_pockets'!$AI$873</f>
        <v/>
      </c>
      <c r="L582">
        <f>'_pockets'!$AJ$873</f>
        <v/>
      </c>
      <c r="M582">
        <f>IF(AND($A582='Pockets'!$D$17,$B582='Pockets'!$C$17,OR('Pockets'!$E$17="All",AND('Pockets'!$E$17="Worse and material",$K582="Yes",$L582="Yes"),AND('Pockets'!$E$17="Worse or not sure",OR($K582="Yes",$K582="Not sure")))),1,0)</f>
        <v/>
      </c>
      <c r="N582">
        <f>$N581+$M582</f>
        <v/>
      </c>
      <c r="O582" t="inlineStr">
        <is>
          <t>three-way</t>
        </is>
      </c>
      <c r="P582" t="inlineStr">
        <is>
          <t>contribution_rate</t>
        </is>
      </c>
    </row>
    <row r="583">
      <c r="A583" t="inlineStr">
        <is>
          <t>Split by SYS_FLAG</t>
        </is>
      </c>
      <c r="B583" t="inlineStr">
        <is>
          <t>Earned before losses</t>
        </is>
      </c>
      <c r="C583" t="n">
        <v>913</v>
      </c>
      <c r="D583" t="inlineStr">
        <is>
          <t>ORIG_BAL 49,152 - 59,984</t>
        </is>
      </c>
      <c r="E583" t="inlineStr">
        <is>
          <t>Branch</t>
        </is>
      </c>
      <c r="F583" t="inlineStr">
        <is>
          <t>N</t>
        </is>
      </c>
      <c r="G583" t="n">
        <v>289</v>
      </c>
      <c r="H583" t="n">
        <v>-2.241800699107146</v>
      </c>
      <c r="J583" t="n">
        <v>9</v>
      </c>
      <c r="K583">
        <f>'_pockets'!$AI$913</f>
        <v/>
      </c>
      <c r="L583">
        <f>'_pockets'!$AJ$913</f>
        <v/>
      </c>
      <c r="M583">
        <f>IF(AND($A583='Pockets'!$D$17,$B583='Pockets'!$C$17,OR('Pockets'!$E$17="All",AND('Pockets'!$E$17="Worse and material",$K583="Yes",$L583="Yes"),AND('Pockets'!$E$17="Worse or not sure",OR($K583="Yes",$K583="Not sure")))),1,0)</f>
        <v/>
      </c>
      <c r="N583">
        <f>$N582+$M583</f>
        <v/>
      </c>
      <c r="O583" t="inlineStr">
        <is>
          <t>three-way</t>
        </is>
      </c>
      <c r="P583" t="inlineStr">
        <is>
          <t>contribution_rate</t>
        </is>
      </c>
    </row>
    <row r="584">
      <c r="A584" t="inlineStr">
        <is>
          <t>Split by SYS_FLAG</t>
        </is>
      </c>
      <c r="B584" t="inlineStr">
        <is>
          <t>Earned before losses</t>
        </is>
      </c>
      <c r="C584" t="n">
        <v>1128</v>
      </c>
      <c r="D584" t="inlineStr">
        <is>
          <t>ORIG_BAL 49,152 - 59,984</t>
        </is>
      </c>
      <c r="E584" t="inlineStr">
        <is>
          <t>ASSET_CLASS 2</t>
        </is>
      </c>
      <c r="F584" t="inlineStr">
        <is>
          <t>Y</t>
        </is>
      </c>
      <c r="G584" t="n">
        <v>197</v>
      </c>
      <c r="H584" t="n">
        <v>-2.699210113297153</v>
      </c>
      <c r="J584" t="n">
        <v>10</v>
      </c>
      <c r="K584">
        <f>'_pockets'!$AI$1128</f>
        <v/>
      </c>
      <c r="L584">
        <f>'_pockets'!$AJ$1128</f>
        <v/>
      </c>
      <c r="M584">
        <f>IF(AND($A584='Pockets'!$D$17,$B584='Pockets'!$C$17,OR('Pockets'!$E$17="All",AND('Pockets'!$E$17="Worse and material",$K584="Yes",$L584="Yes"),AND('Pockets'!$E$17="Worse or not sure",OR($K584="Yes",$K584="Not sure")))),1,0)</f>
        <v/>
      </c>
      <c r="N584">
        <f>$N583+$M584</f>
        <v/>
      </c>
      <c r="O584" t="inlineStr">
        <is>
          <t>three-way</t>
        </is>
      </c>
      <c r="P584" t="inlineStr">
        <is>
          <t>contribution_rate</t>
        </is>
      </c>
    </row>
    <row r="585">
      <c r="A585" t="inlineStr">
        <is>
          <t>Split by SYS_FLAG</t>
        </is>
      </c>
      <c r="B585" t="inlineStr">
        <is>
          <t>Earned before losses</t>
        </is>
      </c>
      <c r="C585" t="n">
        <v>993</v>
      </c>
      <c r="D585" t="inlineStr">
        <is>
          <t>ORIG_BAL 26,324 - 37,950</t>
        </is>
      </c>
      <c r="E585" t="inlineStr">
        <is>
          <t>Broker</t>
        </is>
      </c>
      <c r="F585" t="inlineStr">
        <is>
          <t>N</t>
        </is>
      </c>
      <c r="G585" t="n">
        <v>305</v>
      </c>
      <c r="H585" t="n">
        <v>-2.184475401137035</v>
      </c>
      <c r="J585" t="n">
        <v>11</v>
      </c>
      <c r="K585">
        <f>'_pockets'!$AI$993</f>
        <v/>
      </c>
      <c r="L585">
        <f>'_pockets'!$AJ$993</f>
        <v/>
      </c>
      <c r="M585">
        <f>IF(AND($A585='Pockets'!$D$17,$B585='Pockets'!$C$17,OR('Pockets'!$E$17="All",AND('Pockets'!$E$17="Worse and material",$K585="Yes",$L585="Yes"),AND('Pockets'!$E$17="Worse or not sure",OR($K585="Yes",$K585="Not sure")))),1,0)</f>
        <v/>
      </c>
      <c r="N585">
        <f>$N584+$M585</f>
        <v/>
      </c>
      <c r="O585" t="inlineStr">
        <is>
          <t>three-way</t>
        </is>
      </c>
      <c r="P585" t="inlineStr">
        <is>
          <t>contribution_rate</t>
        </is>
      </c>
    </row>
    <row r="586">
      <c r="A586" t="inlineStr">
        <is>
          <t>Split by SYS_FLAG</t>
        </is>
      </c>
      <c r="B586" t="inlineStr">
        <is>
          <t>Earned before losses</t>
        </is>
      </c>
      <c r="C586" t="n">
        <v>958</v>
      </c>
      <c r="D586" t="inlineStr">
        <is>
          <t>ORIG_BAL 49,152 - 59,984</t>
        </is>
      </c>
      <c r="E586" t="inlineStr">
        <is>
          <t>Broker</t>
        </is>
      </c>
      <c r="F586" t="inlineStr">
        <is>
          <t>Y</t>
        </is>
      </c>
      <c r="G586" t="n">
        <v>242</v>
      </c>
      <c r="H586" t="n">
        <v>-2.442408829397767</v>
      </c>
      <c r="J586" t="n">
        <v>12</v>
      </c>
      <c r="K586">
        <f>'_pockets'!$AI$958</f>
        <v/>
      </c>
      <c r="L586">
        <f>'_pockets'!$AJ$958</f>
        <v/>
      </c>
      <c r="M586">
        <f>IF(AND($A586='Pockets'!$D$17,$B586='Pockets'!$C$17,OR('Pockets'!$E$17="All",AND('Pockets'!$E$17="Worse and material",$K586="Yes",$L586="Yes"),AND('Pockets'!$E$17="Worse or not sure",OR($K586="Yes",$K586="Not sure")))),1,0)</f>
        <v/>
      </c>
      <c r="N586">
        <f>$N585+$M586</f>
        <v/>
      </c>
      <c r="O586" t="inlineStr">
        <is>
          <t>three-way</t>
        </is>
      </c>
      <c r="P586" t="inlineStr">
        <is>
          <t>contribution_rate</t>
        </is>
      </c>
    </row>
    <row r="587">
      <c r="A587" t="inlineStr">
        <is>
          <t>Split by SYS_FLAG</t>
        </is>
      </c>
      <c r="B587" t="inlineStr">
        <is>
          <t>Earned before losses</t>
        </is>
      </c>
      <c r="C587" t="n">
        <v>798</v>
      </c>
      <c r="D587" t="inlineStr">
        <is>
          <t>FICO 496 - 653</t>
        </is>
      </c>
      <c r="E587" t="inlineStr">
        <is>
          <t>ASSET_CLASS 2</t>
        </is>
      </c>
      <c r="F587" t="inlineStr">
        <is>
          <t>Y</t>
        </is>
      </c>
      <c r="G587" t="n">
        <v>181</v>
      </c>
      <c r="H587" t="n">
        <v>-2.81310278746514</v>
      </c>
      <c r="J587" t="n">
        <v>13</v>
      </c>
      <c r="K587">
        <f>'_pockets'!$AI$798</f>
        <v/>
      </c>
      <c r="L587">
        <f>'_pockets'!$AJ$798</f>
        <v/>
      </c>
      <c r="M587">
        <f>IF(AND($A587='Pockets'!$D$17,$B587='Pockets'!$C$17,OR('Pockets'!$E$17="All",AND('Pockets'!$E$17="Worse and material",$K587="Yes",$L587="Yes"),AND('Pockets'!$E$17="Worse or not sure",OR($K587="Yes",$K587="Not sure")))),1,0)</f>
        <v/>
      </c>
      <c r="N587">
        <f>$N586+$M587</f>
        <v/>
      </c>
      <c r="O587" t="inlineStr">
        <is>
          <t>three-way</t>
        </is>
      </c>
      <c r="P587" t="inlineStr">
        <is>
          <t>contribution_rate</t>
        </is>
      </c>
    </row>
    <row r="588">
      <c r="A588" t="inlineStr">
        <is>
          <t>Split by SYS_FLAG</t>
        </is>
      </c>
      <c r="B588" t="inlineStr">
        <is>
          <t>Earned before losses</t>
        </is>
      </c>
      <c r="C588" t="n">
        <v>953</v>
      </c>
      <c r="D588" t="inlineStr">
        <is>
          <t>ORIG_BAL 49,152 - 59,984</t>
        </is>
      </c>
      <c r="E588" t="inlineStr">
        <is>
          <t>Broker</t>
        </is>
      </c>
      <c r="F588" t="inlineStr">
        <is>
          <t>N</t>
        </is>
      </c>
      <c r="G588" t="n">
        <v>278</v>
      </c>
      <c r="H588" t="n">
        <v>-2.284093597024075</v>
      </c>
      <c r="J588" t="n">
        <v>14</v>
      </c>
      <c r="K588">
        <f>'_pockets'!$AI$953</f>
        <v/>
      </c>
      <c r="L588">
        <f>'_pockets'!$AJ$953</f>
        <v/>
      </c>
      <c r="M588">
        <f>IF(AND($A588='Pockets'!$D$17,$B588='Pockets'!$C$17,OR('Pockets'!$E$17="All",AND('Pockets'!$E$17="Worse and material",$K588="Yes",$L588="Yes"),AND('Pockets'!$E$17="Worse or not sure",OR($K588="Yes",$K588="Not sure")))),1,0)</f>
        <v/>
      </c>
      <c r="N588">
        <f>$N587+$M588</f>
        <v/>
      </c>
      <c r="O588" t="inlineStr">
        <is>
          <t>three-way</t>
        </is>
      </c>
      <c r="P588" t="inlineStr">
        <is>
          <t>contribution_rate</t>
        </is>
      </c>
    </row>
    <row r="589">
      <c r="A589" t="inlineStr">
        <is>
          <t>Split by SYS_FLAG</t>
        </is>
      </c>
      <c r="B589" t="inlineStr">
        <is>
          <t>Earned before losses</t>
        </is>
      </c>
      <c r="C589" t="n">
        <v>518</v>
      </c>
      <c r="D589" t="inlineStr">
        <is>
          <t>FICO 686 - 711</t>
        </is>
      </c>
      <c r="E589" t="inlineStr">
        <is>
          <t>Broker</t>
        </is>
      </c>
      <c r="F589" t="inlineStr">
        <is>
          <t>N</t>
        </is>
      </c>
      <c r="G589" t="n">
        <v>271</v>
      </c>
      <c r="H589" t="n">
        <v>-2.312356777274378</v>
      </c>
      <c r="J589" t="n">
        <v>15</v>
      </c>
      <c r="K589">
        <f>'_pockets'!$AI$518</f>
        <v/>
      </c>
      <c r="L589">
        <f>'_pockets'!$AJ$518</f>
        <v/>
      </c>
      <c r="M589">
        <f>IF(AND($A589='Pockets'!$D$17,$B589='Pockets'!$C$17,OR('Pockets'!$E$17="All",AND('Pockets'!$E$17="Worse and material",$K589="Yes",$L589="Yes"),AND('Pockets'!$E$17="Worse or not sure",OR($K589="Yes",$K589="Not sure")))),1,0)</f>
        <v/>
      </c>
      <c r="N589">
        <f>$N588+$M589</f>
        <v/>
      </c>
      <c r="O589" t="inlineStr">
        <is>
          <t>three-way</t>
        </is>
      </c>
      <c r="P589" t="inlineStr">
        <is>
          <t>contribution_rate</t>
        </is>
      </c>
    </row>
    <row r="590">
      <c r="A590" t="inlineStr">
        <is>
          <t>Split by SYS_FLAG</t>
        </is>
      </c>
      <c r="B590" t="inlineStr">
        <is>
          <t>Earned before losses</t>
        </is>
      </c>
      <c r="C590" t="n">
        <v>523</v>
      </c>
      <c r="D590" t="inlineStr">
        <is>
          <t>FICO 654 - 685</t>
        </is>
      </c>
      <c r="E590" t="inlineStr">
        <is>
          <t>Broker</t>
        </is>
      </c>
      <c r="F590" t="inlineStr">
        <is>
          <t>Y</t>
        </is>
      </c>
      <c r="G590" t="n">
        <v>244</v>
      </c>
      <c r="H590" t="n">
        <v>-2.432692033754823</v>
      </c>
      <c r="J590" t="n">
        <v>16</v>
      </c>
      <c r="K590">
        <f>'_pockets'!$AI$523</f>
        <v/>
      </c>
      <c r="L590">
        <f>'_pockets'!$AJ$523</f>
        <v/>
      </c>
      <c r="M590">
        <f>IF(AND($A590='Pockets'!$D$17,$B590='Pockets'!$C$17,OR('Pockets'!$E$17="All",AND('Pockets'!$E$17="Worse and material",$K590="Yes",$L590="Yes"),AND('Pockets'!$E$17="Worse or not sure",OR($K590="Yes",$K590="Not sure")))),1,0)</f>
        <v/>
      </c>
      <c r="N590">
        <f>$N589+$M590</f>
        <v/>
      </c>
      <c r="O590" t="inlineStr">
        <is>
          <t>three-way</t>
        </is>
      </c>
      <c r="P590" t="inlineStr">
        <is>
          <t>contribution_rate</t>
        </is>
      </c>
    </row>
    <row r="591">
      <c r="A591" t="inlineStr">
        <is>
          <t>Split by SYS_FLAG</t>
        </is>
      </c>
      <c r="B591" t="inlineStr">
        <is>
          <t>Earned before losses</t>
        </is>
      </c>
      <c r="C591" t="n">
        <v>1018</v>
      </c>
      <c r="D591" t="inlineStr">
        <is>
          <t>ORIG_BAL 26,324 - 37,950</t>
        </is>
      </c>
      <c r="E591" t="inlineStr">
        <is>
          <t>ASSET_CLASS 2</t>
        </is>
      </c>
      <c r="F591" t="inlineStr">
        <is>
          <t>N</t>
        </is>
      </c>
      <c r="G591" t="n">
        <v>253</v>
      </c>
      <c r="H591" t="n">
        <v>-2.390418673867845</v>
      </c>
      <c r="J591" t="n">
        <v>17</v>
      </c>
      <c r="K591">
        <f>'_pockets'!$AI$1018</f>
        <v/>
      </c>
      <c r="L591">
        <f>'_pockets'!$AJ$1018</f>
        <v/>
      </c>
      <c r="M591">
        <f>IF(AND($A591='Pockets'!$D$17,$B591='Pockets'!$C$17,OR('Pockets'!$E$17="All",AND('Pockets'!$E$17="Worse and material",$K591="Yes",$L591="Yes"),AND('Pockets'!$E$17="Worse or not sure",OR($K591="Yes",$K591="Not sure")))),1,0)</f>
        <v/>
      </c>
      <c r="N591">
        <f>$N590+$M591</f>
        <v/>
      </c>
      <c r="O591" t="inlineStr">
        <is>
          <t>three-way</t>
        </is>
      </c>
      <c r="P591" t="inlineStr">
        <is>
          <t>contribution_rate</t>
        </is>
      </c>
    </row>
    <row r="592">
      <c r="A592" t="inlineStr">
        <is>
          <t>Split by SYS_FLAG</t>
        </is>
      </c>
      <c r="B592" t="inlineStr">
        <is>
          <t>Earned before losses</t>
        </is>
      </c>
      <c r="C592" t="n">
        <v>713</v>
      </c>
      <c r="D592" t="inlineStr">
        <is>
          <t>FICO 712 - 745</t>
        </is>
      </c>
      <c r="E592" t="inlineStr">
        <is>
          <t>ASSET_CLASS 2</t>
        </is>
      </c>
      <c r="F592" t="inlineStr">
        <is>
          <t>N</t>
        </is>
      </c>
      <c r="G592" t="n">
        <v>247</v>
      </c>
      <c r="H592" t="n">
        <v>-2.418341337107754</v>
      </c>
      <c r="J592" t="n">
        <v>18</v>
      </c>
      <c r="K592">
        <f>'_pockets'!$AI$713</f>
        <v/>
      </c>
      <c r="L592">
        <f>'_pockets'!$AJ$713</f>
        <v/>
      </c>
      <c r="M592">
        <f>IF(AND($A592='Pockets'!$D$17,$B592='Pockets'!$C$17,OR('Pockets'!$E$17="All",AND('Pockets'!$E$17="Worse and material",$K592="Yes",$L592="Yes"),AND('Pockets'!$E$17="Worse or not sure",OR($K592="Yes",$K592="Not sure")))),1,0)</f>
        <v/>
      </c>
      <c r="N592">
        <f>$N591+$M592</f>
        <v/>
      </c>
      <c r="O592" t="inlineStr">
        <is>
          <t>three-way</t>
        </is>
      </c>
      <c r="P592" t="inlineStr">
        <is>
          <t>contribution_rate</t>
        </is>
      </c>
    </row>
    <row r="593">
      <c r="A593" t="inlineStr">
        <is>
          <t>Split by SYS_FLAG</t>
        </is>
      </c>
      <c r="B593" t="inlineStr">
        <is>
          <t>Earned before losses</t>
        </is>
      </c>
      <c r="C593" t="n">
        <v>878</v>
      </c>
      <c r="D593" t="inlineStr">
        <is>
          <t>ORIG_BAL 15,449 - 26,323</t>
        </is>
      </c>
      <c r="E593" t="inlineStr">
        <is>
          <t>Broker</t>
        </is>
      </c>
      <c r="F593" t="inlineStr">
        <is>
          <t>N</t>
        </is>
      </c>
      <c r="G593" t="n">
        <v>293</v>
      </c>
      <c r="H593" t="n">
        <v>-2.227023566418174</v>
      </c>
      <c r="J593" t="n">
        <v>19</v>
      </c>
      <c r="K593">
        <f>'_pockets'!$AI$878</f>
        <v/>
      </c>
      <c r="L593">
        <f>'_pockets'!$AJ$878</f>
        <v/>
      </c>
      <c r="M593">
        <f>IF(AND($A593='Pockets'!$D$17,$B593='Pockets'!$C$17,OR('Pockets'!$E$17="All",AND('Pockets'!$E$17="Worse and material",$K593="Yes",$L593="Yes"),AND('Pockets'!$E$17="Worse or not sure",OR($K593="Yes",$K593="Not sure")))),1,0)</f>
        <v/>
      </c>
      <c r="N593">
        <f>$N592+$M593</f>
        <v/>
      </c>
      <c r="O593" t="inlineStr">
        <is>
          <t>three-way</t>
        </is>
      </c>
      <c r="P593" t="inlineStr">
        <is>
          <t>contribution_rate</t>
        </is>
      </c>
    </row>
    <row r="594">
      <c r="A594" t="inlineStr">
        <is>
          <t>Split by SYS_FLAG</t>
        </is>
      </c>
      <c r="B594" t="inlineStr">
        <is>
          <t>Earned before losses</t>
        </is>
      </c>
      <c r="C594" t="n">
        <v>773</v>
      </c>
      <c r="D594" t="inlineStr">
        <is>
          <t>FICO 686 - 711</t>
        </is>
      </c>
      <c r="E594" t="inlineStr">
        <is>
          <t>ASSET_CLASS 2</t>
        </is>
      </c>
      <c r="F594" t="inlineStr">
        <is>
          <t>Y</t>
        </is>
      </c>
      <c r="G594" t="n">
        <v>179</v>
      </c>
      <c r="H594" t="n">
        <v>-2.82841298524499</v>
      </c>
      <c r="J594" t="n">
        <v>20</v>
      </c>
      <c r="K594">
        <f>'_pockets'!$AI$773</f>
        <v/>
      </c>
      <c r="L594">
        <f>'_pockets'!$AJ$773</f>
        <v/>
      </c>
      <c r="M594">
        <f>IF(AND($A594='Pockets'!$D$17,$B594='Pockets'!$C$17,OR('Pockets'!$E$17="All",AND('Pockets'!$E$17="Worse and material",$K594="Yes",$L594="Yes"),AND('Pockets'!$E$17="Worse or not sure",OR($K594="Yes",$K594="Not sure")))),1,0)</f>
        <v/>
      </c>
      <c r="N594">
        <f>$N593+$M594</f>
        <v/>
      </c>
      <c r="O594" t="inlineStr">
        <is>
          <t>three-way</t>
        </is>
      </c>
      <c r="P594" t="inlineStr">
        <is>
          <t>contribution_rate</t>
        </is>
      </c>
    </row>
    <row r="595">
      <c r="A595" t="inlineStr">
        <is>
          <t>Split by SYS_FLAG</t>
        </is>
      </c>
      <c r="B595" t="inlineStr">
        <is>
          <t>Earned before losses</t>
        </is>
      </c>
      <c r="C595" t="n">
        <v>1008</v>
      </c>
      <c r="D595" t="inlineStr">
        <is>
          <t>ORIG_BAL 37,951 - 49,151</t>
        </is>
      </c>
      <c r="E595" t="inlineStr">
        <is>
          <t>ASSET_CLASS 1</t>
        </is>
      </c>
      <c r="F595" t="inlineStr">
        <is>
          <t>N</t>
        </is>
      </c>
      <c r="G595" t="n">
        <v>206</v>
      </c>
      <c r="H595" t="n">
        <v>-2.641112266992605</v>
      </c>
      <c r="J595" t="n">
        <v>21</v>
      </c>
      <c r="K595">
        <f>'_pockets'!$AI$1008</f>
        <v/>
      </c>
      <c r="L595">
        <f>'_pockets'!$AJ$1008</f>
        <v/>
      </c>
      <c r="M595">
        <f>IF(AND($A595='Pockets'!$D$17,$B595='Pockets'!$C$17,OR('Pockets'!$E$17="All",AND('Pockets'!$E$17="Worse and material",$K595="Yes",$L595="Yes"),AND('Pockets'!$E$17="Worse or not sure",OR($K595="Yes",$K595="Not sure")))),1,0)</f>
        <v/>
      </c>
      <c r="N595">
        <f>$N594+$M595</f>
        <v/>
      </c>
      <c r="O595" t="inlineStr">
        <is>
          <t>three-way</t>
        </is>
      </c>
      <c r="P595" t="inlineStr">
        <is>
          <t>contribution_rate</t>
        </is>
      </c>
    </row>
    <row r="596">
      <c r="A596" t="inlineStr">
        <is>
          <t>Split by SYS_FLAG</t>
        </is>
      </c>
      <c r="B596" t="inlineStr">
        <is>
          <t>Earned before losses</t>
        </is>
      </c>
      <c r="C596" t="n">
        <v>868</v>
      </c>
      <c r="D596" t="inlineStr">
        <is>
          <t>ORIG_BAL 26,324 - 37,950</t>
        </is>
      </c>
      <c r="E596" t="inlineStr">
        <is>
          <t>Branch</t>
        </is>
      </c>
      <c r="F596" t="inlineStr">
        <is>
          <t>Y</t>
        </is>
      </c>
      <c r="G596" t="n">
        <v>236</v>
      </c>
      <c r="H596" t="n">
        <v>-2.472305436121283</v>
      </c>
      <c r="J596" t="n">
        <v>22</v>
      </c>
      <c r="K596">
        <f>'_pockets'!$AI$868</f>
        <v/>
      </c>
      <c r="L596">
        <f>'_pockets'!$AJ$868</f>
        <v/>
      </c>
      <c r="M596">
        <f>IF(AND($A596='Pockets'!$D$17,$B596='Pockets'!$C$17,OR('Pockets'!$E$17="All",AND('Pockets'!$E$17="Worse and material",$K596="Yes",$L596="Yes"),AND('Pockets'!$E$17="Worse or not sure",OR($K596="Yes",$K596="Not sure")))),1,0)</f>
        <v/>
      </c>
      <c r="N596">
        <f>$N595+$M596</f>
        <v/>
      </c>
      <c r="O596" t="inlineStr">
        <is>
          <t>three-way</t>
        </is>
      </c>
      <c r="P596" t="inlineStr">
        <is>
          <t>contribution_rate</t>
        </is>
      </c>
    </row>
    <row r="597">
      <c r="A597" t="inlineStr">
        <is>
          <t>Split by SYS_FLAG</t>
        </is>
      </c>
      <c r="B597" t="inlineStr">
        <is>
          <t>Earned before losses</t>
        </is>
      </c>
      <c r="C597" t="n">
        <v>473</v>
      </c>
      <c r="D597" t="inlineStr">
        <is>
          <t>FICO 712 - 745</t>
        </is>
      </c>
      <c r="E597" t="inlineStr">
        <is>
          <t>Broker</t>
        </is>
      </c>
      <c r="F597" t="inlineStr">
        <is>
          <t>Y</t>
        </is>
      </c>
      <c r="G597" t="n">
        <v>218</v>
      </c>
      <c r="H597" t="n">
        <v>-2.569371480191697</v>
      </c>
      <c r="J597" t="n">
        <v>23</v>
      </c>
      <c r="K597">
        <f>'_pockets'!$AI$473</f>
        <v/>
      </c>
      <c r="L597">
        <f>'_pockets'!$AJ$473</f>
        <v/>
      </c>
      <c r="M597">
        <f>IF(AND($A597='Pockets'!$D$17,$B597='Pockets'!$C$17,OR('Pockets'!$E$17="All",AND('Pockets'!$E$17="Worse and material",$K597="Yes",$L597="Yes"),AND('Pockets'!$E$17="Worse or not sure",OR($K597="Yes",$K597="Not sure")))),1,0)</f>
        <v/>
      </c>
      <c r="N597">
        <f>$N596+$M597</f>
        <v/>
      </c>
      <c r="O597" t="inlineStr">
        <is>
          <t>three-way</t>
        </is>
      </c>
      <c r="P597" t="inlineStr">
        <is>
          <t>contribution_rate</t>
        </is>
      </c>
    </row>
    <row r="598">
      <c r="A598" t="inlineStr">
        <is>
          <t>Split by SYS_FLAG</t>
        </is>
      </c>
      <c r="B598" t="inlineStr">
        <is>
          <t>Earned before losses</t>
        </is>
      </c>
      <c r="C598" t="n">
        <v>498</v>
      </c>
      <c r="D598" t="inlineStr">
        <is>
          <t>FICO 496 - 653</t>
        </is>
      </c>
      <c r="E598" t="inlineStr">
        <is>
          <t>Branch</t>
        </is>
      </c>
      <c r="F598" t="inlineStr">
        <is>
          <t>Y</t>
        </is>
      </c>
      <c r="G598" t="n">
        <v>231</v>
      </c>
      <c r="H598" t="n">
        <v>-2.498114280037263</v>
      </c>
      <c r="J598" t="n">
        <v>24</v>
      </c>
      <c r="K598">
        <f>'_pockets'!$AI$498</f>
        <v/>
      </c>
      <c r="L598">
        <f>'_pockets'!$AJ$498</f>
        <v/>
      </c>
      <c r="M598">
        <f>IF(AND($A598='Pockets'!$D$17,$B598='Pockets'!$C$17,OR('Pockets'!$E$17="All",AND('Pockets'!$E$17="Worse and material",$K598="Yes",$L598="Yes"),AND('Pockets'!$E$17="Worse or not sure",OR($K598="Yes",$K598="Not sure")))),1,0)</f>
        <v/>
      </c>
      <c r="N598">
        <f>$N597+$M598</f>
        <v/>
      </c>
      <c r="O598" t="inlineStr">
        <is>
          <t>three-way</t>
        </is>
      </c>
      <c r="P598" t="inlineStr">
        <is>
          <t>contribution_rate</t>
        </is>
      </c>
    </row>
    <row r="599">
      <c r="A599" t="inlineStr">
        <is>
          <t>Split by SYS_FLAG</t>
        </is>
      </c>
      <c r="B599" t="inlineStr">
        <is>
          <t>Earned before losses</t>
        </is>
      </c>
      <c r="C599" t="n">
        <v>783</v>
      </c>
      <c r="D599" t="inlineStr">
        <is>
          <t>FICO 654 - 685</t>
        </is>
      </c>
      <c r="E599" t="inlineStr">
        <is>
          <t>ASSET_CLASS 3</t>
        </is>
      </c>
      <c r="F599" t="inlineStr">
        <is>
          <t>Y</t>
        </is>
      </c>
      <c r="G599" t="n">
        <v>193</v>
      </c>
      <c r="H599" t="n">
        <v>-2.726338875237242</v>
      </c>
      <c r="J599" t="n">
        <v>25</v>
      </c>
      <c r="K599">
        <f>'_pockets'!$AI$783</f>
        <v/>
      </c>
      <c r="L599">
        <f>'_pockets'!$AJ$783</f>
        <v/>
      </c>
      <c r="M599">
        <f>IF(AND($A599='Pockets'!$D$17,$B599='Pockets'!$C$17,OR('Pockets'!$E$17="All",AND('Pockets'!$E$17="Worse and material",$K599="Yes",$L599="Yes"),AND('Pockets'!$E$17="Worse or not sure",OR($K599="Yes",$K599="Not sure")))),1,0)</f>
        <v/>
      </c>
      <c r="N599">
        <f>$N598+$M599</f>
        <v/>
      </c>
      <c r="O599" t="inlineStr">
        <is>
          <t>three-way</t>
        </is>
      </c>
      <c r="P599" t="inlineStr">
        <is>
          <t>contribution_rate</t>
        </is>
      </c>
    </row>
    <row r="600">
      <c r="A600" t="inlineStr">
        <is>
          <t>Split by SYS_FLAG</t>
        </is>
      </c>
      <c r="B600" t="inlineStr">
        <is>
          <t>Earned before losses</t>
        </is>
      </c>
      <c r="C600" t="n">
        <v>468</v>
      </c>
      <c r="D600" t="inlineStr">
        <is>
          <t>FICO 654 - 685</t>
        </is>
      </c>
      <c r="E600" t="inlineStr">
        <is>
          <t>Branch</t>
        </is>
      </c>
      <c r="F600" t="inlineStr">
        <is>
          <t>N</t>
        </is>
      </c>
      <c r="G600" t="n">
        <v>249</v>
      </c>
      <c r="H600" t="n">
        <v>-2.408920350127297</v>
      </c>
      <c r="J600" t="n">
        <v>26</v>
      </c>
      <c r="K600">
        <f>'_pockets'!$AI$468</f>
        <v/>
      </c>
      <c r="L600">
        <f>'_pockets'!$AJ$468</f>
        <v/>
      </c>
      <c r="M600">
        <f>IF(AND($A600='Pockets'!$D$17,$B600='Pockets'!$C$17,OR('Pockets'!$E$17="All",AND('Pockets'!$E$17="Worse and material",$K600="Yes",$L600="Yes"),AND('Pockets'!$E$17="Worse or not sure",OR($K600="Yes",$K600="Not sure")))),1,0)</f>
        <v/>
      </c>
      <c r="N600">
        <f>$N599+$M600</f>
        <v/>
      </c>
      <c r="O600" t="inlineStr">
        <is>
          <t>three-way</t>
        </is>
      </c>
      <c r="P600" t="inlineStr">
        <is>
          <t>contribution_rate</t>
        </is>
      </c>
    </row>
    <row r="601">
      <c r="A601" t="inlineStr">
        <is>
          <t>Split by SYS_FLAG</t>
        </is>
      </c>
      <c r="B601" t="inlineStr">
        <is>
          <t>Earned before losses</t>
        </is>
      </c>
      <c r="C601" t="n">
        <v>1143</v>
      </c>
      <c r="D601" t="inlineStr">
        <is>
          <t>ORIG_BAL 37,951 - 49,151</t>
        </is>
      </c>
      <c r="E601" t="inlineStr">
        <is>
          <t>ASSET_CLASS 3</t>
        </is>
      </c>
      <c r="F601" t="inlineStr">
        <is>
          <t>Y</t>
        </is>
      </c>
      <c r="G601" t="n">
        <v>195</v>
      </c>
      <c r="H601" t="n">
        <v>-2.71266919348924</v>
      </c>
      <c r="J601" t="n">
        <v>27</v>
      </c>
      <c r="K601">
        <f>'_pockets'!$AI$1143</f>
        <v/>
      </c>
      <c r="L601">
        <f>'_pockets'!$AJ$1143</f>
        <v/>
      </c>
      <c r="M601">
        <f>IF(AND($A601='Pockets'!$D$17,$B601='Pockets'!$C$17,OR('Pockets'!$E$17="All",AND('Pockets'!$E$17="Worse and material",$K601="Yes",$L601="Yes"),AND('Pockets'!$E$17="Worse or not sure",OR($K601="Yes",$K601="Not sure")))),1,0)</f>
        <v/>
      </c>
      <c r="N601">
        <f>$N600+$M601</f>
        <v/>
      </c>
      <c r="O601" t="inlineStr">
        <is>
          <t>three-way</t>
        </is>
      </c>
      <c r="P601" t="inlineStr">
        <is>
          <t>contribution_rate</t>
        </is>
      </c>
    </row>
    <row r="602">
      <c r="A602" t="inlineStr">
        <is>
          <t>Split by SYS_FLAG</t>
        </is>
      </c>
      <c r="B602" t="inlineStr">
        <is>
          <t>Earned before losses</t>
        </is>
      </c>
      <c r="C602" t="n">
        <v>1078</v>
      </c>
      <c r="D602" t="inlineStr">
        <is>
          <t>ORIG_BAL 49,152 - 59,984</t>
        </is>
      </c>
      <c r="E602" t="inlineStr">
        <is>
          <t>ASSET_CLASS 3</t>
        </is>
      </c>
      <c r="F602" t="inlineStr">
        <is>
          <t>N</t>
        </is>
      </c>
      <c r="G602" t="n">
        <v>226</v>
      </c>
      <c r="H602" t="n">
        <v>-2.524784579041438</v>
      </c>
      <c r="J602" t="n">
        <v>28</v>
      </c>
      <c r="K602">
        <f>'_pockets'!$AI$1078</f>
        <v/>
      </c>
      <c r="L602">
        <f>'_pockets'!$AJ$1078</f>
        <v/>
      </c>
      <c r="M602">
        <f>IF(AND($A602='Pockets'!$D$17,$B602='Pockets'!$C$17,OR('Pockets'!$E$17="All",AND('Pockets'!$E$17="Worse and material",$K602="Yes",$L602="Yes"),AND('Pockets'!$E$17="Worse or not sure",OR($K602="Yes",$K602="Not sure")))),1,0)</f>
        <v/>
      </c>
      <c r="N602">
        <f>$N601+$M602</f>
        <v/>
      </c>
      <c r="O602" t="inlineStr">
        <is>
          <t>three-way</t>
        </is>
      </c>
      <c r="P602" t="inlineStr">
        <is>
          <t>contribution_rate</t>
        </is>
      </c>
    </row>
    <row r="603">
      <c r="A603" t="inlineStr">
        <is>
          <t>Split by SYS_FLAG</t>
        </is>
      </c>
      <c r="B603" t="inlineStr">
        <is>
          <t>Earned before losses</t>
        </is>
      </c>
      <c r="C603" t="n">
        <v>1043</v>
      </c>
      <c r="D603" t="inlineStr">
        <is>
          <t>ORIG_BAL 15,449 - 26,323</t>
        </is>
      </c>
      <c r="E603" t="inlineStr">
        <is>
          <t>ASSET_CLASS 4</t>
        </is>
      </c>
      <c r="F603" t="inlineStr">
        <is>
          <t>N</t>
        </is>
      </c>
      <c r="G603" t="n">
        <v>223</v>
      </c>
      <c r="H603" t="n">
        <v>-2.541220289218607</v>
      </c>
      <c r="J603" t="n">
        <v>29</v>
      </c>
      <c r="K603">
        <f>'_pockets'!$AI$1043</f>
        <v/>
      </c>
      <c r="L603">
        <f>'_pockets'!$AJ$1043</f>
        <v/>
      </c>
      <c r="M603">
        <f>IF(AND($A603='Pockets'!$D$17,$B603='Pockets'!$C$17,OR('Pockets'!$E$17="All",AND('Pockets'!$E$17="Worse and material",$K603="Yes",$L603="Yes"),AND('Pockets'!$E$17="Worse or not sure",OR($K603="Yes",$K603="Not sure")))),1,0)</f>
        <v/>
      </c>
      <c r="N603">
        <f>$N602+$M603</f>
        <v/>
      </c>
      <c r="O603" t="inlineStr">
        <is>
          <t>three-way</t>
        </is>
      </c>
      <c r="P603" t="inlineStr">
        <is>
          <t>contribution_rate</t>
        </is>
      </c>
    </row>
    <row r="604">
      <c r="A604" t="inlineStr">
        <is>
          <t>Split by SYS_FLAG</t>
        </is>
      </c>
      <c r="B604" t="inlineStr">
        <is>
          <t>Earned before losses</t>
        </is>
      </c>
      <c r="C604" t="n">
        <v>863</v>
      </c>
      <c r="D604" t="inlineStr">
        <is>
          <t>ORIG_BAL 26,324 - 37,950</t>
        </is>
      </c>
      <c r="E604" t="inlineStr">
        <is>
          <t>Branch</t>
        </is>
      </c>
      <c r="F604" t="inlineStr">
        <is>
          <t>N</t>
        </is>
      </c>
      <c r="G604" t="n">
        <v>282</v>
      </c>
      <c r="H604" t="n">
        <v>-2.268424247288259</v>
      </c>
      <c r="J604" t="n">
        <v>30</v>
      </c>
      <c r="K604">
        <f>'_pockets'!$AI$863</f>
        <v/>
      </c>
      <c r="L604">
        <f>'_pockets'!$AJ$863</f>
        <v/>
      </c>
      <c r="M604">
        <f>IF(AND($A604='Pockets'!$D$17,$B604='Pockets'!$C$17,OR('Pockets'!$E$17="All",AND('Pockets'!$E$17="Worse and material",$K604="Yes",$L604="Yes"),AND('Pockets'!$E$17="Worse or not sure",OR($K604="Yes",$K604="Not sure")))),1,0)</f>
        <v/>
      </c>
      <c r="N604">
        <f>$N603+$M604</f>
        <v/>
      </c>
      <c r="O604" t="inlineStr">
        <is>
          <t>three-way</t>
        </is>
      </c>
      <c r="P604" t="inlineStr">
        <is>
          <t>contribution_rate</t>
        </is>
      </c>
    </row>
    <row r="605">
      <c r="A605" t="inlineStr">
        <is>
          <t>Split by SYS_FLAG</t>
        </is>
      </c>
      <c r="B605" t="inlineStr">
        <is>
          <t>Earned before losses</t>
        </is>
      </c>
      <c r="C605" t="n">
        <v>1093</v>
      </c>
      <c r="D605" t="inlineStr">
        <is>
          <t>ORIG_BAL 49,152 - 59,984</t>
        </is>
      </c>
      <c r="E605" t="inlineStr">
        <is>
          <t>ASSET_CLASS 3</t>
        </is>
      </c>
      <c r="F605" t="inlineStr">
        <is>
          <t>Y</t>
        </is>
      </c>
      <c r="G605" t="n">
        <v>179</v>
      </c>
      <c r="H605" t="n">
        <v>-2.82841298524499</v>
      </c>
      <c r="J605" t="n">
        <v>31</v>
      </c>
      <c r="K605">
        <f>'_pockets'!$AI$1093</f>
        <v/>
      </c>
      <c r="L605">
        <f>'_pockets'!$AJ$1093</f>
        <v/>
      </c>
      <c r="M605">
        <f>IF(AND($A605='Pockets'!$D$17,$B605='Pockets'!$C$17,OR('Pockets'!$E$17="All",AND('Pockets'!$E$17="Worse and material",$K605="Yes",$L605="Yes"),AND('Pockets'!$E$17="Worse or not sure",OR($K605="Yes",$K605="Not sure")))),1,0)</f>
        <v/>
      </c>
      <c r="N605">
        <f>$N604+$M605</f>
        <v/>
      </c>
      <c r="O605" t="inlineStr">
        <is>
          <t>three-way</t>
        </is>
      </c>
      <c r="P605" t="inlineStr">
        <is>
          <t>contribution_rate</t>
        </is>
      </c>
    </row>
    <row r="606">
      <c r="A606" t="inlineStr">
        <is>
          <t>Split by SYS_FLAG</t>
        </is>
      </c>
      <c r="B606" t="inlineStr">
        <is>
          <t>Earned before losses</t>
        </is>
      </c>
      <c r="C606" t="n">
        <v>488</v>
      </c>
      <c r="D606" t="inlineStr">
        <is>
          <t>FICO 654 - 685</t>
        </is>
      </c>
      <c r="E606" t="inlineStr">
        <is>
          <t>Branch</t>
        </is>
      </c>
      <c r="F606" t="inlineStr">
        <is>
          <t>Y</t>
        </is>
      </c>
      <c r="G606" t="n">
        <v>254</v>
      </c>
      <c r="H606" t="n">
        <v>-2.385862515669908</v>
      </c>
      <c r="J606" t="n">
        <v>32</v>
      </c>
      <c r="K606">
        <f>'_pockets'!$AI$488</f>
        <v/>
      </c>
      <c r="L606">
        <f>'_pockets'!$AJ$488</f>
        <v/>
      </c>
      <c r="M606">
        <f>IF(AND($A606='Pockets'!$D$17,$B606='Pockets'!$C$17,OR('Pockets'!$E$17="All",AND('Pockets'!$E$17="Worse and material",$K606="Yes",$L606="Yes"),AND('Pockets'!$E$17="Worse or not sure",OR($K606="Yes",$K606="Not sure")))),1,0)</f>
        <v/>
      </c>
      <c r="N606">
        <f>$N605+$M606</f>
        <v/>
      </c>
      <c r="O606" t="inlineStr">
        <is>
          <t>three-way</t>
        </is>
      </c>
      <c r="P606" t="inlineStr">
        <is>
          <t>contribution_rate</t>
        </is>
      </c>
    </row>
    <row r="607">
      <c r="A607" t="inlineStr">
        <is>
          <t>Split by SYS_FLAG</t>
        </is>
      </c>
      <c r="B607" t="inlineStr">
        <is>
          <t>Earned before losses</t>
        </is>
      </c>
      <c r="C607" t="n">
        <v>818</v>
      </c>
      <c r="D607" t="inlineStr">
        <is>
          <t>FICO 686 - 711</t>
        </is>
      </c>
      <c r="E607" t="inlineStr">
        <is>
          <t>ASSET_CLASS 3</t>
        </is>
      </c>
      <c r="F607" t="inlineStr">
        <is>
          <t>Y</t>
        </is>
      </c>
      <c r="G607" t="n">
        <v>196</v>
      </c>
      <c r="H607" t="n">
        <v>-2.705913664673004</v>
      </c>
      <c r="J607" t="n">
        <v>33</v>
      </c>
      <c r="K607">
        <f>'_pockets'!$AI$818</f>
        <v/>
      </c>
      <c r="L607">
        <f>'_pockets'!$AJ$818</f>
        <v/>
      </c>
      <c r="M607">
        <f>IF(AND($A607='Pockets'!$D$17,$B607='Pockets'!$C$17,OR('Pockets'!$E$17="All",AND('Pockets'!$E$17="Worse and material",$K607="Yes",$L607="Yes"),AND('Pockets'!$E$17="Worse or not sure",OR($K607="Yes",$K607="Not sure")))),1,0)</f>
        <v/>
      </c>
      <c r="N607">
        <f>$N606+$M607</f>
        <v/>
      </c>
      <c r="O607" t="inlineStr">
        <is>
          <t>three-way</t>
        </is>
      </c>
      <c r="P607" t="inlineStr">
        <is>
          <t>contribution_rate</t>
        </is>
      </c>
    </row>
    <row r="608">
      <c r="A608" t="inlineStr">
        <is>
          <t>Split by SYS_FLAG</t>
        </is>
      </c>
      <c r="B608" t="inlineStr">
        <is>
          <t>Earned before losses</t>
        </is>
      </c>
      <c r="C608" t="n">
        <v>678</v>
      </c>
      <c r="D608" t="inlineStr">
        <is>
          <t>FICO 496 - 653</t>
        </is>
      </c>
      <c r="E608" t="inlineStr">
        <is>
          <t>ASSET_CLASS 3</t>
        </is>
      </c>
      <c r="F608" t="inlineStr">
        <is>
          <t>N</t>
        </is>
      </c>
      <c r="G608" t="n">
        <v>184</v>
      </c>
      <c r="H608" t="n">
        <v>-2.790611178199036</v>
      </c>
      <c r="J608" t="n">
        <v>34</v>
      </c>
      <c r="K608">
        <f>'_pockets'!$AI$678</f>
        <v/>
      </c>
      <c r="L608">
        <f>'_pockets'!$AJ$678</f>
        <v/>
      </c>
      <c r="M608">
        <f>IF(AND($A608='Pockets'!$D$17,$B608='Pockets'!$C$17,OR('Pockets'!$E$17="All",AND('Pockets'!$E$17="Worse and material",$K608="Yes",$L608="Yes"),AND('Pockets'!$E$17="Worse or not sure",OR($K608="Yes",$K608="Not sure")))),1,0)</f>
        <v/>
      </c>
      <c r="N608">
        <f>$N607+$M608</f>
        <v/>
      </c>
      <c r="O608" t="inlineStr">
        <is>
          <t>three-way</t>
        </is>
      </c>
      <c r="P608" t="inlineStr">
        <is>
          <t>contribution_rate</t>
        </is>
      </c>
    </row>
    <row r="609">
      <c r="A609" t="inlineStr">
        <is>
          <t>Split by SYS_FLAG</t>
        </is>
      </c>
      <c r="B609" t="inlineStr">
        <is>
          <t>Earned before losses</t>
        </is>
      </c>
      <c r="C609" t="n">
        <v>848</v>
      </c>
      <c r="D609" t="inlineStr">
        <is>
          <t>ORIG_BAL 26,324 - 37,950</t>
        </is>
      </c>
      <c r="E609" t="inlineStr">
        <is>
          <t>Broker</t>
        </is>
      </c>
      <c r="F609" t="inlineStr">
        <is>
          <t>Y</t>
        </is>
      </c>
      <c r="G609" t="n">
        <v>248</v>
      </c>
      <c r="H609" t="n">
        <v>-2.413616426106518</v>
      </c>
      <c r="J609" t="n">
        <v>35</v>
      </c>
      <c r="K609">
        <f>'_pockets'!$AI$848</f>
        <v/>
      </c>
      <c r="L609">
        <f>'_pockets'!$AJ$848</f>
        <v/>
      </c>
      <c r="M609">
        <f>IF(AND($A609='Pockets'!$D$17,$B609='Pockets'!$C$17,OR('Pockets'!$E$17="All",AND('Pockets'!$E$17="Worse and material",$K609="Yes",$L609="Yes"),AND('Pockets'!$E$17="Worse or not sure",OR($K609="Yes",$K609="Not sure")))),1,0)</f>
        <v/>
      </c>
      <c r="N609">
        <f>$N608+$M609</f>
        <v/>
      </c>
      <c r="O609" t="inlineStr">
        <is>
          <t>three-way</t>
        </is>
      </c>
      <c r="P609" t="inlineStr">
        <is>
          <t>contribution_rate</t>
        </is>
      </c>
    </row>
    <row r="610">
      <c r="A610" t="inlineStr">
        <is>
          <t>Split by SYS_FLAG</t>
        </is>
      </c>
      <c r="B610" t="inlineStr">
        <is>
          <t>Earned before losses</t>
        </is>
      </c>
      <c r="C610" t="n">
        <v>758</v>
      </c>
      <c r="D610" t="inlineStr">
        <is>
          <t>FICO 654 - 685</t>
        </is>
      </c>
      <c r="E610" t="inlineStr">
        <is>
          <t>ASSET_CLASS 1</t>
        </is>
      </c>
      <c r="F610" t="inlineStr">
        <is>
          <t>N</t>
        </is>
      </c>
      <c r="G610" t="n">
        <v>210</v>
      </c>
      <c r="H610" t="n">
        <v>-2.61650955889408</v>
      </c>
      <c r="J610" t="n">
        <v>36</v>
      </c>
      <c r="K610">
        <f>'_pockets'!$AI$758</f>
        <v/>
      </c>
      <c r="L610">
        <f>'_pockets'!$AJ$758</f>
        <v/>
      </c>
      <c r="M610">
        <f>IF(AND($A610='Pockets'!$D$17,$B610='Pockets'!$C$17,OR('Pockets'!$E$17="All",AND('Pockets'!$E$17="Worse and material",$K610="Yes",$L610="Yes"),AND('Pockets'!$E$17="Worse or not sure",OR($K610="Yes",$K610="Not sure")))),1,0)</f>
        <v/>
      </c>
      <c r="N610">
        <f>$N609+$M610</f>
        <v/>
      </c>
      <c r="O610" t="inlineStr">
        <is>
          <t>three-way</t>
        </is>
      </c>
      <c r="P610" t="inlineStr">
        <is>
          <t>contribution_rate</t>
        </is>
      </c>
    </row>
    <row r="611">
      <c r="A611" t="inlineStr">
        <is>
          <t>Split by SYS_FLAG</t>
        </is>
      </c>
      <c r="B611" t="inlineStr">
        <is>
          <t>Earned before losses</t>
        </is>
      </c>
      <c r="C611" t="n">
        <v>528</v>
      </c>
      <c r="D611" t="inlineStr">
        <is>
          <t>FICO 654 - 685</t>
        </is>
      </c>
      <c r="E611" t="inlineStr">
        <is>
          <t>Broker</t>
        </is>
      </c>
      <c r="F611" t="inlineStr">
        <is>
          <t>N</t>
        </is>
      </c>
      <c r="G611" t="n">
        <v>287</v>
      </c>
      <c r="H611" t="n">
        <v>-2.249306532527898</v>
      </c>
      <c r="J611" t="n">
        <v>37</v>
      </c>
      <c r="K611">
        <f>'_pockets'!$AI$528</f>
        <v/>
      </c>
      <c r="L611">
        <f>'_pockets'!$AJ$528</f>
        <v/>
      </c>
      <c r="M611">
        <f>IF(AND($A611='Pockets'!$D$17,$B611='Pockets'!$C$17,OR('Pockets'!$E$17="All",AND('Pockets'!$E$17="Worse and material",$K611="Yes",$L611="Yes"),AND('Pockets'!$E$17="Worse or not sure",OR($K611="Yes",$K611="Not sure")))),1,0)</f>
        <v/>
      </c>
      <c r="N611">
        <f>$N610+$M611</f>
        <v/>
      </c>
      <c r="O611" t="inlineStr">
        <is>
          <t>three-way</t>
        </is>
      </c>
      <c r="P611" t="inlineStr">
        <is>
          <t>contribution_rate</t>
        </is>
      </c>
    </row>
    <row r="612">
      <c r="A612" t="inlineStr">
        <is>
          <t>Split by SYS_FLAG</t>
        </is>
      </c>
      <c r="B612" t="inlineStr">
        <is>
          <t>Earned before losses</t>
        </is>
      </c>
      <c r="C612" t="n">
        <v>573</v>
      </c>
      <c r="D612" t="inlineStr">
        <is>
          <t>FICO 496 - 653</t>
        </is>
      </c>
      <c r="E612" t="inlineStr">
        <is>
          <t>Online</t>
        </is>
      </c>
      <c r="F612" t="inlineStr">
        <is>
          <t>N</t>
        </is>
      </c>
      <c r="G612" t="n">
        <v>305</v>
      </c>
      <c r="H612" t="n">
        <v>-2.184475401137035</v>
      </c>
      <c r="J612" t="n">
        <v>38</v>
      </c>
      <c r="K612">
        <f>'_pockets'!$AI$573</f>
        <v/>
      </c>
      <c r="L612">
        <f>'_pockets'!$AJ$573</f>
        <v/>
      </c>
      <c r="M612">
        <f>IF(AND($A612='Pockets'!$D$17,$B612='Pockets'!$C$17,OR('Pockets'!$E$17="All",AND('Pockets'!$E$17="Worse and material",$K612="Yes",$L612="Yes"),AND('Pockets'!$E$17="Worse or not sure",OR($K612="Yes",$K612="Not sure")))),1,0)</f>
        <v/>
      </c>
      <c r="N612">
        <f>$N611+$M612</f>
        <v/>
      </c>
      <c r="O612" t="inlineStr">
        <is>
          <t>three-way</t>
        </is>
      </c>
      <c r="P612" t="inlineStr">
        <is>
          <t>contribution_rate</t>
        </is>
      </c>
    </row>
    <row r="613">
      <c r="A613" t="inlineStr">
        <is>
          <t>Split by SYS_FLAG</t>
        </is>
      </c>
      <c r="B613" t="inlineStr">
        <is>
          <t>Earned before losses</t>
        </is>
      </c>
      <c r="C613" t="n">
        <v>943</v>
      </c>
      <c r="D613" t="inlineStr">
        <is>
          <t>ORIG_BAL 15,449 - 26,323</t>
        </is>
      </c>
      <c r="E613" t="inlineStr">
        <is>
          <t>Branch</t>
        </is>
      </c>
      <c r="F613" t="inlineStr">
        <is>
          <t>Y</t>
        </is>
      </c>
      <c r="G613" t="n">
        <v>251</v>
      </c>
      <c r="H613" t="n">
        <v>-2.399613550730209</v>
      </c>
      <c r="J613" t="n">
        <v>39</v>
      </c>
      <c r="K613">
        <f>'_pockets'!$AI$943</f>
        <v/>
      </c>
      <c r="L613">
        <f>'_pockets'!$AJ$943</f>
        <v/>
      </c>
      <c r="M613">
        <f>IF(AND($A613='Pockets'!$D$17,$B613='Pockets'!$C$17,OR('Pockets'!$E$17="All",AND('Pockets'!$E$17="Worse and material",$K613="Yes",$L613="Yes"),AND('Pockets'!$E$17="Worse or not sure",OR($K613="Yes",$K613="Not sure")))),1,0)</f>
        <v/>
      </c>
      <c r="N613">
        <f>$N612+$M613</f>
        <v/>
      </c>
      <c r="O613" t="inlineStr">
        <is>
          <t>three-way</t>
        </is>
      </c>
      <c r="P613" t="inlineStr">
        <is>
          <t>contribution_rate</t>
        </is>
      </c>
    </row>
    <row r="614">
      <c r="A614" t="inlineStr">
        <is>
          <t>Split by SYS_FLAG</t>
        </is>
      </c>
      <c r="B614" t="inlineStr">
        <is>
          <t>Earned before losses</t>
        </is>
      </c>
      <c r="C614" t="n">
        <v>928</v>
      </c>
      <c r="D614" t="inlineStr">
        <is>
          <t>ORIG_BAL 49,152 - 59,984</t>
        </is>
      </c>
      <c r="E614" t="inlineStr">
        <is>
          <t>Branch</t>
        </is>
      </c>
      <c r="F614" t="inlineStr">
        <is>
          <t>Y</t>
        </is>
      </c>
      <c r="G614" t="n">
        <v>226</v>
      </c>
      <c r="H614" t="n">
        <v>-2.524784579041438</v>
      </c>
      <c r="J614" t="n">
        <v>40</v>
      </c>
      <c r="K614">
        <f>'_pockets'!$AI$928</f>
        <v/>
      </c>
      <c r="L614">
        <f>'_pockets'!$AJ$928</f>
        <v/>
      </c>
      <c r="M614">
        <f>IF(AND($A614='Pockets'!$D$17,$B614='Pockets'!$C$17,OR('Pockets'!$E$17="All",AND('Pockets'!$E$17="Worse and material",$K614="Yes",$L614="Yes"),AND('Pockets'!$E$17="Worse or not sure",OR($K614="Yes",$K614="Not sure")))),1,0)</f>
        <v/>
      </c>
      <c r="N614">
        <f>$N613+$M614</f>
        <v/>
      </c>
      <c r="O614" t="inlineStr">
        <is>
          <t>three-way</t>
        </is>
      </c>
      <c r="P614" t="inlineStr">
        <is>
          <t>contribution_rate</t>
        </is>
      </c>
    </row>
    <row r="615">
      <c r="A615" t="inlineStr">
        <is>
          <t>Split by SYS_FLAG</t>
        </is>
      </c>
      <c r="B615" t="inlineStr">
        <is>
          <t>Earned before losses</t>
        </is>
      </c>
      <c r="C615" t="n">
        <v>1183</v>
      </c>
      <c r="D615" t="inlineStr">
        <is>
          <t>ORIG_BAL 26,324 - 37,950</t>
        </is>
      </c>
      <c r="E615" t="inlineStr">
        <is>
          <t>ASSET_CLASS 3</t>
        </is>
      </c>
      <c r="F615" t="inlineStr">
        <is>
          <t>N</t>
        </is>
      </c>
      <c r="G615" t="n">
        <v>198</v>
      </c>
      <c r="H615" t="n">
        <v>-2.692557881313351</v>
      </c>
      <c r="J615" t="n">
        <v>41</v>
      </c>
      <c r="K615">
        <f>'_pockets'!$AI$1183</f>
        <v/>
      </c>
      <c r="L615">
        <f>'_pockets'!$AJ$1183</f>
        <v/>
      </c>
      <c r="M615">
        <f>IF(AND($A615='Pockets'!$D$17,$B615='Pockets'!$C$17,OR('Pockets'!$E$17="All",AND('Pockets'!$E$17="Worse and material",$K615="Yes",$L615="Yes"),AND('Pockets'!$E$17="Worse or not sure",OR($K615="Yes",$K615="Not sure")))),1,0)</f>
        <v/>
      </c>
      <c r="N615">
        <f>$N614+$M615</f>
        <v/>
      </c>
      <c r="O615" t="inlineStr">
        <is>
          <t>three-way</t>
        </is>
      </c>
      <c r="P615" t="inlineStr">
        <is>
          <t>contribution_rate</t>
        </is>
      </c>
    </row>
    <row r="616">
      <c r="A616" t="inlineStr">
        <is>
          <t>Split by SYS_FLAG</t>
        </is>
      </c>
      <c r="B616" t="inlineStr">
        <is>
          <t>Earned before losses</t>
        </is>
      </c>
      <c r="C616" t="n">
        <v>1168</v>
      </c>
      <c r="D616" t="inlineStr">
        <is>
          <t>ORIG_BAL 15,449 - 26,323</t>
        </is>
      </c>
      <c r="E616" t="inlineStr">
        <is>
          <t>ASSET_CLASS 2</t>
        </is>
      </c>
      <c r="F616" t="inlineStr">
        <is>
          <t>Y</t>
        </is>
      </c>
      <c r="G616" t="n">
        <v>170</v>
      </c>
      <c r="H616" t="n">
        <v>-2.900648306456116</v>
      </c>
      <c r="J616" t="n">
        <v>42</v>
      </c>
      <c r="K616">
        <f>'_pockets'!$AI$1168</f>
        <v/>
      </c>
      <c r="L616">
        <f>'_pockets'!$AJ$1168</f>
        <v/>
      </c>
      <c r="M616">
        <f>IF(AND($A616='Pockets'!$D$17,$B616='Pockets'!$C$17,OR('Pockets'!$E$17="All",AND('Pockets'!$E$17="Worse and material",$K616="Yes",$L616="Yes"),AND('Pockets'!$E$17="Worse or not sure",OR($K616="Yes",$K616="Not sure")))),1,0)</f>
        <v/>
      </c>
      <c r="N616">
        <f>$N615+$M616</f>
        <v/>
      </c>
      <c r="O616" t="inlineStr">
        <is>
          <t>three-way</t>
        </is>
      </c>
      <c r="P616" t="inlineStr">
        <is>
          <t>contribution_rate</t>
        </is>
      </c>
    </row>
    <row r="617">
      <c r="A617" t="inlineStr">
        <is>
          <t>Split by SYS_FLAG</t>
        </is>
      </c>
      <c r="B617" t="inlineStr">
        <is>
          <t>Earned before losses</t>
        </is>
      </c>
      <c r="C617" t="n">
        <v>808</v>
      </c>
      <c r="D617" t="inlineStr">
        <is>
          <t>FICO 654 - 685</t>
        </is>
      </c>
      <c r="E617" t="inlineStr">
        <is>
          <t>ASSET_CLASS 4</t>
        </is>
      </c>
      <c r="F617" t="inlineStr">
        <is>
          <t>Y</t>
        </is>
      </c>
      <c r="G617" t="n">
        <v>191</v>
      </c>
      <c r="H617" t="n">
        <v>-2.740224665257163</v>
      </c>
      <c r="J617" t="n">
        <v>43</v>
      </c>
      <c r="K617">
        <f>'_pockets'!$AI$808</f>
        <v/>
      </c>
      <c r="L617">
        <f>'_pockets'!$AJ$808</f>
        <v/>
      </c>
      <c r="M617">
        <f>IF(AND($A617='Pockets'!$D$17,$B617='Pockets'!$C$17,OR('Pockets'!$E$17="All",AND('Pockets'!$E$17="Worse and material",$K617="Yes",$L617="Yes"),AND('Pockets'!$E$17="Worse or not sure",OR($K617="Yes",$K617="Not sure")))),1,0)</f>
        <v/>
      </c>
      <c r="N617">
        <f>$N616+$M617</f>
        <v/>
      </c>
      <c r="O617" t="inlineStr">
        <is>
          <t>three-way</t>
        </is>
      </c>
      <c r="P617" t="inlineStr">
        <is>
          <t>contribution_rate</t>
        </is>
      </c>
    </row>
    <row r="618">
      <c r="A618" t="inlineStr">
        <is>
          <t>Split by SYS_FLAG</t>
        </is>
      </c>
      <c r="B618" t="inlineStr">
        <is>
          <t>Earned before losses</t>
        </is>
      </c>
      <c r="C618" t="n">
        <v>963</v>
      </c>
      <c r="D618" t="inlineStr">
        <is>
          <t>ORIG_BAL 15,449 - 26,323</t>
        </is>
      </c>
      <c r="E618" t="inlineStr">
        <is>
          <t>Branch</t>
        </is>
      </c>
      <c r="F618" t="inlineStr">
        <is>
          <t>N</t>
        </is>
      </c>
      <c r="G618" t="n">
        <v>274</v>
      </c>
      <c r="H618" t="n">
        <v>-2.300109599538922</v>
      </c>
      <c r="J618" t="n">
        <v>44</v>
      </c>
      <c r="K618">
        <f>'_pockets'!$AI$963</f>
        <v/>
      </c>
      <c r="L618">
        <f>'_pockets'!$AJ$963</f>
        <v/>
      </c>
      <c r="M618">
        <f>IF(AND($A618='Pockets'!$D$17,$B618='Pockets'!$C$17,OR('Pockets'!$E$17="All",AND('Pockets'!$E$17="Worse and material",$K618="Yes",$L618="Yes"),AND('Pockets'!$E$17="Worse or not sure",OR($K618="Yes",$K618="Not sure")))),1,0)</f>
        <v/>
      </c>
      <c r="N618">
        <f>$N617+$M618</f>
        <v/>
      </c>
      <c r="O618" t="inlineStr">
        <is>
          <t>three-way</t>
        </is>
      </c>
      <c r="P618" t="inlineStr">
        <is>
          <t>contribution_rate</t>
        </is>
      </c>
    </row>
    <row r="619">
      <c r="A619" t="inlineStr">
        <is>
          <t>Split by SYS_FLAG</t>
        </is>
      </c>
      <c r="B619" t="inlineStr">
        <is>
          <t>Earned before losses</t>
        </is>
      </c>
      <c r="C619" t="n">
        <v>738</v>
      </c>
      <c r="D619" t="inlineStr">
        <is>
          <t>FICO (marked missing)</t>
        </is>
      </c>
      <c r="E619" t="inlineStr">
        <is>
          <t>ASSET_CLASS 3</t>
        </is>
      </c>
      <c r="F619" t="inlineStr">
        <is>
          <t>Y</t>
        </is>
      </c>
      <c r="G619" t="n">
        <v>22</v>
      </c>
      <c r="H619" t="n">
        <v>-7.988054723482414</v>
      </c>
      <c r="J619" t="n">
        <v>45</v>
      </c>
      <c r="K619">
        <f>'_pockets'!$AI$738</f>
        <v/>
      </c>
      <c r="L619">
        <f>'_pockets'!$AJ$738</f>
        <v/>
      </c>
      <c r="M619">
        <f>IF(AND($A619='Pockets'!$D$17,$B619='Pockets'!$C$17,OR('Pockets'!$E$17="All",AND('Pockets'!$E$17="Worse and material",$K619="Yes",$L619="Yes"),AND('Pockets'!$E$17="Worse or not sure",OR($K619="Yes",$K619="Not sure")))),1,0)</f>
        <v/>
      </c>
      <c r="N619">
        <f>$N618+$M619</f>
        <v/>
      </c>
      <c r="O619" t="inlineStr">
        <is>
          <t>three-way</t>
        </is>
      </c>
      <c r="P619" t="inlineStr">
        <is>
          <t>contribution_rate</t>
        </is>
      </c>
    </row>
    <row r="620">
      <c r="A620" t="inlineStr">
        <is>
          <t>Split by SYS_FLAG</t>
        </is>
      </c>
      <c r="B620" t="inlineStr">
        <is>
          <t>Earned before losses</t>
        </is>
      </c>
      <c r="C620" t="n">
        <v>968</v>
      </c>
      <c r="D620" t="inlineStr">
        <is>
          <t>ORIG_BAL 5,005 - 15,448</t>
        </is>
      </c>
      <c r="E620" t="inlineStr">
        <is>
          <t>Branch</t>
        </is>
      </c>
      <c r="F620" t="inlineStr">
        <is>
          <t>Y</t>
        </is>
      </c>
      <c r="G620" t="n">
        <v>241</v>
      </c>
      <c r="H620" t="n">
        <v>-2.447313058102953</v>
      </c>
      <c r="J620" t="n">
        <v>46</v>
      </c>
      <c r="K620">
        <f>'_pockets'!$AI$968</f>
        <v/>
      </c>
      <c r="L620">
        <f>'_pockets'!$AJ$968</f>
        <v/>
      </c>
      <c r="M620">
        <f>IF(AND($A620='Pockets'!$D$17,$B620='Pockets'!$C$17,OR('Pockets'!$E$17="All",AND('Pockets'!$E$17="Worse and material",$K620="Yes",$L620="Yes"),AND('Pockets'!$E$17="Worse or not sure",OR($K620="Yes",$K620="Not sure")))),1,0)</f>
        <v/>
      </c>
      <c r="N620">
        <f>$N619+$M620</f>
        <v/>
      </c>
      <c r="O620" t="inlineStr">
        <is>
          <t>three-way</t>
        </is>
      </c>
      <c r="P620" t="inlineStr">
        <is>
          <t>contribution_rate</t>
        </is>
      </c>
    </row>
    <row r="621">
      <c r="A621" t="inlineStr">
        <is>
          <t>Split by SYS_FLAG</t>
        </is>
      </c>
      <c r="B621" t="inlineStr">
        <is>
          <t>Earned before losses</t>
        </is>
      </c>
      <c r="C621" t="n">
        <v>1108</v>
      </c>
      <c r="D621" t="inlineStr">
        <is>
          <t>ORIG_BAL 15,449 - 26,323</t>
        </is>
      </c>
      <c r="E621" t="inlineStr">
        <is>
          <t>ASSET_CLASS 2</t>
        </is>
      </c>
      <c r="F621" t="inlineStr">
        <is>
          <t>N</t>
        </is>
      </c>
      <c r="G621" t="n">
        <v>186</v>
      </c>
      <c r="H621" t="n">
        <v>-2.77592261519848</v>
      </c>
      <c r="J621" t="n">
        <v>47</v>
      </c>
      <c r="K621">
        <f>'_pockets'!$AI$1108</f>
        <v/>
      </c>
      <c r="L621">
        <f>'_pockets'!$AJ$1108</f>
        <v/>
      </c>
      <c r="M621">
        <f>IF(AND($A621='Pockets'!$D$17,$B621='Pockets'!$C$17,OR('Pockets'!$E$17="All",AND('Pockets'!$E$17="Worse and material",$K621="Yes",$L621="Yes"),AND('Pockets'!$E$17="Worse or not sure",OR($K621="Yes",$K621="Not sure")))),1,0)</f>
        <v/>
      </c>
      <c r="N621">
        <f>$N620+$M621</f>
        <v/>
      </c>
      <c r="O621" t="inlineStr">
        <is>
          <t>three-way</t>
        </is>
      </c>
      <c r="P621" t="inlineStr">
        <is>
          <t>contribution_rate</t>
        </is>
      </c>
    </row>
    <row r="622">
      <c r="A622" t="inlineStr">
        <is>
          <t>Split by SYS_FLAG</t>
        </is>
      </c>
      <c r="B622" t="inlineStr">
        <is>
          <t>Earned before losses</t>
        </is>
      </c>
      <c r="C622" t="n">
        <v>743</v>
      </c>
      <c r="D622" t="inlineStr">
        <is>
          <t>FICO 712 - 745</t>
        </is>
      </c>
      <c r="E622" t="inlineStr">
        <is>
          <t>ASSET_CLASS 3</t>
        </is>
      </c>
      <c r="F622" t="inlineStr">
        <is>
          <t>Y</t>
        </is>
      </c>
      <c r="G622" t="n">
        <v>169</v>
      </c>
      <c r="H622" t="n">
        <v>-2.909031645184372</v>
      </c>
      <c r="J622" t="n">
        <v>48</v>
      </c>
      <c r="K622">
        <f>'_pockets'!$AI$743</f>
        <v/>
      </c>
      <c r="L622">
        <f>'_pockets'!$AJ$743</f>
        <v/>
      </c>
      <c r="M622">
        <f>IF(AND($A622='Pockets'!$D$17,$B622='Pockets'!$C$17,OR('Pockets'!$E$17="All",AND('Pockets'!$E$17="Worse and material",$K622="Yes",$L622="Yes"),AND('Pockets'!$E$17="Worse or not sure",OR($K622="Yes",$K622="Not sure")))),1,0)</f>
        <v/>
      </c>
      <c r="N622">
        <f>$N621+$M622</f>
        <v/>
      </c>
      <c r="O622" t="inlineStr">
        <is>
          <t>three-way</t>
        </is>
      </c>
      <c r="P622" t="inlineStr">
        <is>
          <t>contribution_rate</t>
        </is>
      </c>
    </row>
    <row r="623">
      <c r="A623" t="inlineStr">
        <is>
          <t>Split by SYS_FLAG</t>
        </is>
      </c>
      <c r="B623" t="inlineStr">
        <is>
          <t>Earned before losses</t>
        </is>
      </c>
      <c r="C623" t="n">
        <v>888</v>
      </c>
      <c r="D623" t="inlineStr">
        <is>
          <t>ORIG_BAL 37,951 - 49,151</t>
        </is>
      </c>
      <c r="E623" t="inlineStr">
        <is>
          <t>Broker</t>
        </is>
      </c>
      <c r="F623" t="inlineStr">
        <is>
          <t>N</t>
        </is>
      </c>
      <c r="G623" t="n">
        <v>282</v>
      </c>
      <c r="H623" t="n">
        <v>-2.268424247288259</v>
      </c>
      <c r="J623" t="n">
        <v>49</v>
      </c>
      <c r="K623">
        <f>'_pockets'!$AI$888</f>
        <v/>
      </c>
      <c r="L623">
        <f>'_pockets'!$AJ$888</f>
        <v/>
      </c>
      <c r="M623">
        <f>IF(AND($A623='Pockets'!$D$17,$B623='Pockets'!$C$17,OR('Pockets'!$E$17="All",AND('Pockets'!$E$17="Worse and material",$K623="Yes",$L623="Yes"),AND('Pockets'!$E$17="Worse or not sure",OR($K623="Yes",$K623="Not sure")))),1,0)</f>
        <v/>
      </c>
      <c r="N623">
        <f>$N622+$M623</f>
        <v/>
      </c>
      <c r="O623" t="inlineStr">
        <is>
          <t>three-way</t>
        </is>
      </c>
      <c r="P623" t="inlineStr">
        <is>
          <t>contribution_rate</t>
        </is>
      </c>
    </row>
    <row r="624">
      <c r="A624" t="inlineStr">
        <is>
          <t>Split by SYS_FLAG</t>
        </is>
      </c>
      <c r="B624" t="inlineStr">
        <is>
          <t>Earned before losses</t>
        </is>
      </c>
      <c r="C624" t="n">
        <v>1113</v>
      </c>
      <c r="D624" t="inlineStr">
        <is>
          <t>ORIG_BAL 5,005 - 15,448</t>
        </is>
      </c>
      <c r="E624" t="inlineStr">
        <is>
          <t>ASSET_CLASS 2</t>
        </is>
      </c>
      <c r="F624" t="inlineStr">
        <is>
          <t>Y</t>
        </is>
      </c>
      <c r="G624" t="n">
        <v>160</v>
      </c>
      <c r="H624" t="n">
        <v>-2.98801190563261</v>
      </c>
      <c r="J624" t="n">
        <v>50</v>
      </c>
      <c r="K624">
        <f>'_pockets'!$AI$1113</f>
        <v/>
      </c>
      <c r="L624">
        <f>'_pockets'!$AJ$1113</f>
        <v/>
      </c>
      <c r="M624">
        <f>IF(AND($A624='Pockets'!$D$17,$B624='Pockets'!$C$17,OR('Pockets'!$E$17="All",AND('Pockets'!$E$17="Worse and material",$K624="Yes",$L624="Yes"),AND('Pockets'!$E$17="Worse or not sure",OR($K624="Yes",$K624="Not sure")))),1,0)</f>
        <v/>
      </c>
      <c r="N624">
        <f>$N623+$M624</f>
        <v/>
      </c>
      <c r="O624" t="inlineStr">
        <is>
          <t>three-way</t>
        </is>
      </c>
      <c r="P624" t="inlineStr">
        <is>
          <t>contribution_rate</t>
        </is>
      </c>
    </row>
    <row r="625">
      <c r="A625" t="inlineStr">
        <is>
          <t>Split by SYS_FLAG</t>
        </is>
      </c>
      <c r="B625" t="inlineStr">
        <is>
          <t>Earned before losses</t>
        </is>
      </c>
      <c r="C625" t="n">
        <v>628</v>
      </c>
      <c r="D625" t="inlineStr">
        <is>
          <t>FICO 746 - 921</t>
        </is>
      </c>
      <c r="E625" t="inlineStr">
        <is>
          <t>ASSET_CLASS 2</t>
        </is>
      </c>
      <c r="F625" t="inlineStr">
        <is>
          <t>Y</t>
        </is>
      </c>
      <c r="G625" t="n">
        <v>180</v>
      </c>
      <c r="H625" t="n">
        <v>-2.820725722144742</v>
      </c>
      <c r="J625" t="n">
        <v>51</v>
      </c>
      <c r="K625">
        <f>'_pockets'!$AI$628</f>
        <v/>
      </c>
      <c r="L625">
        <f>'_pockets'!$AJ$628</f>
        <v/>
      </c>
      <c r="M625">
        <f>IF(AND($A625='Pockets'!$D$17,$B625='Pockets'!$C$17,OR('Pockets'!$E$17="All",AND('Pockets'!$E$17="Worse and material",$K625="Yes",$L625="Yes"),AND('Pockets'!$E$17="Worse or not sure",OR($K625="Yes",$K625="Not sure")))),1,0)</f>
        <v/>
      </c>
      <c r="N625">
        <f>$N624+$M625</f>
        <v/>
      </c>
      <c r="O625" t="inlineStr">
        <is>
          <t>three-way</t>
        </is>
      </c>
      <c r="P625" t="inlineStr">
        <is>
          <t>contribution_rate</t>
        </is>
      </c>
    </row>
    <row r="626">
      <c r="A626" t="inlineStr">
        <is>
          <t>Split by SYS_FLAG</t>
        </is>
      </c>
      <c r="B626" t="inlineStr">
        <is>
          <t>Earned before losses</t>
        </is>
      </c>
      <c r="C626" t="n">
        <v>983</v>
      </c>
      <c r="D626" t="inlineStr">
        <is>
          <t>ORIG_BAL 15,449 - 26,323</t>
        </is>
      </c>
      <c r="E626" t="inlineStr">
        <is>
          <t>Broker</t>
        </is>
      </c>
      <c r="F626" t="inlineStr">
        <is>
          <t>Y</t>
        </is>
      </c>
      <c r="G626" t="n">
        <v>244</v>
      </c>
      <c r="H626" t="n">
        <v>-2.432692033754823</v>
      </c>
      <c r="J626" t="n">
        <v>52</v>
      </c>
      <c r="K626">
        <f>'_pockets'!$AI$983</f>
        <v/>
      </c>
      <c r="L626">
        <f>'_pockets'!$AJ$983</f>
        <v/>
      </c>
      <c r="M626">
        <f>IF(AND($A626='Pockets'!$D$17,$B626='Pockets'!$C$17,OR('Pockets'!$E$17="All",AND('Pockets'!$E$17="Worse and material",$K626="Yes",$L626="Yes"),AND('Pockets'!$E$17="Worse or not sure",OR($K626="Yes",$K626="Not sure")))),1,0)</f>
        <v/>
      </c>
      <c r="N626">
        <f>$N625+$M626</f>
        <v/>
      </c>
      <c r="O626" t="inlineStr">
        <is>
          <t>three-way</t>
        </is>
      </c>
      <c r="P626" t="inlineStr">
        <is>
          <t>contribution_rate</t>
        </is>
      </c>
    </row>
    <row r="627">
      <c r="A627" t="inlineStr">
        <is>
          <t>Split by SYS_FLAG</t>
        </is>
      </c>
      <c r="B627" t="inlineStr">
        <is>
          <t>Earned before losses</t>
        </is>
      </c>
      <c r="C627" t="n">
        <v>793</v>
      </c>
      <c r="D627" t="inlineStr">
        <is>
          <t>FICO 686 - 711</t>
        </is>
      </c>
      <c r="E627" t="inlineStr">
        <is>
          <t>ASSET_CLASS 3</t>
        </is>
      </c>
      <c r="F627" t="inlineStr">
        <is>
          <t>N</t>
        </is>
      </c>
      <c r="G627" t="n">
        <v>192</v>
      </c>
      <c r="H627" t="n">
        <v>-2.733254404703814</v>
      </c>
      <c r="J627" t="n">
        <v>53</v>
      </c>
      <c r="K627">
        <f>'_pockets'!$AI$793</f>
        <v/>
      </c>
      <c r="L627">
        <f>'_pockets'!$AJ$793</f>
        <v/>
      </c>
      <c r="M627">
        <f>IF(AND($A627='Pockets'!$D$17,$B627='Pockets'!$C$17,OR('Pockets'!$E$17="All",AND('Pockets'!$E$17="Worse and material",$K627="Yes",$L627="Yes"),AND('Pockets'!$E$17="Worse or not sure",OR($K627="Yes",$K627="Not sure")))),1,0)</f>
        <v/>
      </c>
      <c r="N627">
        <f>$N626+$M627</f>
        <v/>
      </c>
      <c r="O627" t="inlineStr">
        <is>
          <t>three-way</t>
        </is>
      </c>
      <c r="P627" t="inlineStr">
        <is>
          <t>contribution_rate</t>
        </is>
      </c>
    </row>
    <row r="628">
      <c r="A628" t="inlineStr">
        <is>
          <t>Split by SYS_FLAG</t>
        </is>
      </c>
      <c r="B628" t="inlineStr">
        <is>
          <t>Earned before losses</t>
        </is>
      </c>
      <c r="C628" t="n">
        <v>973</v>
      </c>
      <c r="D628" t="inlineStr">
        <is>
          <t>ORIG_BAL 37,951 - 49,151</t>
        </is>
      </c>
      <c r="E628" t="inlineStr">
        <is>
          <t>Broker</t>
        </is>
      </c>
      <c r="F628" t="inlineStr">
        <is>
          <t>Y</t>
        </is>
      </c>
      <c r="G628" t="n">
        <v>249</v>
      </c>
      <c r="H628" t="n">
        <v>-2.408920350127297</v>
      </c>
      <c r="J628" t="n">
        <v>54</v>
      </c>
      <c r="K628">
        <f>'_pockets'!$AI$973</f>
        <v/>
      </c>
      <c r="L628">
        <f>'_pockets'!$AJ$973</f>
        <v/>
      </c>
      <c r="M628">
        <f>IF(AND($A628='Pockets'!$D$17,$B628='Pockets'!$C$17,OR('Pockets'!$E$17="All",AND('Pockets'!$E$17="Worse and material",$K628="Yes",$L628="Yes"),AND('Pockets'!$E$17="Worse or not sure",OR($K628="Yes",$K628="Not sure")))),1,0)</f>
        <v/>
      </c>
      <c r="N628">
        <f>$N627+$M628</f>
        <v/>
      </c>
      <c r="O628" t="inlineStr">
        <is>
          <t>three-way</t>
        </is>
      </c>
      <c r="P628" t="inlineStr">
        <is>
          <t>contribution_rate</t>
        </is>
      </c>
    </row>
    <row r="629">
      <c r="A629" t="inlineStr">
        <is>
          <t>Split by SYS_FLAG</t>
        </is>
      </c>
      <c r="B629" t="inlineStr">
        <is>
          <t>Earned before losses</t>
        </is>
      </c>
      <c r="C629" t="n">
        <v>568</v>
      </c>
      <c r="D629" t="inlineStr">
        <is>
          <t>FICO (marked missing)</t>
        </is>
      </c>
      <c r="E629" t="inlineStr">
        <is>
          <t>Branch</t>
        </is>
      </c>
      <c r="F629" t="inlineStr">
        <is>
          <t>N</t>
        </is>
      </c>
      <c r="G629" t="n">
        <v>29</v>
      </c>
      <c r="H629" t="n">
        <v>-6.960557606748463</v>
      </c>
      <c r="J629" t="n">
        <v>55</v>
      </c>
      <c r="K629">
        <f>'_pockets'!$AI$568</f>
        <v/>
      </c>
      <c r="L629">
        <f>'_pockets'!$AJ$568</f>
        <v/>
      </c>
      <c r="M629">
        <f>IF(AND($A629='Pockets'!$D$17,$B629='Pockets'!$C$17,OR('Pockets'!$E$17="All",AND('Pockets'!$E$17="Worse and material",$K629="Yes",$L629="Yes"),AND('Pockets'!$E$17="Worse or not sure",OR($K629="Yes",$K629="Not sure")))),1,0)</f>
        <v/>
      </c>
      <c r="N629">
        <f>$N628+$M629</f>
        <v/>
      </c>
      <c r="O629" t="inlineStr">
        <is>
          <t>three-way</t>
        </is>
      </c>
      <c r="P629" t="inlineStr">
        <is>
          <t>contribution_rate</t>
        </is>
      </c>
    </row>
    <row r="630">
      <c r="A630" t="inlineStr">
        <is>
          <t>Split by SYS_FLAG</t>
        </is>
      </c>
      <c r="B630" t="inlineStr">
        <is>
          <t>Earned before losses</t>
        </is>
      </c>
      <c r="C630" t="n">
        <v>898</v>
      </c>
      <c r="D630" t="inlineStr">
        <is>
          <t>ORIG_BAL 5,005 - 15,448</t>
        </is>
      </c>
      <c r="E630" t="inlineStr">
        <is>
          <t>Branch</t>
        </is>
      </c>
      <c r="F630" t="inlineStr">
        <is>
          <t>N</t>
        </is>
      </c>
      <c r="G630" t="n">
        <v>301</v>
      </c>
      <c r="H630" t="n">
        <v>-2.198370833040149</v>
      </c>
      <c r="J630" t="n">
        <v>56</v>
      </c>
      <c r="K630">
        <f>'_pockets'!$AI$898</f>
        <v/>
      </c>
      <c r="L630">
        <f>'_pockets'!$AJ$898</f>
        <v/>
      </c>
      <c r="M630">
        <f>IF(AND($A630='Pockets'!$D$17,$B630='Pockets'!$C$17,OR('Pockets'!$E$17="All",AND('Pockets'!$E$17="Worse and material",$K630="Yes",$L630="Yes"),AND('Pockets'!$E$17="Worse or not sure",OR($K630="Yes",$K630="Not sure")))),1,0)</f>
        <v/>
      </c>
      <c r="N630">
        <f>$N629+$M630</f>
        <v/>
      </c>
      <c r="O630" t="inlineStr">
        <is>
          <t>three-way</t>
        </is>
      </c>
      <c r="P630" t="inlineStr">
        <is>
          <t>contribution_rate</t>
        </is>
      </c>
    </row>
    <row r="631">
      <c r="A631" t="inlineStr">
        <is>
          <t>Split by SYS_FLAG</t>
        </is>
      </c>
      <c r="B631" t="inlineStr">
        <is>
          <t>Earned before losses</t>
        </is>
      </c>
      <c r="C631" t="n">
        <v>1153</v>
      </c>
      <c r="D631" t="inlineStr">
        <is>
          <t>ORIG_BAL 37,951 - 49,151</t>
        </is>
      </c>
      <c r="E631" t="inlineStr">
        <is>
          <t>ASSET_CLASS 4</t>
        </is>
      </c>
      <c r="F631" t="inlineStr">
        <is>
          <t>Y</t>
        </is>
      </c>
      <c r="G631" t="n">
        <v>189</v>
      </c>
      <c r="H631" t="n">
        <v>-2.754332273822399</v>
      </c>
      <c r="J631" t="n">
        <v>57</v>
      </c>
      <c r="K631">
        <f>'_pockets'!$AI$1153</f>
        <v/>
      </c>
      <c r="L631">
        <f>'_pockets'!$AJ$1153</f>
        <v/>
      </c>
      <c r="M631">
        <f>IF(AND($A631='Pockets'!$D$17,$B631='Pockets'!$C$17,OR('Pockets'!$E$17="All",AND('Pockets'!$E$17="Worse and material",$K631="Yes",$L631="Yes"),AND('Pockets'!$E$17="Worse or not sure",OR($K631="Yes",$K631="Not sure")))),1,0)</f>
        <v/>
      </c>
      <c r="N631">
        <f>$N630+$M631</f>
        <v/>
      </c>
      <c r="O631" t="inlineStr">
        <is>
          <t>three-way</t>
        </is>
      </c>
      <c r="P631" t="inlineStr">
        <is>
          <t>contribution_rate</t>
        </is>
      </c>
    </row>
    <row r="632">
      <c r="A632" t="inlineStr">
        <is>
          <t>Split by SYS_FLAG</t>
        </is>
      </c>
      <c r="B632" t="inlineStr">
        <is>
          <t>Earned before losses</t>
        </is>
      </c>
      <c r="C632" t="n">
        <v>483</v>
      </c>
      <c r="D632" t="inlineStr">
        <is>
          <t>FICO 746 - 921</t>
        </is>
      </c>
      <c r="E632" t="inlineStr">
        <is>
          <t>Online</t>
        </is>
      </c>
      <c r="F632" t="inlineStr">
        <is>
          <t>Y</t>
        </is>
      </c>
      <c r="G632" t="n">
        <v>225</v>
      </c>
      <c r="H632" t="n">
        <v>-2.530226218133299</v>
      </c>
      <c r="J632" t="n">
        <v>58</v>
      </c>
      <c r="K632">
        <f>'_pockets'!$AI$483</f>
        <v/>
      </c>
      <c r="L632">
        <f>'_pockets'!$AJ$483</f>
        <v/>
      </c>
      <c r="M632">
        <f>IF(AND($A632='Pockets'!$D$17,$B632='Pockets'!$C$17,OR('Pockets'!$E$17="All",AND('Pockets'!$E$17="Worse and material",$K632="Yes",$L632="Yes"),AND('Pockets'!$E$17="Worse or not sure",OR($K632="Yes",$K632="Not sure")))),1,0)</f>
        <v/>
      </c>
      <c r="N632">
        <f>$N631+$M632</f>
        <v/>
      </c>
      <c r="O632" t="inlineStr">
        <is>
          <t>three-way</t>
        </is>
      </c>
      <c r="P632" t="inlineStr">
        <is>
          <t>contribution_rate</t>
        </is>
      </c>
    </row>
    <row r="633">
      <c r="A633" t="inlineStr">
        <is>
          <t>Split by SYS_FLAG</t>
        </is>
      </c>
      <c r="B633" t="inlineStr">
        <is>
          <t>Earned before losses</t>
        </is>
      </c>
      <c r="C633" t="n">
        <v>733</v>
      </c>
      <c r="D633" t="inlineStr">
        <is>
          <t>FICO 712 - 745</t>
        </is>
      </c>
      <c r="E633" t="inlineStr">
        <is>
          <t>ASSET_CLASS 1</t>
        </is>
      </c>
      <c r="F633" t="inlineStr">
        <is>
          <t>Y</t>
        </is>
      </c>
      <c r="G633" t="n">
        <v>167</v>
      </c>
      <c r="H633" t="n">
        <v>-2.926025434540191</v>
      </c>
      <c r="J633" t="n">
        <v>59</v>
      </c>
      <c r="K633">
        <f>'_pockets'!$AI$733</f>
        <v/>
      </c>
      <c r="L633">
        <f>'_pockets'!$AJ$733</f>
        <v/>
      </c>
      <c r="M633">
        <f>IF(AND($A633='Pockets'!$D$17,$B633='Pockets'!$C$17,OR('Pockets'!$E$17="All",AND('Pockets'!$E$17="Worse and material",$K633="Yes",$L633="Yes"),AND('Pockets'!$E$17="Worse or not sure",OR($K633="Yes",$K633="Not sure")))),1,0)</f>
        <v/>
      </c>
      <c r="N633">
        <f>$N632+$M633</f>
        <v/>
      </c>
      <c r="O633" t="inlineStr">
        <is>
          <t>three-way</t>
        </is>
      </c>
      <c r="P633" t="inlineStr">
        <is>
          <t>contribution_rate</t>
        </is>
      </c>
    </row>
    <row r="634">
      <c r="A634" t="inlineStr">
        <is>
          <t>Split by SYS_FLAG</t>
        </is>
      </c>
      <c r="B634" t="inlineStr">
        <is>
          <t>Earned before losses</t>
        </is>
      </c>
      <c r="C634" t="n">
        <v>583</v>
      </c>
      <c r="D634" t="inlineStr">
        <is>
          <t>FICO (marked missing)</t>
        </is>
      </c>
      <c r="E634" t="inlineStr">
        <is>
          <t>Branch</t>
        </is>
      </c>
      <c r="F634" t="inlineStr">
        <is>
          <t>Y</t>
        </is>
      </c>
      <c r="G634" t="n">
        <v>22</v>
      </c>
      <c r="H634" t="n">
        <v>-7.988054723482414</v>
      </c>
      <c r="J634" t="n">
        <v>60</v>
      </c>
      <c r="K634">
        <f>'_pockets'!$AI$583</f>
        <v/>
      </c>
      <c r="L634">
        <f>'_pockets'!$AJ$583</f>
        <v/>
      </c>
      <c r="M634">
        <f>IF(AND($A634='Pockets'!$D$17,$B634='Pockets'!$C$17,OR('Pockets'!$E$17="All",AND('Pockets'!$E$17="Worse and material",$K634="Yes",$L634="Yes"),AND('Pockets'!$E$17="Worse or not sure",OR($K634="Yes",$K634="Not sure")))),1,0)</f>
        <v/>
      </c>
      <c r="N634">
        <f>$N633+$M634</f>
        <v/>
      </c>
      <c r="O634" t="inlineStr">
        <is>
          <t>three-way</t>
        </is>
      </c>
      <c r="P634" t="inlineStr">
        <is>
          <t>contribution_rate</t>
        </is>
      </c>
    </row>
    <row r="635">
      <c r="A635" t="inlineStr">
        <is>
          <t>Split by SYS_FLAG</t>
        </is>
      </c>
      <c r="B635" t="inlineStr">
        <is>
          <t>Earned before losses</t>
        </is>
      </c>
      <c r="C635" t="n">
        <v>893</v>
      </c>
      <c r="D635" t="inlineStr">
        <is>
          <t>ORIG_BAL 5,005 - 15,448</t>
        </is>
      </c>
      <c r="E635" t="inlineStr">
        <is>
          <t>Broker</t>
        </is>
      </c>
      <c r="F635" t="inlineStr">
        <is>
          <t>Y</t>
        </is>
      </c>
      <c r="G635" t="n">
        <v>237</v>
      </c>
      <c r="H635" t="n">
        <v>-2.467243024296824</v>
      </c>
      <c r="J635" t="n">
        <v>61</v>
      </c>
      <c r="K635">
        <f>'_pockets'!$AI$893</f>
        <v/>
      </c>
      <c r="L635">
        <f>'_pockets'!$AJ$893</f>
        <v/>
      </c>
      <c r="M635">
        <f>IF(AND($A635='Pockets'!$D$17,$B635='Pockets'!$C$17,OR('Pockets'!$E$17="All",AND('Pockets'!$E$17="Worse and material",$K635="Yes",$L635="Yes"),AND('Pockets'!$E$17="Worse or not sure",OR($K635="Yes",$K635="Not sure")))),1,0)</f>
        <v/>
      </c>
      <c r="N635">
        <f>$N634+$M635</f>
        <v/>
      </c>
      <c r="O635" t="inlineStr">
        <is>
          <t>three-way</t>
        </is>
      </c>
      <c r="P635" t="inlineStr">
        <is>
          <t>contribution_rate</t>
        </is>
      </c>
    </row>
    <row r="636">
      <c r="A636" t="inlineStr">
        <is>
          <t>Split by SYS_FLAG</t>
        </is>
      </c>
      <c r="B636" t="inlineStr">
        <is>
          <t>Earned before losses</t>
        </is>
      </c>
      <c r="C636" t="n">
        <v>1053</v>
      </c>
      <c r="D636" t="inlineStr">
        <is>
          <t>ORIG_BAL 5,005 - 15,448</t>
        </is>
      </c>
      <c r="E636" t="inlineStr">
        <is>
          <t>ASSET_CLASS 2</t>
        </is>
      </c>
      <c r="F636" t="inlineStr">
        <is>
          <t>N</t>
        </is>
      </c>
      <c r="G636" t="n">
        <v>244</v>
      </c>
      <c r="H636" t="n">
        <v>-2.432692033754823</v>
      </c>
      <c r="J636" t="n">
        <v>62</v>
      </c>
      <c r="K636">
        <f>'_pockets'!$AI$1053</f>
        <v/>
      </c>
      <c r="L636">
        <f>'_pockets'!$AJ$1053</f>
        <v/>
      </c>
      <c r="M636">
        <f>IF(AND($A636='Pockets'!$D$17,$B636='Pockets'!$C$17,OR('Pockets'!$E$17="All",AND('Pockets'!$E$17="Worse and material",$K636="Yes",$L636="Yes"),AND('Pockets'!$E$17="Worse or not sure",OR($K636="Yes",$K636="Not sure")))),1,0)</f>
        <v/>
      </c>
      <c r="N636">
        <f>$N635+$M636</f>
        <v/>
      </c>
      <c r="O636" t="inlineStr">
        <is>
          <t>three-way</t>
        </is>
      </c>
      <c r="P636" t="inlineStr">
        <is>
          <t>contribution_rate</t>
        </is>
      </c>
    </row>
    <row r="637">
      <c r="A637" t="inlineStr">
        <is>
          <t>Split by SYS_FLAG</t>
        </is>
      </c>
      <c r="B637" t="inlineStr">
        <is>
          <t>Earned before losses</t>
        </is>
      </c>
      <c r="C637" t="n">
        <v>703</v>
      </c>
      <c r="D637" t="inlineStr">
        <is>
          <t>FICO 654 - 685</t>
        </is>
      </c>
      <c r="E637" t="inlineStr">
        <is>
          <t>ASSET_CLASS 4</t>
        </is>
      </c>
      <c r="F637" t="inlineStr">
        <is>
          <t>N</t>
        </is>
      </c>
      <c r="G637" t="n">
        <v>219</v>
      </c>
      <c r="H637" t="n">
        <v>-2.563663388567217</v>
      </c>
      <c r="J637" t="n">
        <v>63</v>
      </c>
      <c r="K637">
        <f>'_pockets'!$AI$703</f>
        <v/>
      </c>
      <c r="L637">
        <f>'_pockets'!$AJ$703</f>
        <v/>
      </c>
      <c r="M637">
        <f>IF(AND($A637='Pockets'!$D$17,$B637='Pockets'!$C$17,OR('Pockets'!$E$17="All",AND('Pockets'!$E$17="Worse and material",$K637="Yes",$L637="Yes"),AND('Pockets'!$E$17="Worse or not sure",OR($K637="Yes",$K637="Not sure")))),1,0)</f>
        <v/>
      </c>
      <c r="N637">
        <f>$N636+$M637</f>
        <v/>
      </c>
      <c r="O637" t="inlineStr">
        <is>
          <t>three-way</t>
        </is>
      </c>
      <c r="P637" t="inlineStr">
        <is>
          <t>contribution_rate</t>
        </is>
      </c>
    </row>
    <row r="638">
      <c r="A638" t="inlineStr">
        <is>
          <t>Split by SYS_FLAG</t>
        </is>
      </c>
      <c r="B638" t="inlineStr">
        <is>
          <t>Earned before losses</t>
        </is>
      </c>
      <c r="C638" t="n">
        <v>1003</v>
      </c>
      <c r="D638" t="inlineStr">
        <is>
          <t>ORIG_BAL 26,324 - 37,950</t>
        </is>
      </c>
      <c r="E638" t="inlineStr">
        <is>
          <t>ASSET_CLASS 2</t>
        </is>
      </c>
      <c r="F638" t="inlineStr">
        <is>
          <t>Y</t>
        </is>
      </c>
      <c r="G638" t="n">
        <v>179</v>
      </c>
      <c r="H638" t="n">
        <v>-2.82841298524499</v>
      </c>
      <c r="J638" t="n">
        <v>64</v>
      </c>
      <c r="K638">
        <f>'_pockets'!$AI$1003</f>
        <v/>
      </c>
      <c r="L638">
        <f>'_pockets'!$AJ$1003</f>
        <v/>
      </c>
      <c r="M638">
        <f>IF(AND($A638='Pockets'!$D$17,$B638='Pockets'!$C$17,OR('Pockets'!$E$17="All",AND('Pockets'!$E$17="Worse and material",$K638="Yes",$L638="Yes"),AND('Pockets'!$E$17="Worse or not sure",OR($K638="Yes",$K638="Not sure")))),1,0)</f>
        <v/>
      </c>
      <c r="N638">
        <f>$N637+$M638</f>
        <v/>
      </c>
      <c r="O638" t="inlineStr">
        <is>
          <t>three-way</t>
        </is>
      </c>
      <c r="P638" t="inlineStr">
        <is>
          <t>contribution_rate</t>
        </is>
      </c>
    </row>
    <row r="639">
      <c r="A639" t="inlineStr">
        <is>
          <t>Split by SYS_FLAG</t>
        </is>
      </c>
      <c r="B639" t="inlineStr">
        <is>
          <t>Earned before losses</t>
        </is>
      </c>
      <c r="C639" t="n">
        <v>548</v>
      </c>
      <c r="D639" t="inlineStr">
        <is>
          <t>FICO 496 - 653</t>
        </is>
      </c>
      <c r="E639" t="inlineStr">
        <is>
          <t>Online</t>
        </is>
      </c>
      <c r="F639" t="inlineStr">
        <is>
          <t>Y</t>
        </is>
      </c>
      <c r="G639" t="n">
        <v>226</v>
      </c>
      <c r="H639" t="n">
        <v>-2.524784579041438</v>
      </c>
      <c r="J639" t="n">
        <v>65</v>
      </c>
      <c r="K639">
        <f>'_pockets'!$AI$548</f>
        <v/>
      </c>
      <c r="L639">
        <f>'_pockets'!$AJ$548</f>
        <v/>
      </c>
      <c r="M639">
        <f>IF(AND($A639='Pockets'!$D$17,$B639='Pockets'!$C$17,OR('Pockets'!$E$17="All",AND('Pockets'!$E$17="Worse and material",$K639="Yes",$L639="Yes"),AND('Pockets'!$E$17="Worse or not sure",OR($K639="Yes",$K639="Not sure")))),1,0)</f>
        <v/>
      </c>
      <c r="N639">
        <f>$N638+$M639</f>
        <v/>
      </c>
      <c r="O639" t="inlineStr">
        <is>
          <t>three-way</t>
        </is>
      </c>
      <c r="P639" t="inlineStr">
        <is>
          <t>contribution_rate</t>
        </is>
      </c>
    </row>
    <row r="640">
      <c r="A640" t="inlineStr">
        <is>
          <t>Split by SYS_FLAG</t>
        </is>
      </c>
      <c r="B640" t="inlineStr">
        <is>
          <t>Earned before losses</t>
        </is>
      </c>
      <c r="C640" t="n">
        <v>1148</v>
      </c>
      <c r="D640" t="inlineStr">
        <is>
          <t>ORIG_BAL 15,449 - 26,323</t>
        </is>
      </c>
      <c r="E640" t="inlineStr">
        <is>
          <t>ASSET_CLASS 3</t>
        </is>
      </c>
      <c r="F640" t="inlineStr">
        <is>
          <t>Y</t>
        </is>
      </c>
      <c r="G640" t="n">
        <v>193</v>
      </c>
      <c r="H640" t="n">
        <v>-2.726338875237242</v>
      </c>
      <c r="J640" t="n">
        <v>66</v>
      </c>
      <c r="K640">
        <f>'_pockets'!$AI$1148</f>
        <v/>
      </c>
      <c r="L640">
        <f>'_pockets'!$AJ$1148</f>
        <v/>
      </c>
      <c r="M640">
        <f>IF(AND($A640='Pockets'!$D$17,$B640='Pockets'!$C$17,OR('Pockets'!$E$17="All",AND('Pockets'!$E$17="Worse and material",$K640="Yes",$L640="Yes"),AND('Pockets'!$E$17="Worse or not sure",OR($K640="Yes",$K640="Not sure")))),1,0)</f>
        <v/>
      </c>
      <c r="N640">
        <f>$N639+$M640</f>
        <v/>
      </c>
      <c r="O640" t="inlineStr">
        <is>
          <t>three-way</t>
        </is>
      </c>
      <c r="P640" t="inlineStr">
        <is>
          <t>contribution_rate</t>
        </is>
      </c>
    </row>
    <row r="641">
      <c r="A641" t="inlineStr">
        <is>
          <t>Split by SYS_FLAG</t>
        </is>
      </c>
      <c r="B641" t="inlineStr">
        <is>
          <t>Earned before losses</t>
        </is>
      </c>
      <c r="C641" t="n">
        <v>718</v>
      </c>
      <c r="D641" t="inlineStr">
        <is>
          <t>FICO 654 - 685</t>
        </is>
      </c>
      <c r="E641" t="inlineStr">
        <is>
          <t>ASSET_CLASS 2</t>
        </is>
      </c>
      <c r="F641" t="inlineStr">
        <is>
          <t>Y</t>
        </is>
      </c>
      <c r="G641" t="n">
        <v>163</v>
      </c>
      <c r="H641" t="n">
        <v>-2.960953873378878</v>
      </c>
      <c r="J641" t="n">
        <v>67</v>
      </c>
      <c r="K641">
        <f>'_pockets'!$AI$718</f>
        <v/>
      </c>
      <c r="L641">
        <f>'_pockets'!$AJ$718</f>
        <v/>
      </c>
      <c r="M641">
        <f>IF(AND($A641='Pockets'!$D$17,$B641='Pockets'!$C$17,OR('Pockets'!$E$17="All",AND('Pockets'!$E$17="Worse and material",$K641="Yes",$L641="Yes"),AND('Pockets'!$E$17="Worse or not sure",OR($K641="Yes",$K641="Not sure")))),1,0)</f>
        <v/>
      </c>
      <c r="N641">
        <f>$N640+$M641</f>
        <v/>
      </c>
      <c r="O641" t="inlineStr">
        <is>
          <t>three-way</t>
        </is>
      </c>
      <c r="P641" t="inlineStr">
        <is>
          <t>contribution_rate</t>
        </is>
      </c>
    </row>
    <row r="642">
      <c r="A642" t="inlineStr">
        <is>
          <t>Split by SYS_FLAG</t>
        </is>
      </c>
      <c r="B642" t="inlineStr">
        <is>
          <t>Earned before losses</t>
        </is>
      </c>
      <c r="C642" t="n">
        <v>1028</v>
      </c>
      <c r="D642" t="inlineStr">
        <is>
          <t>ORIG_BAL 37,951 - 49,151</t>
        </is>
      </c>
      <c r="E642" t="inlineStr">
        <is>
          <t>ASSET_CLASS 2</t>
        </is>
      </c>
      <c r="F642" t="inlineStr">
        <is>
          <t>Y</t>
        </is>
      </c>
      <c r="G642" t="n">
        <v>199</v>
      </c>
      <c r="H642" t="n">
        <v>-2.685956322269449</v>
      </c>
      <c r="J642" t="n">
        <v>68</v>
      </c>
      <c r="K642">
        <f>'_pockets'!$AI$1028</f>
        <v/>
      </c>
      <c r="L642">
        <f>'_pockets'!$AJ$1028</f>
        <v/>
      </c>
      <c r="M642">
        <f>IF(AND($A642='Pockets'!$D$17,$B642='Pockets'!$C$17,OR('Pockets'!$E$17="All",AND('Pockets'!$E$17="Worse and material",$K642="Yes",$L642="Yes"),AND('Pockets'!$E$17="Worse or not sure",OR($K642="Yes",$K642="Not sure")))),1,0)</f>
        <v/>
      </c>
      <c r="N642">
        <f>$N641+$M642</f>
        <v/>
      </c>
      <c r="O642" t="inlineStr">
        <is>
          <t>three-way</t>
        </is>
      </c>
      <c r="P642" t="inlineStr">
        <is>
          <t>contribution_rate</t>
        </is>
      </c>
    </row>
    <row r="643">
      <c r="A643" t="inlineStr">
        <is>
          <t>Split by SYS_FLAG</t>
        </is>
      </c>
      <c r="B643" t="inlineStr">
        <is>
          <t>Earned before losses</t>
        </is>
      </c>
      <c r="C643" t="n">
        <v>1138</v>
      </c>
      <c r="D643" t="inlineStr">
        <is>
          <t>ORIG_BAL 15,449 - 26,323</t>
        </is>
      </c>
      <c r="E643" t="inlineStr">
        <is>
          <t>ASSET_CLASS 1</t>
        </is>
      </c>
      <c r="F643" t="inlineStr">
        <is>
          <t>Y</t>
        </is>
      </c>
      <c r="G643" t="n">
        <v>180</v>
      </c>
      <c r="H643" t="n">
        <v>-2.820725722144742</v>
      </c>
      <c r="J643" t="n">
        <v>69</v>
      </c>
      <c r="K643">
        <f>'_pockets'!$AI$1138</f>
        <v/>
      </c>
      <c r="L643">
        <f>'_pockets'!$AJ$1138</f>
        <v/>
      </c>
      <c r="M643">
        <f>IF(AND($A643='Pockets'!$D$17,$B643='Pockets'!$C$17,OR('Pockets'!$E$17="All",AND('Pockets'!$E$17="Worse and material",$K643="Yes",$L643="Yes"),AND('Pockets'!$E$17="Worse or not sure",OR($K643="Yes",$K643="Not sure")))),1,0)</f>
        <v/>
      </c>
      <c r="N643">
        <f>$N642+$M643</f>
        <v/>
      </c>
      <c r="O643" t="inlineStr">
        <is>
          <t>three-way</t>
        </is>
      </c>
      <c r="P643" t="inlineStr">
        <is>
          <t>contribution_rate</t>
        </is>
      </c>
    </row>
    <row r="644">
      <c r="A644" t="inlineStr">
        <is>
          <t>Split by SYS_FLAG</t>
        </is>
      </c>
      <c r="B644" t="inlineStr">
        <is>
          <t>Earned before losses</t>
        </is>
      </c>
      <c r="C644" t="n">
        <v>463</v>
      </c>
      <c r="D644" t="inlineStr">
        <is>
          <t>FICO 746 - 921</t>
        </is>
      </c>
      <c r="E644" t="inlineStr">
        <is>
          <t>Online</t>
        </is>
      </c>
      <c r="F644" t="inlineStr">
        <is>
          <t>N</t>
        </is>
      </c>
      <c r="G644" t="n">
        <v>292</v>
      </c>
      <c r="H644" t="n">
        <v>-2.23068895238227</v>
      </c>
      <c r="J644" t="n">
        <v>70</v>
      </c>
      <c r="K644">
        <f>'_pockets'!$AI$463</f>
        <v/>
      </c>
      <c r="L644">
        <f>'_pockets'!$AJ$463</f>
        <v/>
      </c>
      <c r="M644">
        <f>IF(AND($A644='Pockets'!$D$17,$B644='Pockets'!$C$17,OR('Pockets'!$E$17="All",AND('Pockets'!$E$17="Worse and material",$K644="Yes",$L644="Yes"),AND('Pockets'!$E$17="Worse or not sure",OR($K644="Yes",$K644="Not sure")))),1,0)</f>
        <v/>
      </c>
      <c r="N644">
        <f>$N643+$M644</f>
        <v/>
      </c>
      <c r="O644" t="inlineStr">
        <is>
          <t>three-way</t>
        </is>
      </c>
      <c r="P644" t="inlineStr">
        <is>
          <t>contribution_rate</t>
        </is>
      </c>
    </row>
    <row r="645">
      <c r="A645" t="inlineStr">
        <is>
          <t>Split by SYS_FLAG</t>
        </is>
      </c>
      <c r="B645" t="inlineStr">
        <is>
          <t>Earned before losses</t>
        </is>
      </c>
      <c r="C645" t="n">
        <v>618</v>
      </c>
      <c r="D645" t="inlineStr">
        <is>
          <t>FICO 496 - 653</t>
        </is>
      </c>
      <c r="E645" t="inlineStr">
        <is>
          <t>ASSET_CLASS 2</t>
        </is>
      </c>
      <c r="F645" t="inlineStr">
        <is>
          <t>N</t>
        </is>
      </c>
      <c r="G645" t="n">
        <v>213</v>
      </c>
      <c r="H645" t="n">
        <v>-2.598518626858829</v>
      </c>
      <c r="J645" t="n">
        <v>71</v>
      </c>
      <c r="K645">
        <f>'_pockets'!$AI$618</f>
        <v/>
      </c>
      <c r="L645">
        <f>'_pockets'!$AJ$618</f>
        <v/>
      </c>
      <c r="M645">
        <f>IF(AND($A645='Pockets'!$D$17,$B645='Pockets'!$C$17,OR('Pockets'!$E$17="All",AND('Pockets'!$E$17="Worse and material",$K645="Yes",$L645="Yes"),AND('Pockets'!$E$17="Worse or not sure",OR($K645="Yes",$K645="Not sure")))),1,0)</f>
        <v/>
      </c>
      <c r="N645">
        <f>$N644+$M645</f>
        <v/>
      </c>
      <c r="O645" t="inlineStr">
        <is>
          <t>three-way</t>
        </is>
      </c>
      <c r="P645" t="inlineStr">
        <is>
          <t>contribution_rate</t>
        </is>
      </c>
    </row>
    <row r="646">
      <c r="A646" t="inlineStr">
        <is>
          <t>Split by SYS_FLAG</t>
        </is>
      </c>
      <c r="B646" t="inlineStr">
        <is>
          <t>Earned before losses</t>
        </is>
      </c>
      <c r="C646" t="n">
        <v>658</v>
      </c>
      <c r="D646" t="inlineStr">
        <is>
          <t>FICO 686 - 711</t>
        </is>
      </c>
      <c r="E646" t="inlineStr">
        <is>
          <t>ASSET_CLASS 4</t>
        </is>
      </c>
      <c r="F646" t="inlineStr">
        <is>
          <t>Y</t>
        </is>
      </c>
      <c r="G646" t="n">
        <v>172</v>
      </c>
      <c r="H646" t="n">
        <v>-2.884103218842526</v>
      </c>
      <c r="J646" t="n">
        <v>72</v>
      </c>
      <c r="K646">
        <f>'_pockets'!$AI$658</f>
        <v/>
      </c>
      <c r="L646">
        <f>'_pockets'!$AJ$658</f>
        <v/>
      </c>
      <c r="M646">
        <f>IF(AND($A646='Pockets'!$D$17,$B646='Pockets'!$C$17,OR('Pockets'!$E$17="All",AND('Pockets'!$E$17="Worse and material",$K646="Yes",$L646="Yes"),AND('Pockets'!$E$17="Worse or not sure",OR($K646="Yes",$K646="Not sure")))),1,0)</f>
        <v/>
      </c>
      <c r="N646">
        <f>$N645+$M646</f>
        <v/>
      </c>
      <c r="O646" t="inlineStr">
        <is>
          <t>three-way</t>
        </is>
      </c>
      <c r="P646" t="inlineStr">
        <is>
          <t>contribution_rate</t>
        </is>
      </c>
    </row>
    <row r="647">
      <c r="A647" t="inlineStr">
        <is>
          <t>Split by SYS_FLAG</t>
        </is>
      </c>
      <c r="B647" t="inlineStr">
        <is>
          <t>Earned before losses</t>
        </is>
      </c>
      <c r="C647" t="n">
        <v>828</v>
      </c>
      <c r="D647" t="inlineStr">
        <is>
          <t>FICO (marked missing)</t>
        </is>
      </c>
      <c r="E647" t="inlineStr">
        <is>
          <t>ASSET_CLASS 2</t>
        </is>
      </c>
      <c r="F647" t="inlineStr">
        <is>
          <t>N</t>
        </is>
      </c>
      <c r="G647" t="n">
        <v>18</v>
      </c>
      <c r="H647" t="n">
        <v>-8.828913181797466</v>
      </c>
      <c r="J647" t="n">
        <v>73</v>
      </c>
      <c r="K647">
        <f>'_pockets'!$AI$828</f>
        <v/>
      </c>
      <c r="L647">
        <f>'_pockets'!$AJ$828</f>
        <v/>
      </c>
      <c r="M647">
        <f>IF(AND($A647='Pockets'!$D$17,$B647='Pockets'!$C$17,OR('Pockets'!$E$17="All",AND('Pockets'!$E$17="Worse and material",$K647="Yes",$L647="Yes"),AND('Pockets'!$E$17="Worse or not sure",OR($K647="Yes",$K647="Not sure")))),1,0)</f>
        <v/>
      </c>
      <c r="N647">
        <f>$N646+$M647</f>
        <v/>
      </c>
      <c r="O647" t="inlineStr">
        <is>
          <t>three-way</t>
        </is>
      </c>
      <c r="P647" t="inlineStr">
        <is>
          <t>contribution_rate</t>
        </is>
      </c>
    </row>
    <row r="648">
      <c r="A648" t="inlineStr">
        <is>
          <t>Split by SYS_FLAG</t>
        </is>
      </c>
      <c r="B648" t="inlineStr">
        <is>
          <t>Earned before losses</t>
        </is>
      </c>
      <c r="C648" t="n">
        <v>593</v>
      </c>
      <c r="D648" t="inlineStr">
        <is>
          <t>FICO (marked missing)</t>
        </is>
      </c>
      <c r="E648" t="inlineStr">
        <is>
          <t>Broker</t>
        </is>
      </c>
      <c r="F648" t="inlineStr">
        <is>
          <t>Y</t>
        </is>
      </c>
      <c r="G648" t="n">
        <v>25</v>
      </c>
      <c r="H648" t="n">
        <v>-7.494869202160485</v>
      </c>
      <c r="J648" t="n">
        <v>74</v>
      </c>
      <c r="K648">
        <f>'_pockets'!$AI$593</f>
        <v/>
      </c>
      <c r="L648">
        <f>'_pockets'!$AJ$593</f>
        <v/>
      </c>
      <c r="M648">
        <f>IF(AND($A648='Pockets'!$D$17,$B648='Pockets'!$C$17,OR('Pockets'!$E$17="All",AND('Pockets'!$E$17="Worse and material",$K648="Yes",$L648="Yes"),AND('Pockets'!$E$17="Worse or not sure",OR($K648="Yes",$K648="Not sure")))),1,0)</f>
        <v/>
      </c>
      <c r="N648">
        <f>$N647+$M648</f>
        <v/>
      </c>
      <c r="O648" t="inlineStr">
        <is>
          <t>three-way</t>
        </is>
      </c>
      <c r="P648" t="inlineStr">
        <is>
          <t>contribution_rate</t>
        </is>
      </c>
    </row>
    <row r="649">
      <c r="A649" t="inlineStr">
        <is>
          <t>Split by SYS_FLAG</t>
        </is>
      </c>
      <c r="B649" t="inlineStr">
        <is>
          <t>Earned before losses</t>
        </is>
      </c>
      <c r="C649" t="n">
        <v>823</v>
      </c>
      <c r="D649" t="inlineStr">
        <is>
          <t>FICO (marked missing)</t>
        </is>
      </c>
      <c r="E649" t="inlineStr">
        <is>
          <t>ASSET_CLASS 4</t>
        </is>
      </c>
      <c r="F649" t="inlineStr">
        <is>
          <t>N</t>
        </is>
      </c>
      <c r="G649" t="n">
        <v>22</v>
      </c>
      <c r="H649" t="n">
        <v>-7.988054723482414</v>
      </c>
      <c r="J649" t="n">
        <v>75</v>
      </c>
      <c r="K649">
        <f>'_pockets'!$AI$823</f>
        <v/>
      </c>
      <c r="L649">
        <f>'_pockets'!$AJ$823</f>
        <v/>
      </c>
      <c r="M649">
        <f>IF(AND($A649='Pockets'!$D$17,$B649='Pockets'!$C$17,OR('Pockets'!$E$17="All",AND('Pockets'!$E$17="Worse and material",$K649="Yes",$L649="Yes"),AND('Pockets'!$E$17="Worse or not sure",OR($K649="Yes",$K649="Not sure")))),1,0)</f>
        <v/>
      </c>
      <c r="N649">
        <f>$N648+$M649</f>
        <v/>
      </c>
      <c r="O649" t="inlineStr">
        <is>
          <t>three-way</t>
        </is>
      </c>
      <c r="P649" t="inlineStr">
        <is>
          <t>contribution_rate</t>
        </is>
      </c>
    </row>
    <row r="650">
      <c r="A650" t="inlineStr">
        <is>
          <t>Split by SYS_FLAG</t>
        </is>
      </c>
      <c r="B650" t="inlineStr">
        <is>
          <t>Earned before losses</t>
        </is>
      </c>
      <c r="C650" t="n">
        <v>748</v>
      </c>
      <c r="D650" t="inlineStr">
        <is>
          <t>FICO 746 - 921</t>
        </is>
      </c>
      <c r="E650" t="inlineStr">
        <is>
          <t>ASSET_CLASS 4</t>
        </is>
      </c>
      <c r="F650" t="inlineStr">
        <is>
          <t>N</t>
        </is>
      </c>
      <c r="G650" t="n">
        <v>209</v>
      </c>
      <c r="H650" t="n">
        <v>-2.622593312860822</v>
      </c>
      <c r="J650" t="n">
        <v>76</v>
      </c>
      <c r="K650">
        <f>'_pockets'!$AI$748</f>
        <v/>
      </c>
      <c r="L650">
        <f>'_pockets'!$AJ$748</f>
        <v/>
      </c>
      <c r="M650">
        <f>IF(AND($A650='Pockets'!$D$17,$B650='Pockets'!$C$17,OR('Pockets'!$E$17="All",AND('Pockets'!$E$17="Worse and material",$K650="Yes",$L650="Yes"),AND('Pockets'!$E$17="Worse or not sure",OR($K650="Yes",$K650="Not sure")))),1,0)</f>
        <v/>
      </c>
      <c r="N650">
        <f>$N649+$M650</f>
        <v/>
      </c>
      <c r="O650" t="inlineStr">
        <is>
          <t>three-way</t>
        </is>
      </c>
      <c r="P650" t="inlineStr">
        <is>
          <t>contribution_rate</t>
        </is>
      </c>
    </row>
    <row r="651">
      <c r="A651" t="inlineStr">
        <is>
          <t>Split by SYS_FLAG</t>
        </is>
      </c>
      <c r="B651" t="inlineStr">
        <is>
          <t>Earned before losses</t>
        </is>
      </c>
      <c r="C651" t="n">
        <v>1133</v>
      </c>
      <c r="D651" t="inlineStr">
        <is>
          <t>ORIG_BAL 15,449 - 26,323</t>
        </is>
      </c>
      <c r="E651" t="inlineStr">
        <is>
          <t>ASSET_CLASS 3</t>
        </is>
      </c>
      <c r="F651" t="inlineStr">
        <is>
          <t>N</t>
        </is>
      </c>
      <c r="G651" t="n">
        <v>234</v>
      </c>
      <c r="H651" t="n">
        <v>-2.482528553831983</v>
      </c>
      <c r="J651" t="n">
        <v>77</v>
      </c>
      <c r="K651">
        <f>'_pockets'!$AI$1133</f>
        <v/>
      </c>
      <c r="L651">
        <f>'_pockets'!$AJ$1133</f>
        <v/>
      </c>
      <c r="M651">
        <f>IF(AND($A651='Pockets'!$D$17,$B651='Pockets'!$C$17,OR('Pockets'!$E$17="All",AND('Pockets'!$E$17="Worse and material",$K651="Yes",$L651="Yes"),AND('Pockets'!$E$17="Worse or not sure",OR($K651="Yes",$K651="Not sure")))),1,0)</f>
        <v/>
      </c>
      <c r="N651">
        <f>$N650+$M651</f>
        <v/>
      </c>
      <c r="O651" t="inlineStr">
        <is>
          <t>three-way</t>
        </is>
      </c>
      <c r="P651" t="inlineStr">
        <is>
          <t>contribution_rate</t>
        </is>
      </c>
    </row>
    <row r="652">
      <c r="A652" t="inlineStr">
        <is>
          <t>Split by SYS_FLAG</t>
        </is>
      </c>
      <c r="B652" t="inlineStr">
        <is>
          <t>Earned before losses</t>
        </is>
      </c>
      <c r="C652" t="n">
        <v>1073</v>
      </c>
      <c r="D652" t="inlineStr">
        <is>
          <t>ORIG_BAL 5,005 - 15,448</t>
        </is>
      </c>
      <c r="E652" t="inlineStr">
        <is>
          <t>ASSET_CLASS 3</t>
        </is>
      </c>
      <c r="F652" t="inlineStr">
        <is>
          <t>N</t>
        </is>
      </c>
      <c r="G652" t="n">
        <v>170</v>
      </c>
      <c r="H652" t="n">
        <v>-2.900648306456116</v>
      </c>
      <c r="J652" t="n">
        <v>78</v>
      </c>
      <c r="K652">
        <f>'_pockets'!$AI$1073</f>
        <v/>
      </c>
      <c r="L652">
        <f>'_pockets'!$AJ$1073</f>
        <v/>
      </c>
      <c r="M652">
        <f>IF(AND($A652='Pockets'!$D$17,$B652='Pockets'!$C$17,OR('Pockets'!$E$17="All",AND('Pockets'!$E$17="Worse and material",$K652="Yes",$L652="Yes"),AND('Pockets'!$E$17="Worse or not sure",OR($K652="Yes",$K652="Not sure")))),1,0)</f>
        <v/>
      </c>
      <c r="N652">
        <f>$N651+$M652</f>
        <v/>
      </c>
      <c r="O652" t="inlineStr">
        <is>
          <t>three-way</t>
        </is>
      </c>
      <c r="P652" t="inlineStr">
        <is>
          <t>contribution_rate</t>
        </is>
      </c>
    </row>
    <row r="653">
      <c r="A653" t="inlineStr">
        <is>
          <t>Split by SYS_FLAG</t>
        </is>
      </c>
      <c r="B653" t="inlineStr">
        <is>
          <t>Earned before losses</t>
        </is>
      </c>
      <c r="C653" t="n">
        <v>668</v>
      </c>
      <c r="D653" t="inlineStr">
        <is>
          <t>FICO 746 - 921</t>
        </is>
      </c>
      <c r="E653" t="inlineStr">
        <is>
          <t>ASSET_CLASS 4</t>
        </is>
      </c>
      <c r="F653" t="inlineStr">
        <is>
          <t>Y</t>
        </is>
      </c>
      <c r="G653" t="n">
        <v>164</v>
      </c>
      <c r="H653" t="n">
        <v>-2.952101169661384</v>
      </c>
      <c r="J653" t="n">
        <v>79</v>
      </c>
      <c r="K653">
        <f>'_pockets'!$AI$668</f>
        <v/>
      </c>
      <c r="L653">
        <f>'_pockets'!$AJ$668</f>
        <v/>
      </c>
      <c r="M653">
        <f>IF(AND($A653='Pockets'!$D$17,$B653='Pockets'!$C$17,OR('Pockets'!$E$17="All",AND('Pockets'!$E$17="Worse and material",$K653="Yes",$L653="Yes"),AND('Pockets'!$E$17="Worse or not sure",OR($K653="Yes",$K653="Not sure")))),1,0)</f>
        <v/>
      </c>
      <c r="N653">
        <f>$N652+$M653</f>
        <v/>
      </c>
      <c r="O653" t="inlineStr">
        <is>
          <t>three-way</t>
        </is>
      </c>
      <c r="P653" t="inlineStr">
        <is>
          <t>contribution_rate</t>
        </is>
      </c>
    </row>
    <row r="654">
      <c r="A654" t="inlineStr">
        <is>
          <t>Split by SYS_FLAG</t>
        </is>
      </c>
      <c r="B654" t="inlineStr">
        <is>
          <t>Earned before losses</t>
        </is>
      </c>
      <c r="C654" t="n">
        <v>838</v>
      </c>
      <c r="D654" t="inlineStr">
        <is>
          <t>FICO (marked missing)</t>
        </is>
      </c>
      <c r="E654" t="inlineStr">
        <is>
          <t>ASSET_CLASS 2</t>
        </is>
      </c>
      <c r="F654" t="inlineStr">
        <is>
          <t>Y</t>
        </is>
      </c>
      <c r="G654" t="n">
        <v>18</v>
      </c>
      <c r="H654" t="n">
        <v>-8.828913181797466</v>
      </c>
      <c r="J654" t="n">
        <v>80</v>
      </c>
      <c r="K654">
        <f>'_pockets'!$AI$838</f>
        <v/>
      </c>
      <c r="L654">
        <f>'_pockets'!$AJ$838</f>
        <v/>
      </c>
      <c r="M654">
        <f>IF(AND($A654='Pockets'!$D$17,$B654='Pockets'!$C$17,OR('Pockets'!$E$17="All",AND('Pockets'!$E$17="Worse and material",$K654="Yes",$L654="Yes"),AND('Pockets'!$E$17="Worse or not sure",OR($K654="Yes",$K654="Not sure")))),1,0)</f>
        <v/>
      </c>
      <c r="N654">
        <f>$N653+$M654</f>
        <v/>
      </c>
      <c r="O654" t="inlineStr">
        <is>
          <t>three-way</t>
        </is>
      </c>
      <c r="P654" t="inlineStr">
        <is>
          <t>contribution_rate</t>
        </is>
      </c>
    </row>
    <row r="655">
      <c r="A655" t="inlineStr">
        <is>
          <t>Split by SYS_FLAG</t>
        </is>
      </c>
      <c r="B655" t="inlineStr">
        <is>
          <t>Earned before losses</t>
        </is>
      </c>
      <c r="C655" t="n">
        <v>788</v>
      </c>
      <c r="D655" t="inlineStr">
        <is>
          <t>FICO 496 - 653</t>
        </is>
      </c>
      <c r="E655" t="inlineStr">
        <is>
          <t>ASSET_CLASS 4</t>
        </is>
      </c>
      <c r="F655" t="inlineStr">
        <is>
          <t>Y</t>
        </is>
      </c>
      <c r="G655" t="n">
        <v>189</v>
      </c>
      <c r="H655" t="n">
        <v>-2.754332273822399</v>
      </c>
      <c r="J655" t="n">
        <v>81</v>
      </c>
      <c r="K655">
        <f>'_pockets'!$AI$788</f>
        <v/>
      </c>
      <c r="L655">
        <f>'_pockets'!$AJ$788</f>
        <v/>
      </c>
      <c r="M655">
        <f>IF(AND($A655='Pockets'!$D$17,$B655='Pockets'!$C$17,OR('Pockets'!$E$17="All",AND('Pockets'!$E$17="Worse and material",$K655="Yes",$L655="Yes"),AND('Pockets'!$E$17="Worse or not sure",OR($K655="Yes",$K655="Not sure")))),1,0)</f>
        <v/>
      </c>
      <c r="N655">
        <f>$N654+$M655</f>
        <v/>
      </c>
      <c r="O655" t="inlineStr">
        <is>
          <t>three-way</t>
        </is>
      </c>
      <c r="P655" t="inlineStr">
        <is>
          <t>contribution_rate</t>
        </is>
      </c>
    </row>
    <row r="656">
      <c r="A656" t="inlineStr">
        <is>
          <t>Split by SYS_FLAG</t>
        </is>
      </c>
      <c r="B656" t="inlineStr">
        <is>
          <t>Earned before losses</t>
        </is>
      </c>
      <c r="C656" t="n">
        <v>553</v>
      </c>
      <c r="D656" t="inlineStr">
        <is>
          <t>FICO 746 - 921</t>
        </is>
      </c>
      <c r="E656" t="inlineStr">
        <is>
          <t>Broker</t>
        </is>
      </c>
      <c r="F656" t="inlineStr">
        <is>
          <t>Y</t>
        </is>
      </c>
      <c r="G656" t="n">
        <v>237</v>
      </c>
      <c r="H656" t="n">
        <v>-2.467243024296824</v>
      </c>
      <c r="J656" t="n">
        <v>82</v>
      </c>
      <c r="K656">
        <f>'_pockets'!$AI$553</f>
        <v/>
      </c>
      <c r="L656">
        <f>'_pockets'!$AJ$553</f>
        <v/>
      </c>
      <c r="M656">
        <f>IF(AND($A656='Pockets'!$D$17,$B656='Pockets'!$C$17,OR('Pockets'!$E$17="All",AND('Pockets'!$E$17="Worse and material",$K656="Yes",$L656="Yes"),AND('Pockets'!$E$17="Worse or not sure",OR($K656="Yes",$K656="Not sure")))),1,0)</f>
        <v/>
      </c>
      <c r="N656">
        <f>$N655+$M656</f>
        <v/>
      </c>
      <c r="O656" t="inlineStr">
        <is>
          <t>three-way</t>
        </is>
      </c>
      <c r="P656" t="inlineStr">
        <is>
          <t>contribution_rate</t>
        </is>
      </c>
    </row>
    <row r="657">
      <c r="A657" t="inlineStr">
        <is>
          <t>Split by SYS_FLAG</t>
        </is>
      </c>
      <c r="B657" t="inlineStr">
        <is>
          <t>Earned before losses</t>
        </is>
      </c>
      <c r="C657" t="n">
        <v>708</v>
      </c>
      <c r="D657" t="inlineStr">
        <is>
          <t>FICO 746 - 921</t>
        </is>
      </c>
      <c r="E657" t="inlineStr">
        <is>
          <t>ASSET_CLASS 2</t>
        </is>
      </c>
      <c r="F657" t="inlineStr">
        <is>
          <t>N</t>
        </is>
      </c>
      <c r="G657" t="n">
        <v>219</v>
      </c>
      <c r="H657" t="n">
        <v>-2.563663388567217</v>
      </c>
      <c r="J657" t="n">
        <v>83</v>
      </c>
      <c r="K657">
        <f>'_pockets'!$AI$708</f>
        <v/>
      </c>
      <c r="L657">
        <f>'_pockets'!$AJ$708</f>
        <v/>
      </c>
      <c r="M657">
        <f>IF(AND($A657='Pockets'!$D$17,$B657='Pockets'!$C$17,OR('Pockets'!$E$17="All",AND('Pockets'!$E$17="Worse and material",$K657="Yes",$L657="Yes"),AND('Pockets'!$E$17="Worse or not sure",OR($K657="Yes",$K657="Not sure")))),1,0)</f>
        <v/>
      </c>
      <c r="N657">
        <f>$N656+$M657</f>
        <v/>
      </c>
      <c r="O657" t="inlineStr">
        <is>
          <t>three-way</t>
        </is>
      </c>
      <c r="P657" t="inlineStr">
        <is>
          <t>contribution_rate</t>
        </is>
      </c>
    </row>
    <row r="658">
      <c r="A658" t="inlineStr">
        <is>
          <t>Split by SYS_FLAG</t>
        </is>
      </c>
      <c r="B658" t="inlineStr">
        <is>
          <t>Earned before losses</t>
        </is>
      </c>
      <c r="C658" t="n">
        <v>418</v>
      </c>
      <c r="D658" t="inlineStr">
        <is>
          <t>FICO (blank)</t>
        </is>
      </c>
      <c r="E658" t="inlineStr">
        <is>
          <t>Broker</t>
        </is>
      </c>
      <c r="F658" t="inlineStr">
        <is>
          <t>Y</t>
        </is>
      </c>
      <c r="G658" t="n">
        <v>1</v>
      </c>
      <c r="J658" t="n">
        <v>84</v>
      </c>
      <c r="K658">
        <f>'_pockets'!$AI$418</f>
        <v/>
      </c>
      <c r="L658">
        <f>'_pockets'!$AJ$418</f>
        <v/>
      </c>
      <c r="M658">
        <f>IF(AND($A658='Pockets'!$D$17,$B658='Pockets'!$C$17,OR('Pockets'!$E$17="All",AND('Pockets'!$E$17="Worse and material",$K658="Yes",$L658="Yes"),AND('Pockets'!$E$17="Worse or not sure",OR($K658="Yes",$K658="Not sure")))),1,0)</f>
        <v/>
      </c>
      <c r="N658">
        <f>$N657+$M658</f>
        <v/>
      </c>
      <c r="O658" t="inlineStr">
        <is>
          <t>three-way</t>
        </is>
      </c>
      <c r="P658" t="inlineStr">
        <is>
          <t>contribution_rate</t>
        </is>
      </c>
    </row>
    <row r="659">
      <c r="A659" t="inlineStr">
        <is>
          <t>Split by SYS_FLAG</t>
        </is>
      </c>
      <c r="B659" t="inlineStr">
        <is>
          <t>Earned before losses</t>
        </is>
      </c>
      <c r="C659" t="n">
        <v>603</v>
      </c>
      <c r="D659" t="inlineStr">
        <is>
          <t>FICO (blank)</t>
        </is>
      </c>
      <c r="E659" t="inlineStr">
        <is>
          <t>ASSET_CLASS 2</t>
        </is>
      </c>
      <c r="F659" t="inlineStr">
        <is>
          <t>Y</t>
        </is>
      </c>
      <c r="G659" t="n">
        <v>1</v>
      </c>
      <c r="J659" t="n">
        <v>85</v>
      </c>
      <c r="K659">
        <f>'_pockets'!$AI$603</f>
        <v/>
      </c>
      <c r="L659">
        <f>'_pockets'!$AJ$603</f>
        <v/>
      </c>
      <c r="M659">
        <f>IF(AND($A659='Pockets'!$D$17,$B659='Pockets'!$C$17,OR('Pockets'!$E$17="All",AND('Pockets'!$E$17="Worse and material",$K659="Yes",$L659="Yes"),AND('Pockets'!$E$17="Worse or not sure",OR($K659="Yes",$K659="Not sure")))),1,0)</f>
        <v/>
      </c>
      <c r="N659">
        <f>$N658+$M659</f>
        <v/>
      </c>
      <c r="O659" t="inlineStr">
        <is>
          <t>three-way</t>
        </is>
      </c>
      <c r="P659" t="inlineStr">
        <is>
          <t>contribution_rate</t>
        </is>
      </c>
    </row>
    <row r="660">
      <c r="A660" t="inlineStr">
        <is>
          <t>Split by SYS_FLAG</t>
        </is>
      </c>
      <c r="B660" t="inlineStr">
        <is>
          <t>Earned before losses</t>
        </is>
      </c>
      <c r="C660" t="n">
        <v>728</v>
      </c>
      <c r="D660" t="inlineStr">
        <is>
          <t>FICO 746 - 921</t>
        </is>
      </c>
      <c r="E660" t="inlineStr">
        <is>
          <t>ASSET_CLASS 1</t>
        </is>
      </c>
      <c r="F660" t="inlineStr">
        <is>
          <t>Y</t>
        </is>
      </c>
      <c r="G660" t="n">
        <v>183</v>
      </c>
      <c r="H660" t="n">
        <v>-2.798046376254133</v>
      </c>
      <c r="J660" t="n">
        <v>86</v>
      </c>
      <c r="K660">
        <f>'_pockets'!$AI$728</f>
        <v/>
      </c>
      <c r="L660">
        <f>'_pockets'!$AJ$728</f>
        <v/>
      </c>
      <c r="M660">
        <f>IF(AND($A660='Pockets'!$D$17,$B660='Pockets'!$C$17,OR('Pockets'!$E$17="All",AND('Pockets'!$E$17="Worse and material",$K660="Yes",$L660="Yes"),AND('Pockets'!$E$17="Worse or not sure",OR($K660="Yes",$K660="Not sure")))),1,0)</f>
        <v/>
      </c>
      <c r="N660">
        <f>$N659+$M660</f>
        <v/>
      </c>
      <c r="O660" t="inlineStr">
        <is>
          <t>three-way</t>
        </is>
      </c>
      <c r="P660" t="inlineStr">
        <is>
          <t>contribution_rate</t>
        </is>
      </c>
    </row>
    <row r="661">
      <c r="A661" t="inlineStr">
        <is>
          <t>Split by SYS_FLAG</t>
        </is>
      </c>
      <c r="B661" t="inlineStr">
        <is>
          <t>Earned before losses</t>
        </is>
      </c>
      <c r="C661" t="n">
        <v>438</v>
      </c>
      <c r="D661" t="inlineStr">
        <is>
          <t>FICO 746 - 921</t>
        </is>
      </c>
      <c r="E661" t="inlineStr">
        <is>
          <t>Branch</t>
        </is>
      </c>
      <c r="F661" t="inlineStr">
        <is>
          <t>Y</t>
        </is>
      </c>
      <c r="G661" t="n">
        <v>239</v>
      </c>
      <c r="H661" t="n">
        <v>-2.457214775239872</v>
      </c>
      <c r="J661" t="n">
        <v>87</v>
      </c>
      <c r="K661">
        <f>'_pockets'!$AI$438</f>
        <v/>
      </c>
      <c r="L661">
        <f>'_pockets'!$AJ$438</f>
        <v/>
      </c>
      <c r="M661">
        <f>IF(AND($A661='Pockets'!$D$17,$B661='Pockets'!$C$17,OR('Pockets'!$E$17="All",AND('Pockets'!$E$17="Worse and material",$K661="Yes",$L661="Yes"),AND('Pockets'!$E$17="Worse or not sure",OR($K661="Yes",$K661="Not sure")))),1,0)</f>
        <v/>
      </c>
      <c r="N661">
        <f>$N660+$M661</f>
        <v/>
      </c>
      <c r="O661" t="inlineStr">
        <is>
          <t>three-way</t>
        </is>
      </c>
      <c r="P661" t="inlineStr">
        <is>
          <t>contribution_rate</t>
        </is>
      </c>
    </row>
    <row r="662">
      <c r="A662" t="inlineStr">
        <is>
          <t>Split by SYS_FLAG</t>
        </is>
      </c>
      <c r="B662" t="inlineStr">
        <is>
          <t>Earned before losses</t>
        </is>
      </c>
      <c r="C662" t="n">
        <v>458</v>
      </c>
      <c r="D662" t="inlineStr">
        <is>
          <t>FICO 746 - 921</t>
        </is>
      </c>
      <c r="E662" t="inlineStr">
        <is>
          <t>Broker</t>
        </is>
      </c>
      <c r="F662" t="inlineStr">
        <is>
          <t>N</t>
        </is>
      </c>
      <c r="G662" t="n">
        <v>299</v>
      </c>
      <c r="H662" t="n">
        <v>-2.205424478013037</v>
      </c>
      <c r="J662" t="n">
        <v>88</v>
      </c>
      <c r="K662">
        <f>'_pockets'!$AI$458</f>
        <v/>
      </c>
      <c r="L662">
        <f>'_pockets'!$AJ$458</f>
        <v/>
      </c>
      <c r="M662">
        <f>IF(AND($A662='Pockets'!$D$17,$B662='Pockets'!$C$17,OR('Pockets'!$E$17="All",AND('Pockets'!$E$17="Worse and material",$K662="Yes",$L662="Yes"),AND('Pockets'!$E$17="Worse or not sure",OR($K662="Yes",$K662="Not sure")))),1,0)</f>
        <v/>
      </c>
      <c r="N662">
        <f>$N661+$M662</f>
        <v/>
      </c>
      <c r="O662" t="inlineStr">
        <is>
          <t>three-way</t>
        </is>
      </c>
      <c r="P662" t="inlineStr">
        <is>
          <t>contribution_rate</t>
        </is>
      </c>
    </row>
    <row r="663">
      <c r="A663" t="inlineStr">
        <is>
          <t>Split by SYS_FLAG</t>
        </is>
      </c>
      <c r="B663" t="inlineStr">
        <is>
          <t>Earned before losses</t>
        </is>
      </c>
      <c r="C663" t="n">
        <v>538</v>
      </c>
      <c r="D663" t="inlineStr">
        <is>
          <t>FICO 746 - 921</t>
        </is>
      </c>
      <c r="E663" t="inlineStr">
        <is>
          <t>Branch</t>
        </is>
      </c>
      <c r="F663" t="inlineStr">
        <is>
          <t>N</t>
        </is>
      </c>
      <c r="G663" t="n">
        <v>279</v>
      </c>
      <c r="H663" t="n">
        <v>-2.28014424737089</v>
      </c>
      <c r="J663" t="n">
        <v>89</v>
      </c>
      <c r="K663">
        <f>'_pockets'!$AI$538</f>
        <v/>
      </c>
      <c r="L663">
        <f>'_pockets'!$AJ$538</f>
        <v/>
      </c>
      <c r="M663">
        <f>IF(AND($A663='Pockets'!$D$17,$B663='Pockets'!$C$17,OR('Pockets'!$E$17="All",AND('Pockets'!$E$17="Worse and material",$K663="Yes",$L663="Yes"),AND('Pockets'!$E$17="Worse or not sure",OR($K663="Yes",$K663="Not sure")))),1,0)</f>
        <v/>
      </c>
      <c r="N663">
        <f>$N662+$M663</f>
        <v/>
      </c>
      <c r="O663" t="inlineStr">
        <is>
          <t>three-way</t>
        </is>
      </c>
      <c r="P663" t="inlineStr">
        <is>
          <t>contribution_rate</t>
        </is>
      </c>
    </row>
    <row r="664">
      <c r="A664" t="inlineStr">
        <is>
          <t>Split by SYS_FLAG</t>
        </is>
      </c>
      <c r="B664" t="inlineStr">
        <is>
          <t>Earned before losses</t>
        </is>
      </c>
      <c r="C664" t="n">
        <v>648</v>
      </c>
      <c r="D664" t="inlineStr">
        <is>
          <t>FICO 746 - 921</t>
        </is>
      </c>
      <c r="E664" t="inlineStr">
        <is>
          <t>ASSET_CLASS 1</t>
        </is>
      </c>
      <c r="F664" t="inlineStr">
        <is>
          <t>N</t>
        </is>
      </c>
      <c r="G664" t="n">
        <v>231</v>
      </c>
      <c r="H664" t="n">
        <v>-2.498114280037263</v>
      </c>
      <c r="J664" t="n">
        <v>90</v>
      </c>
      <c r="K664">
        <f>'_pockets'!$AI$648</f>
        <v/>
      </c>
      <c r="L664">
        <f>'_pockets'!$AJ$648</f>
        <v/>
      </c>
      <c r="M664">
        <f>IF(AND($A664='Pockets'!$D$17,$B664='Pockets'!$C$17,OR('Pockets'!$E$17="All",AND('Pockets'!$E$17="Worse and material",$K664="Yes",$L664="Yes"),AND('Pockets'!$E$17="Worse or not sure",OR($K664="Yes",$K664="Not sure")))),1,0)</f>
        <v/>
      </c>
      <c r="N664">
        <f>$N663+$M664</f>
        <v/>
      </c>
      <c r="O664" t="inlineStr">
        <is>
          <t>three-way</t>
        </is>
      </c>
      <c r="P664" t="inlineStr">
        <is>
          <t>contribution_rate</t>
        </is>
      </c>
    </row>
    <row r="665">
      <c r="A665" t="inlineStr">
        <is>
          <t>Split by SYS_FLAG</t>
        </is>
      </c>
      <c r="B665" t="inlineStr">
        <is>
          <t>Earned before losses</t>
        </is>
      </c>
      <c r="C665" t="n">
        <v>688</v>
      </c>
      <c r="D665" t="inlineStr">
        <is>
          <t>FICO 746 - 921</t>
        </is>
      </c>
      <c r="E665" t="inlineStr">
        <is>
          <t>ASSET_CLASS 3</t>
        </is>
      </c>
      <c r="F665" t="inlineStr">
        <is>
          <t>N</t>
        </is>
      </c>
      <c r="G665" t="n">
        <v>211</v>
      </c>
      <c r="H665" t="n">
        <v>-2.61046953654721</v>
      </c>
      <c r="J665" t="n">
        <v>91</v>
      </c>
      <c r="K665">
        <f>'_pockets'!$AI$688</f>
        <v/>
      </c>
      <c r="L665">
        <f>'_pockets'!$AJ$688</f>
        <v/>
      </c>
      <c r="M665">
        <f>IF(AND($A665='Pockets'!$D$17,$B665='Pockets'!$C$17,OR('Pockets'!$E$17="All",AND('Pockets'!$E$17="Worse and material",$K665="Yes",$L665="Yes"),AND('Pockets'!$E$17="Worse or not sure",OR($K665="Yes",$K665="Not sure")))),1,0)</f>
        <v/>
      </c>
      <c r="N665">
        <f>$N664+$M665</f>
        <v/>
      </c>
      <c r="O665" t="inlineStr">
        <is>
          <t>three-way</t>
        </is>
      </c>
      <c r="P665" t="inlineStr">
        <is>
          <t>contribution_rate</t>
        </is>
      </c>
    </row>
    <row r="666">
      <c r="A666" t="inlineStr">
        <is>
          <t>Split by SYS_FLAG</t>
        </is>
      </c>
      <c r="B666" t="inlineStr">
        <is>
          <t>Earned before losses</t>
        </is>
      </c>
      <c r="C666" t="n">
        <v>768</v>
      </c>
      <c r="D666" t="inlineStr">
        <is>
          <t>FICO 746 - 921</t>
        </is>
      </c>
      <c r="E666" t="inlineStr">
        <is>
          <t>ASSET_CLASS 3</t>
        </is>
      </c>
      <c r="F666" t="inlineStr">
        <is>
          <t>Y</t>
        </is>
      </c>
      <c r="G666" t="n">
        <v>174</v>
      </c>
      <c r="H666" t="n">
        <v>-2.867846481616206</v>
      </c>
      <c r="J666" t="n">
        <v>92</v>
      </c>
      <c r="K666">
        <f>'_pockets'!$AI$768</f>
        <v/>
      </c>
      <c r="L666">
        <f>'_pockets'!$AJ$768</f>
        <v/>
      </c>
      <c r="M666">
        <f>IF(AND($A666='Pockets'!$D$17,$B666='Pockets'!$C$17,OR('Pockets'!$E$17="All",AND('Pockets'!$E$17="Worse and material",$K666="Yes",$L666="Yes"),AND('Pockets'!$E$17="Worse or not sure",OR($K666="Yes",$K666="Not sure")))),1,0)</f>
        <v/>
      </c>
      <c r="N666">
        <f>$N665+$M666</f>
        <v/>
      </c>
      <c r="O666" t="inlineStr">
        <is>
          <t>three-way</t>
        </is>
      </c>
      <c r="P666" t="inlineStr">
        <is>
          <t>contribution_rate</t>
        </is>
      </c>
    </row>
    <row r="667">
      <c r="A667" t="inlineStr">
        <is>
          <t>Split by SYS_FLAG</t>
        </is>
      </c>
      <c r="B667" t="inlineStr">
        <is>
          <t>Earned before losses</t>
        </is>
      </c>
      <c r="C667" t="n">
        <v>778</v>
      </c>
      <c r="D667" t="inlineStr">
        <is>
          <t>FICO 712 - 745</t>
        </is>
      </c>
      <c r="E667" t="inlineStr">
        <is>
          <t>ASSET_CLASS 3</t>
        </is>
      </c>
      <c r="F667" t="inlineStr">
        <is>
          <t>N</t>
        </is>
      </c>
      <c r="G667" t="n">
        <v>223</v>
      </c>
      <c r="H667" t="n">
        <v>-2.541220289218607</v>
      </c>
      <c r="J667" t="n">
        <v>93</v>
      </c>
      <c r="K667">
        <f>'_pockets'!$AI$778</f>
        <v/>
      </c>
      <c r="L667">
        <f>'_pockets'!$AJ$778</f>
        <v/>
      </c>
      <c r="M667">
        <f>IF(AND($A667='Pockets'!$D$17,$B667='Pockets'!$C$17,OR('Pockets'!$E$17="All",AND('Pockets'!$E$17="Worse and material",$K667="Yes",$L667="Yes"),AND('Pockets'!$E$17="Worse or not sure",OR($K667="Yes",$K667="Not sure")))),1,0)</f>
        <v/>
      </c>
      <c r="N667">
        <f>$N666+$M667</f>
        <v/>
      </c>
      <c r="O667" t="inlineStr">
        <is>
          <t>three-way</t>
        </is>
      </c>
      <c r="P667" t="inlineStr">
        <is>
          <t>contribution_rate</t>
        </is>
      </c>
    </row>
    <row r="668">
      <c r="A668" t="inlineStr">
        <is>
          <t>Split by SYS_FLAG</t>
        </is>
      </c>
      <c r="B668" t="inlineStr">
        <is>
          <t>Earned before losses</t>
        </is>
      </c>
      <c r="C668" t="n">
        <v>643</v>
      </c>
      <c r="D668" t="inlineStr">
        <is>
          <t>FICO 712 - 745</t>
        </is>
      </c>
      <c r="E668" t="inlineStr">
        <is>
          <t>ASSET_CLASS 4</t>
        </is>
      </c>
      <c r="F668" t="inlineStr">
        <is>
          <t>N</t>
        </is>
      </c>
      <c r="G668" t="n">
        <v>220</v>
      </c>
      <c r="H668" t="n">
        <v>-2.557994666705477</v>
      </c>
      <c r="J668" t="n">
        <v>94</v>
      </c>
      <c r="K668">
        <f>'_pockets'!$AI$643</f>
        <v/>
      </c>
      <c r="L668">
        <f>'_pockets'!$AJ$643</f>
        <v/>
      </c>
      <c r="M668">
        <f>IF(AND($A668='Pockets'!$D$17,$B668='Pockets'!$C$17,OR('Pockets'!$E$17="All",AND('Pockets'!$E$17="Worse and material",$K668="Yes",$L668="Yes"),AND('Pockets'!$E$17="Worse or not sure",OR($K668="Yes",$K668="Not sure")))),1,0)</f>
        <v/>
      </c>
      <c r="N668">
        <f>$N667+$M668</f>
        <v/>
      </c>
      <c r="O668" t="inlineStr">
        <is>
          <t>three-way</t>
        </is>
      </c>
      <c r="P668" t="inlineStr">
        <is>
          <t>contribution_rate</t>
        </is>
      </c>
    </row>
    <row r="669">
      <c r="A669" t="inlineStr">
        <is>
          <t>Split by SYS_FLAG</t>
        </is>
      </c>
      <c r="B669" t="inlineStr">
        <is>
          <t>Earned before losses</t>
        </is>
      </c>
      <c r="C669" t="n">
        <v>613</v>
      </c>
      <c r="D669" t="inlineStr">
        <is>
          <t>FICO 712 - 745</t>
        </is>
      </c>
      <c r="E669" t="inlineStr">
        <is>
          <t>ASSET_CLASS 2</t>
        </is>
      </c>
      <c r="F669" t="inlineStr">
        <is>
          <t>Y</t>
        </is>
      </c>
      <c r="G669" t="n">
        <v>183</v>
      </c>
      <c r="H669" t="n">
        <v>-2.798046376254133</v>
      </c>
      <c r="J669" t="n">
        <v>95</v>
      </c>
      <c r="K669">
        <f>'_pockets'!$AI$613</f>
        <v/>
      </c>
      <c r="L669">
        <f>'_pockets'!$AJ$613</f>
        <v/>
      </c>
      <c r="M669">
        <f>IF(AND($A669='Pockets'!$D$17,$B669='Pockets'!$C$17,OR('Pockets'!$E$17="All",AND('Pockets'!$E$17="Worse and material",$K669="Yes",$L669="Yes"),AND('Pockets'!$E$17="Worse or not sure",OR($K669="Yes",$K669="Not sure")))),1,0)</f>
        <v/>
      </c>
      <c r="N669">
        <f>$N668+$M669</f>
        <v/>
      </c>
      <c r="O669" t="inlineStr">
        <is>
          <t>three-way</t>
        </is>
      </c>
      <c r="P669" t="inlineStr">
        <is>
          <t>contribution_rate</t>
        </is>
      </c>
    </row>
    <row r="670">
      <c r="A670" t="inlineStr">
        <is>
          <t>Split by SYS_FLAG</t>
        </is>
      </c>
      <c r="B670" t="inlineStr">
        <is>
          <t>Earned before losses</t>
        </is>
      </c>
      <c r="C670" t="n">
        <v>608</v>
      </c>
      <c r="D670" t="inlineStr">
        <is>
          <t>FICO 712 - 745</t>
        </is>
      </c>
      <c r="E670" t="inlineStr">
        <is>
          <t>ASSET_CLASS 1</t>
        </is>
      </c>
      <c r="F670" t="inlineStr">
        <is>
          <t>N</t>
        </is>
      </c>
      <c r="G670" t="n">
        <v>193</v>
      </c>
      <c r="H670" t="n">
        <v>-2.726338875237242</v>
      </c>
      <c r="J670" t="n">
        <v>96</v>
      </c>
      <c r="K670">
        <f>'_pockets'!$AI$608</f>
        <v/>
      </c>
      <c r="L670">
        <f>'_pockets'!$AJ$608</f>
        <v/>
      </c>
      <c r="M670">
        <f>IF(AND($A670='Pockets'!$D$17,$B670='Pockets'!$C$17,OR('Pockets'!$E$17="All",AND('Pockets'!$E$17="Worse and material",$K670="Yes",$L670="Yes"),AND('Pockets'!$E$17="Worse or not sure",OR($K670="Yes",$K670="Not sure")))),1,0)</f>
        <v/>
      </c>
      <c r="N670">
        <f>$N669+$M670</f>
        <v/>
      </c>
      <c r="O670" t="inlineStr">
        <is>
          <t>three-way</t>
        </is>
      </c>
      <c r="P670" t="inlineStr">
        <is>
          <t>contribution_rate</t>
        </is>
      </c>
    </row>
    <row r="671">
      <c r="A671" t="inlineStr">
        <is>
          <t>Split by SYS_FLAG</t>
        </is>
      </c>
      <c r="B671" t="inlineStr">
        <is>
          <t>Earned before losses</t>
        </is>
      </c>
      <c r="C671" t="n">
        <v>623</v>
      </c>
      <c r="D671" t="inlineStr">
        <is>
          <t>FICO 712 - 745</t>
        </is>
      </c>
      <c r="E671" t="inlineStr">
        <is>
          <t>ASSET_CLASS 4</t>
        </is>
      </c>
      <c r="F671" t="inlineStr">
        <is>
          <t>Y</t>
        </is>
      </c>
      <c r="G671" t="n">
        <v>207</v>
      </c>
      <c r="H671" t="n">
        <v>-2.634894127695313</v>
      </c>
      <c r="J671" t="n">
        <v>97</v>
      </c>
      <c r="K671">
        <f>'_pockets'!$AI$623</f>
        <v/>
      </c>
      <c r="L671">
        <f>'_pockets'!$AJ$623</f>
        <v/>
      </c>
      <c r="M671">
        <f>IF(AND($A671='Pockets'!$D$17,$B671='Pockets'!$C$17,OR('Pockets'!$E$17="All",AND('Pockets'!$E$17="Worse and material",$K671="Yes",$L671="Yes"),AND('Pockets'!$E$17="Worse or not sure",OR($K671="Yes",$K671="Not sure")))),1,0)</f>
        <v/>
      </c>
      <c r="N671">
        <f>$N670+$M671</f>
        <v/>
      </c>
      <c r="O671" t="inlineStr">
        <is>
          <t>three-way</t>
        </is>
      </c>
      <c r="P671" t="inlineStr">
        <is>
          <t>contribution_rate</t>
        </is>
      </c>
    </row>
    <row r="672">
      <c r="A672" t="inlineStr">
        <is>
          <t>Split by SYS_FLAG</t>
        </is>
      </c>
      <c r="B672" t="inlineStr">
        <is>
          <t>Earned before losses</t>
        </is>
      </c>
      <c r="C672" t="n">
        <v>513</v>
      </c>
      <c r="D672" t="inlineStr">
        <is>
          <t>FICO 712 - 745</t>
        </is>
      </c>
      <c r="E672" t="inlineStr">
        <is>
          <t>Online</t>
        </is>
      </c>
      <c r="F672" t="inlineStr">
        <is>
          <t>Y</t>
        </is>
      </c>
      <c r="G672" t="n">
        <v>278</v>
      </c>
      <c r="H672" t="n">
        <v>-2.284093597024075</v>
      </c>
      <c r="J672" t="n">
        <v>98</v>
      </c>
      <c r="K672">
        <f>'_pockets'!$AI$513</f>
        <v/>
      </c>
      <c r="L672">
        <f>'_pockets'!$AJ$513</f>
        <v/>
      </c>
      <c r="M672">
        <f>IF(AND($A672='Pockets'!$D$17,$B672='Pockets'!$C$17,OR('Pockets'!$E$17="All",AND('Pockets'!$E$17="Worse and material",$K672="Yes",$L672="Yes"),AND('Pockets'!$E$17="Worse or not sure",OR($K672="Yes",$K672="Not sure")))),1,0)</f>
        <v/>
      </c>
      <c r="N672">
        <f>$N671+$M672</f>
        <v/>
      </c>
      <c r="O672" t="inlineStr">
        <is>
          <t>three-way</t>
        </is>
      </c>
      <c r="P672" t="inlineStr">
        <is>
          <t>contribution_rate</t>
        </is>
      </c>
    </row>
    <row r="673">
      <c r="A673" t="inlineStr">
        <is>
          <t>Split by SYS_FLAG</t>
        </is>
      </c>
      <c r="B673" t="inlineStr">
        <is>
          <t>Earned before losses</t>
        </is>
      </c>
      <c r="C673" t="n">
        <v>453</v>
      </c>
      <c r="D673" t="inlineStr">
        <is>
          <t>FICO 712 - 745</t>
        </is>
      </c>
      <c r="E673" t="inlineStr">
        <is>
          <t>Online</t>
        </is>
      </c>
      <c r="F673" t="inlineStr">
        <is>
          <t>N</t>
        </is>
      </c>
      <c r="G673" t="n">
        <v>286</v>
      </c>
      <c r="H673" t="n">
        <v>-2.25308936417</v>
      </c>
      <c r="J673" t="n">
        <v>99</v>
      </c>
      <c r="K673">
        <f>'_pockets'!$AI$453</f>
        <v/>
      </c>
      <c r="L673">
        <f>'_pockets'!$AJ$453</f>
        <v/>
      </c>
      <c r="M673">
        <f>IF(AND($A673='Pockets'!$D$17,$B673='Pockets'!$C$17,OR('Pockets'!$E$17="All",AND('Pockets'!$E$17="Worse and material",$K673="Yes",$L673="Yes"),AND('Pockets'!$E$17="Worse or not sure",OR($K673="Yes",$K673="Not sure")))),1,0)</f>
        <v/>
      </c>
      <c r="N673">
        <f>$N672+$M673</f>
        <v/>
      </c>
      <c r="O673" t="inlineStr">
        <is>
          <t>three-way</t>
        </is>
      </c>
      <c r="P673" t="inlineStr">
        <is>
          <t>contribution_rate</t>
        </is>
      </c>
    </row>
    <row r="674">
      <c r="A674" t="inlineStr">
        <is>
          <t>Split by SYS_FLAG</t>
        </is>
      </c>
      <c r="B674" t="inlineStr">
        <is>
          <t>Earned before losses</t>
        </is>
      </c>
      <c r="C674" t="n">
        <v>1063</v>
      </c>
      <c r="D674" t="inlineStr">
        <is>
          <t>ORIG_BAL 49,152 - 59,984</t>
        </is>
      </c>
      <c r="E674" t="inlineStr">
        <is>
          <t>ASSET_CLASS 1</t>
        </is>
      </c>
      <c r="F674" t="inlineStr">
        <is>
          <t>N</t>
        </is>
      </c>
      <c r="G674" t="n">
        <v>218</v>
      </c>
      <c r="H674" t="n">
        <v>-2.569371480191697</v>
      </c>
      <c r="J674" t="n">
        <v>100</v>
      </c>
      <c r="K674">
        <f>'_pockets'!$AI$1063</f>
        <v/>
      </c>
      <c r="L674">
        <f>'_pockets'!$AJ$1063</f>
        <v/>
      </c>
      <c r="M674">
        <f>IF(AND($A674='Pockets'!$D$17,$B674='Pockets'!$C$17,OR('Pockets'!$E$17="All",AND('Pockets'!$E$17="Worse and material",$K674="Yes",$L674="Yes"),AND('Pockets'!$E$17="Worse or not sure",OR($K674="Yes",$K674="Not sure")))),1,0)</f>
        <v/>
      </c>
      <c r="N674">
        <f>$N673+$M674</f>
        <v/>
      </c>
      <c r="O674" t="inlineStr">
        <is>
          <t>three-way</t>
        </is>
      </c>
      <c r="P674" t="inlineStr">
        <is>
          <t>contribution_rate</t>
        </is>
      </c>
    </row>
    <row r="675">
      <c r="A675" t="inlineStr">
        <is>
          <t>Split by SYS_FLAG</t>
        </is>
      </c>
      <c r="B675" t="inlineStr">
        <is>
          <t>Earned before losses</t>
        </is>
      </c>
      <c r="C675" t="n">
        <v>1103</v>
      </c>
      <c r="D675" t="inlineStr">
        <is>
          <t>ORIG_BAL 49,152 - 59,984</t>
        </is>
      </c>
      <c r="E675" t="inlineStr">
        <is>
          <t>ASSET_CLASS 2</t>
        </is>
      </c>
      <c r="F675" t="inlineStr">
        <is>
          <t>N</t>
        </is>
      </c>
      <c r="G675" t="n">
        <v>201</v>
      </c>
      <c r="H675" t="n">
        <v>-2.672902693612813</v>
      </c>
      <c r="J675" t="n">
        <v>101</v>
      </c>
      <c r="K675">
        <f>'_pockets'!$AI$1103</f>
        <v/>
      </c>
      <c r="L675">
        <f>'_pockets'!$AJ$1103</f>
        <v/>
      </c>
      <c r="M675">
        <f>IF(AND($A675='Pockets'!$D$17,$B675='Pockets'!$C$17,OR('Pockets'!$E$17="All",AND('Pockets'!$E$17="Worse and material",$K675="Yes",$L675="Yes"),AND('Pockets'!$E$17="Worse or not sure",OR($K675="Yes",$K675="Not sure")))),1,0)</f>
        <v/>
      </c>
      <c r="N675">
        <f>$N674+$M675</f>
        <v/>
      </c>
      <c r="O675" t="inlineStr">
        <is>
          <t>three-way</t>
        </is>
      </c>
      <c r="P675" t="inlineStr">
        <is>
          <t>contribution_rate</t>
        </is>
      </c>
    </row>
    <row r="676">
      <c r="A676" t="inlineStr">
        <is>
          <t>Split by SYS_FLAG</t>
        </is>
      </c>
      <c r="B676" t="inlineStr">
        <is>
          <t>Earned before losses</t>
        </is>
      </c>
      <c r="C676" t="n">
        <v>1038</v>
      </c>
      <c r="D676" t="inlineStr">
        <is>
          <t>ORIG_BAL 26,324 - 37,950</t>
        </is>
      </c>
      <c r="E676" t="inlineStr">
        <is>
          <t>ASSET_CLASS 1</t>
        </is>
      </c>
      <c r="F676" t="inlineStr">
        <is>
          <t>Y</t>
        </is>
      </c>
      <c r="G676" t="n">
        <v>173</v>
      </c>
      <c r="H676" t="n">
        <v>-2.875939328341498</v>
      </c>
      <c r="J676" t="n">
        <v>102</v>
      </c>
      <c r="K676">
        <f>'_pockets'!$AI$1038</f>
        <v/>
      </c>
      <c r="L676">
        <f>'_pockets'!$AJ$1038</f>
        <v/>
      </c>
      <c r="M676">
        <f>IF(AND($A676='Pockets'!$D$17,$B676='Pockets'!$C$17,OR('Pockets'!$E$17="All",AND('Pockets'!$E$17="Worse and material",$K676="Yes",$L676="Yes"),AND('Pockets'!$E$17="Worse or not sure",OR($K676="Yes",$K676="Not sure")))),1,0)</f>
        <v/>
      </c>
      <c r="N676">
        <f>$N675+$M676</f>
        <v/>
      </c>
      <c r="O676" t="inlineStr">
        <is>
          <t>three-way</t>
        </is>
      </c>
      <c r="P676"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SYS_FLAG</t>
        </is>
      </c>
      <c r="C19" t="inlineStr">
        <is>
          <t>SYS_FLAG</t>
        </is>
      </c>
    </row>
    <row r="20">
      <c r="A20" t="inlineStr">
        <is>
          <t>launcher|filter</t>
        </is>
      </c>
      <c r="B20" t="inlineStr">
        <is>
          <t>SYS_FLAG</t>
        </is>
      </c>
      <c r="C20" t="inlineStr">
        <is>
          <t>SYS_FLAG</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2026-09-30 04:03</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SYS_FLAG|FICO,ORIG_BAL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772</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2026-09-30T04:02:56Z</dcterms:created>
  <dcterms:modified xsi:type="dcterms:W3CDTF">2026-09-30T04:03:11Z</dcterms:modified>
</cp:coreProperties>
</file>