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24226"/>
  <mc:AlternateContent xmlns:mc="http://schemas.openxmlformats.org/markup-compatibility/2006">
    <mc:Choice Requires="x15">
      <x15ac:absPath xmlns:x15ac="http://schemas.microsoft.com/office/spreadsheetml/2010/11/ac" url="https://anheuserbuschinbev-my.sharepoint.com/personal/c_akacheme_gcn_ab-inbev_com/Documents/"/>
    </mc:Choice>
  </mc:AlternateContent>
  <xr:revisionPtr revIDLastSave="80" documentId="8_{F7C74A3C-BF51-4B81-9032-A411371F18E9}" xr6:coauthVersionLast="47" xr6:coauthVersionMax="47" xr10:uidLastSave="{49C0E81A-D5EC-4829-808C-843FA01C7519}"/>
  <bookViews>
    <workbookView xWindow="-110" yWindow="-110" windowWidth="19420" windowHeight="10540" activeTab="3" xr2:uid="{00000000-000D-0000-FFFF-FFFF00000000}"/>
  </bookViews>
  <sheets>
    <sheet name="Aug 2024 - Feb 2025 Combined" sheetId="8" r:id="rId1"/>
    <sheet name="Validation" sheetId="9" r:id="rId2"/>
    <sheet name="PIVOTS" sheetId="11" r:id="rId3"/>
    <sheet name="Sales Dashboard" sheetId="10" r:id="rId4"/>
  </sheets>
  <externalReferences>
    <externalReference r:id="rId5"/>
  </externalReferences>
  <definedNames>
    <definedName name="_xlnm._FilterDatabase" localSheetId="0" hidden="1">'Aug 2024 - Feb 2025 Combined'!$B:$B</definedName>
    <definedName name="_xlcn.WorksheetConnection_Final_Cleaned_2024_2025_Sales1version2.xlsb.xlsxTable21" hidden="1">Table2[]</definedName>
    <definedName name="_xlcn.WorksheetConnection_Sheet1A1M96491" hidden="1">[1]Data!$A$1:$N$9649</definedName>
    <definedName name="Slicer_Shoe_style1">#N/A</definedName>
    <definedName name="Slicer_Years__Date">#N/A</definedName>
  </definedNames>
  <calcPr calcId="191028"/>
  <pivotCaches>
    <pivotCache cacheId="17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45f69466-0a77-4f8f-b3a2-99c710609d96" name="Range" connection="WorksheetConnection_Sheet1!$A$1:$M$9649"/>
          <x15:modelTable id="Table2" name="Table2" connection="WorksheetConnection_Final_Cleaned_2024_2025_Sales (1) (version 2).xlsb.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36" i="8" l="1"/>
  <c r="K537" i="8"/>
  <c r="K538" i="8"/>
  <c r="K539" i="8"/>
  <c r="K540" i="8"/>
  <c r="K541" i="8"/>
  <c r="L541" i="8" s="1"/>
  <c r="K542" i="8"/>
  <c r="L542" i="8" s="1"/>
  <c r="K543" i="8"/>
  <c r="L543" i="8" s="1"/>
  <c r="K544" i="8"/>
  <c r="K545" i="8"/>
  <c r="K546" i="8"/>
  <c r="K547" i="8"/>
  <c r="K548" i="8"/>
  <c r="K549" i="8"/>
  <c r="L549" i="8" s="1"/>
  <c r="K550" i="8"/>
  <c r="L550" i="8" s="1"/>
  <c r="K551" i="8"/>
  <c r="L551" i="8" s="1"/>
  <c r="K552" i="8"/>
  <c r="K553" i="8"/>
  <c r="L553" i="8" s="1"/>
  <c r="K554" i="8"/>
  <c r="K555" i="8"/>
  <c r="K556" i="8"/>
  <c r="K557" i="8"/>
  <c r="L557" i="8" s="1"/>
  <c r="K558" i="8"/>
  <c r="L558" i="8" s="1"/>
  <c r="K559" i="8"/>
  <c r="L559" i="8" s="1"/>
  <c r="K560" i="8"/>
  <c r="K561" i="8"/>
  <c r="L561" i="8" s="1"/>
  <c r="K562" i="8"/>
  <c r="K563" i="8"/>
  <c r="K564" i="8"/>
  <c r="K565" i="8"/>
  <c r="L565" i="8" s="1"/>
  <c r="K566" i="8"/>
  <c r="L566" i="8" s="1"/>
  <c r="K567" i="8"/>
  <c r="L567" i="8" s="1"/>
  <c r="K568" i="8"/>
  <c r="K569" i="8"/>
  <c r="L569" i="8" s="1"/>
  <c r="K570" i="8"/>
  <c r="K571" i="8"/>
  <c r="K572" i="8"/>
  <c r="K573" i="8"/>
  <c r="L573" i="8" s="1"/>
  <c r="K574" i="8"/>
  <c r="L574" i="8" s="1"/>
  <c r="K575" i="8"/>
  <c r="L575" i="8" s="1"/>
  <c r="K576" i="8"/>
  <c r="K577" i="8"/>
  <c r="L577" i="8" s="1"/>
  <c r="K578" i="8"/>
  <c r="K579" i="8"/>
  <c r="K580" i="8"/>
  <c r="K581" i="8"/>
  <c r="L581" i="8" s="1"/>
  <c r="K582" i="8"/>
  <c r="L582" i="8" s="1"/>
  <c r="K583" i="8"/>
  <c r="L583" i="8" s="1"/>
  <c r="L537" i="8"/>
  <c r="L538" i="8"/>
  <c r="L539" i="8"/>
  <c r="L540" i="8"/>
  <c r="L544" i="8"/>
  <c r="L545" i="8"/>
  <c r="L546" i="8"/>
  <c r="L547" i="8"/>
  <c r="L548" i="8"/>
  <c r="L552" i="8"/>
  <c r="L554" i="8"/>
  <c r="L555" i="8"/>
  <c r="L556" i="8"/>
  <c r="L560" i="8"/>
  <c r="L562" i="8"/>
  <c r="L563" i="8"/>
  <c r="L564" i="8"/>
  <c r="L568" i="8"/>
  <c r="L570" i="8"/>
  <c r="L571" i="8"/>
  <c r="L572" i="8"/>
  <c r="L576" i="8"/>
  <c r="L578" i="8"/>
  <c r="L579" i="8"/>
  <c r="L580" i="8"/>
  <c r="L536" i="8"/>
  <c r="L4" i="8"/>
  <c r="L12" i="8"/>
  <c r="L36" i="8"/>
  <c r="L44" i="8"/>
  <c r="L68" i="8"/>
  <c r="L76" i="8"/>
  <c r="L100" i="8"/>
  <c r="L108" i="8"/>
  <c r="L132" i="8"/>
  <c r="L140" i="8"/>
  <c r="L164" i="8"/>
  <c r="L172" i="8"/>
  <c r="L196" i="8"/>
  <c r="L204" i="8"/>
  <c r="L228" i="8"/>
  <c r="L236" i="8"/>
  <c r="L260" i="8"/>
  <c r="L268" i="8"/>
  <c r="L292" i="8"/>
  <c r="L300" i="8"/>
  <c r="L324" i="8"/>
  <c r="L332" i="8"/>
  <c r="L356" i="8"/>
  <c r="L364" i="8"/>
  <c r="M144" i="8"/>
  <c r="M349" i="8"/>
  <c r="M400" i="8"/>
  <c r="M439" i="8"/>
  <c r="M503" i="8"/>
  <c r="K3" i="8"/>
  <c r="L3" i="8" s="1"/>
  <c r="K4" i="8"/>
  <c r="K5" i="8"/>
  <c r="L5" i="8" s="1"/>
  <c r="K6" i="8"/>
  <c r="L6" i="8" s="1"/>
  <c r="K7" i="8"/>
  <c r="L7" i="8" s="1"/>
  <c r="K8" i="8"/>
  <c r="L8" i="8" s="1"/>
  <c r="K9" i="8"/>
  <c r="L9" i="8" s="1"/>
  <c r="K10" i="8"/>
  <c r="L10" i="8" s="1"/>
  <c r="K11" i="8"/>
  <c r="L11" i="8" s="1"/>
  <c r="K12" i="8"/>
  <c r="K13" i="8"/>
  <c r="L13" i="8" s="1"/>
  <c r="K14" i="8"/>
  <c r="L14" i="8" s="1"/>
  <c r="K15" i="8"/>
  <c r="L15" i="8" s="1"/>
  <c r="K16" i="8"/>
  <c r="L16" i="8" s="1"/>
  <c r="K17" i="8"/>
  <c r="L17" i="8" s="1"/>
  <c r="K18" i="8"/>
  <c r="L18" i="8" s="1"/>
  <c r="K19" i="8"/>
  <c r="L19" i="8" s="1"/>
  <c r="K20" i="8"/>
  <c r="L20" i="8" s="1"/>
  <c r="K21" i="8"/>
  <c r="L21" i="8" s="1"/>
  <c r="K22" i="8"/>
  <c r="L22" i="8" s="1"/>
  <c r="K23" i="8"/>
  <c r="L23" i="8" s="1"/>
  <c r="K24" i="8"/>
  <c r="L24" i="8" s="1"/>
  <c r="K25" i="8"/>
  <c r="L25" i="8" s="1"/>
  <c r="K26" i="8"/>
  <c r="L26" i="8" s="1"/>
  <c r="K27" i="8"/>
  <c r="L27" i="8" s="1"/>
  <c r="K28" i="8"/>
  <c r="L28" i="8" s="1"/>
  <c r="K29" i="8"/>
  <c r="L29" i="8" s="1"/>
  <c r="K30" i="8"/>
  <c r="L30" i="8" s="1"/>
  <c r="K31" i="8"/>
  <c r="L31" i="8" s="1"/>
  <c r="K32" i="8"/>
  <c r="L32" i="8" s="1"/>
  <c r="K33" i="8"/>
  <c r="L33" i="8" s="1"/>
  <c r="K34" i="8"/>
  <c r="L34" i="8" s="1"/>
  <c r="K35" i="8"/>
  <c r="L35" i="8" s="1"/>
  <c r="K36" i="8"/>
  <c r="K37" i="8"/>
  <c r="L37" i="8" s="1"/>
  <c r="K38" i="8"/>
  <c r="L38" i="8" s="1"/>
  <c r="K39" i="8"/>
  <c r="L39" i="8" s="1"/>
  <c r="K40" i="8"/>
  <c r="L40" i="8" s="1"/>
  <c r="K41" i="8"/>
  <c r="L41" i="8" s="1"/>
  <c r="K42" i="8"/>
  <c r="L42" i="8" s="1"/>
  <c r="K43" i="8"/>
  <c r="L43" i="8" s="1"/>
  <c r="K44" i="8"/>
  <c r="K45" i="8"/>
  <c r="L45" i="8" s="1"/>
  <c r="K46" i="8"/>
  <c r="L46" i="8" s="1"/>
  <c r="K47" i="8"/>
  <c r="L47" i="8" s="1"/>
  <c r="K48" i="8"/>
  <c r="L48" i="8" s="1"/>
  <c r="K49" i="8"/>
  <c r="L49" i="8" s="1"/>
  <c r="K50" i="8"/>
  <c r="L50" i="8" s="1"/>
  <c r="K51" i="8"/>
  <c r="L51" i="8" s="1"/>
  <c r="K52" i="8"/>
  <c r="L52" i="8" s="1"/>
  <c r="K53" i="8"/>
  <c r="L53" i="8" s="1"/>
  <c r="K54" i="8"/>
  <c r="L54" i="8" s="1"/>
  <c r="K55" i="8"/>
  <c r="L55" i="8" s="1"/>
  <c r="K56" i="8"/>
  <c r="L56" i="8" s="1"/>
  <c r="K57" i="8"/>
  <c r="L57" i="8" s="1"/>
  <c r="K58" i="8"/>
  <c r="L58" i="8" s="1"/>
  <c r="K59" i="8"/>
  <c r="L59" i="8" s="1"/>
  <c r="K60" i="8"/>
  <c r="L60" i="8" s="1"/>
  <c r="K61" i="8"/>
  <c r="L61" i="8" s="1"/>
  <c r="K62" i="8"/>
  <c r="L62" i="8" s="1"/>
  <c r="K63" i="8"/>
  <c r="L63" i="8" s="1"/>
  <c r="K64" i="8"/>
  <c r="L64" i="8" s="1"/>
  <c r="K65" i="8"/>
  <c r="L65" i="8" s="1"/>
  <c r="K66" i="8"/>
  <c r="L66" i="8" s="1"/>
  <c r="K67" i="8"/>
  <c r="L67" i="8" s="1"/>
  <c r="K68" i="8"/>
  <c r="K69" i="8"/>
  <c r="L69" i="8" s="1"/>
  <c r="K70" i="8"/>
  <c r="L70" i="8" s="1"/>
  <c r="K71" i="8"/>
  <c r="L71" i="8" s="1"/>
  <c r="K72" i="8"/>
  <c r="L72" i="8" s="1"/>
  <c r="K73" i="8"/>
  <c r="L73" i="8" s="1"/>
  <c r="K74" i="8"/>
  <c r="L74" i="8" s="1"/>
  <c r="K75" i="8"/>
  <c r="L75" i="8" s="1"/>
  <c r="K76" i="8"/>
  <c r="K77" i="8"/>
  <c r="L77" i="8" s="1"/>
  <c r="K78" i="8"/>
  <c r="L78" i="8" s="1"/>
  <c r="K79" i="8"/>
  <c r="L79" i="8" s="1"/>
  <c r="K80" i="8"/>
  <c r="L80" i="8" s="1"/>
  <c r="K81" i="8"/>
  <c r="L81" i="8" s="1"/>
  <c r="K82" i="8"/>
  <c r="L82" i="8" s="1"/>
  <c r="K83" i="8"/>
  <c r="L83" i="8" s="1"/>
  <c r="K84" i="8"/>
  <c r="L84" i="8" s="1"/>
  <c r="K85" i="8"/>
  <c r="L85" i="8" s="1"/>
  <c r="K86" i="8"/>
  <c r="L86" i="8" s="1"/>
  <c r="K87" i="8"/>
  <c r="L87" i="8" s="1"/>
  <c r="K88" i="8"/>
  <c r="L88" i="8" s="1"/>
  <c r="K89" i="8"/>
  <c r="L89" i="8" s="1"/>
  <c r="K90" i="8"/>
  <c r="L90" i="8" s="1"/>
  <c r="K91" i="8"/>
  <c r="L91" i="8" s="1"/>
  <c r="K92" i="8"/>
  <c r="L92" i="8" s="1"/>
  <c r="K93" i="8"/>
  <c r="L93" i="8" s="1"/>
  <c r="K94" i="8"/>
  <c r="L94" i="8" s="1"/>
  <c r="K95" i="8"/>
  <c r="L95" i="8" s="1"/>
  <c r="K96" i="8"/>
  <c r="L96" i="8" s="1"/>
  <c r="K97" i="8"/>
  <c r="L97" i="8" s="1"/>
  <c r="K98" i="8"/>
  <c r="L98" i="8" s="1"/>
  <c r="K99" i="8"/>
  <c r="L99" i="8" s="1"/>
  <c r="K100" i="8"/>
  <c r="K101" i="8"/>
  <c r="L101" i="8" s="1"/>
  <c r="K102" i="8"/>
  <c r="L102" i="8" s="1"/>
  <c r="K103" i="8"/>
  <c r="L103" i="8" s="1"/>
  <c r="K104" i="8"/>
  <c r="L104" i="8" s="1"/>
  <c r="K105" i="8"/>
  <c r="L105" i="8" s="1"/>
  <c r="K106" i="8"/>
  <c r="L106" i="8" s="1"/>
  <c r="K107" i="8"/>
  <c r="L107" i="8" s="1"/>
  <c r="K108" i="8"/>
  <c r="K109" i="8"/>
  <c r="L109" i="8" s="1"/>
  <c r="K110" i="8"/>
  <c r="L110" i="8" s="1"/>
  <c r="K111" i="8"/>
  <c r="L111" i="8" s="1"/>
  <c r="K112" i="8"/>
  <c r="L112" i="8" s="1"/>
  <c r="K113" i="8"/>
  <c r="L113" i="8" s="1"/>
  <c r="K114" i="8"/>
  <c r="L114" i="8" s="1"/>
  <c r="K115" i="8"/>
  <c r="L115" i="8" s="1"/>
  <c r="K116" i="8"/>
  <c r="L116" i="8" s="1"/>
  <c r="K117" i="8"/>
  <c r="L117" i="8" s="1"/>
  <c r="K118" i="8"/>
  <c r="L118" i="8" s="1"/>
  <c r="K119" i="8"/>
  <c r="L119" i="8" s="1"/>
  <c r="K120" i="8"/>
  <c r="L120" i="8" s="1"/>
  <c r="K121" i="8"/>
  <c r="L121" i="8" s="1"/>
  <c r="K122" i="8"/>
  <c r="L122" i="8" s="1"/>
  <c r="K123" i="8"/>
  <c r="L123" i="8" s="1"/>
  <c r="K124" i="8"/>
  <c r="L124" i="8" s="1"/>
  <c r="K125" i="8"/>
  <c r="L125" i="8" s="1"/>
  <c r="K126" i="8"/>
  <c r="L126" i="8" s="1"/>
  <c r="K127" i="8"/>
  <c r="L127" i="8" s="1"/>
  <c r="K128" i="8"/>
  <c r="L128" i="8" s="1"/>
  <c r="K129" i="8"/>
  <c r="L129" i="8" s="1"/>
  <c r="K130" i="8"/>
  <c r="L130" i="8" s="1"/>
  <c r="K131" i="8"/>
  <c r="L131" i="8" s="1"/>
  <c r="K132" i="8"/>
  <c r="K133" i="8"/>
  <c r="L133" i="8" s="1"/>
  <c r="K134" i="8"/>
  <c r="L134" i="8" s="1"/>
  <c r="K135" i="8"/>
  <c r="L135" i="8" s="1"/>
  <c r="K136" i="8"/>
  <c r="L136" i="8" s="1"/>
  <c r="K137" i="8"/>
  <c r="L137" i="8" s="1"/>
  <c r="K138" i="8"/>
  <c r="L138" i="8" s="1"/>
  <c r="K139" i="8"/>
  <c r="L139" i="8" s="1"/>
  <c r="K140" i="8"/>
  <c r="K141" i="8"/>
  <c r="L141" i="8" s="1"/>
  <c r="K142" i="8"/>
  <c r="L142" i="8" s="1"/>
  <c r="K143" i="8"/>
  <c r="L143" i="8" s="1"/>
  <c r="K144" i="8"/>
  <c r="L144" i="8" s="1"/>
  <c r="K145" i="8"/>
  <c r="L145" i="8" s="1"/>
  <c r="K146" i="8"/>
  <c r="L146" i="8" s="1"/>
  <c r="K147" i="8"/>
  <c r="L147" i="8" s="1"/>
  <c r="K148" i="8"/>
  <c r="L148" i="8" s="1"/>
  <c r="K149" i="8"/>
  <c r="L149" i="8" s="1"/>
  <c r="K150" i="8"/>
  <c r="L150" i="8" s="1"/>
  <c r="K151" i="8"/>
  <c r="L151" i="8" s="1"/>
  <c r="K152" i="8"/>
  <c r="L152" i="8" s="1"/>
  <c r="K153" i="8"/>
  <c r="L153" i="8" s="1"/>
  <c r="K154" i="8"/>
  <c r="L154" i="8" s="1"/>
  <c r="K155" i="8"/>
  <c r="L155" i="8" s="1"/>
  <c r="K156" i="8"/>
  <c r="L156" i="8" s="1"/>
  <c r="K157" i="8"/>
  <c r="L157" i="8" s="1"/>
  <c r="K158" i="8"/>
  <c r="L158" i="8" s="1"/>
  <c r="K159" i="8"/>
  <c r="L159" i="8" s="1"/>
  <c r="K160" i="8"/>
  <c r="L160" i="8" s="1"/>
  <c r="K161" i="8"/>
  <c r="L161" i="8" s="1"/>
  <c r="K162" i="8"/>
  <c r="L162" i="8" s="1"/>
  <c r="K163" i="8"/>
  <c r="L163" i="8" s="1"/>
  <c r="K164" i="8"/>
  <c r="K165" i="8"/>
  <c r="L165" i="8" s="1"/>
  <c r="K166" i="8"/>
  <c r="L166" i="8" s="1"/>
  <c r="K167" i="8"/>
  <c r="L167" i="8" s="1"/>
  <c r="K168" i="8"/>
  <c r="L168" i="8" s="1"/>
  <c r="K169" i="8"/>
  <c r="L169" i="8" s="1"/>
  <c r="K170" i="8"/>
  <c r="L170" i="8" s="1"/>
  <c r="K171" i="8"/>
  <c r="L171" i="8" s="1"/>
  <c r="K172" i="8"/>
  <c r="K173" i="8"/>
  <c r="L173" i="8" s="1"/>
  <c r="K174" i="8"/>
  <c r="L174" i="8" s="1"/>
  <c r="K175" i="8"/>
  <c r="L175" i="8" s="1"/>
  <c r="K176" i="8"/>
  <c r="L176" i="8" s="1"/>
  <c r="K177" i="8"/>
  <c r="L177" i="8" s="1"/>
  <c r="K178" i="8"/>
  <c r="L178" i="8" s="1"/>
  <c r="K179" i="8"/>
  <c r="L179" i="8" s="1"/>
  <c r="K180" i="8"/>
  <c r="L180" i="8" s="1"/>
  <c r="K181" i="8"/>
  <c r="L181" i="8" s="1"/>
  <c r="K182" i="8"/>
  <c r="L182" i="8" s="1"/>
  <c r="K183" i="8"/>
  <c r="L183" i="8" s="1"/>
  <c r="K184" i="8"/>
  <c r="L184" i="8" s="1"/>
  <c r="K185" i="8"/>
  <c r="L185" i="8" s="1"/>
  <c r="K186" i="8"/>
  <c r="L186" i="8" s="1"/>
  <c r="K187" i="8"/>
  <c r="L187" i="8" s="1"/>
  <c r="K188" i="8"/>
  <c r="L188" i="8" s="1"/>
  <c r="K189" i="8"/>
  <c r="L189" i="8" s="1"/>
  <c r="K190" i="8"/>
  <c r="L190" i="8" s="1"/>
  <c r="K191" i="8"/>
  <c r="L191" i="8" s="1"/>
  <c r="K192" i="8"/>
  <c r="L192" i="8" s="1"/>
  <c r="K193" i="8"/>
  <c r="L193" i="8" s="1"/>
  <c r="K194" i="8"/>
  <c r="L194" i="8" s="1"/>
  <c r="K195" i="8"/>
  <c r="L195" i="8" s="1"/>
  <c r="K196" i="8"/>
  <c r="K197" i="8"/>
  <c r="L197" i="8" s="1"/>
  <c r="K198" i="8"/>
  <c r="L198" i="8" s="1"/>
  <c r="K199" i="8"/>
  <c r="L199" i="8" s="1"/>
  <c r="K200" i="8"/>
  <c r="L200" i="8" s="1"/>
  <c r="K201" i="8"/>
  <c r="L201" i="8" s="1"/>
  <c r="K202" i="8"/>
  <c r="L202" i="8" s="1"/>
  <c r="K203" i="8"/>
  <c r="L203" i="8" s="1"/>
  <c r="K204" i="8"/>
  <c r="K205" i="8"/>
  <c r="L205" i="8" s="1"/>
  <c r="K206" i="8"/>
  <c r="L206" i="8" s="1"/>
  <c r="K207" i="8"/>
  <c r="L207" i="8" s="1"/>
  <c r="K208" i="8"/>
  <c r="L208" i="8" s="1"/>
  <c r="K209" i="8"/>
  <c r="L209" i="8" s="1"/>
  <c r="K210" i="8"/>
  <c r="L210" i="8" s="1"/>
  <c r="K211" i="8"/>
  <c r="L211" i="8" s="1"/>
  <c r="K212" i="8"/>
  <c r="L212" i="8" s="1"/>
  <c r="K213" i="8"/>
  <c r="L213" i="8" s="1"/>
  <c r="K214" i="8"/>
  <c r="L214" i="8" s="1"/>
  <c r="K215" i="8"/>
  <c r="L215" i="8" s="1"/>
  <c r="K216" i="8"/>
  <c r="L216" i="8" s="1"/>
  <c r="K217" i="8"/>
  <c r="L217" i="8" s="1"/>
  <c r="K218" i="8"/>
  <c r="L218" i="8" s="1"/>
  <c r="K219" i="8"/>
  <c r="L219" i="8" s="1"/>
  <c r="K220" i="8"/>
  <c r="L220" i="8" s="1"/>
  <c r="K221" i="8"/>
  <c r="L221" i="8" s="1"/>
  <c r="K222" i="8"/>
  <c r="L222" i="8" s="1"/>
  <c r="K223" i="8"/>
  <c r="L223" i="8" s="1"/>
  <c r="K224" i="8"/>
  <c r="L224" i="8" s="1"/>
  <c r="K225" i="8"/>
  <c r="L225" i="8" s="1"/>
  <c r="K226" i="8"/>
  <c r="L226" i="8" s="1"/>
  <c r="K227" i="8"/>
  <c r="L227" i="8" s="1"/>
  <c r="K228" i="8"/>
  <c r="K229" i="8"/>
  <c r="L229" i="8" s="1"/>
  <c r="K230" i="8"/>
  <c r="L230" i="8" s="1"/>
  <c r="K231" i="8"/>
  <c r="L231" i="8" s="1"/>
  <c r="K232" i="8"/>
  <c r="L232" i="8" s="1"/>
  <c r="K233" i="8"/>
  <c r="L233" i="8" s="1"/>
  <c r="K234" i="8"/>
  <c r="L234" i="8" s="1"/>
  <c r="K235" i="8"/>
  <c r="L235" i="8" s="1"/>
  <c r="K236" i="8"/>
  <c r="K237" i="8"/>
  <c r="L237" i="8" s="1"/>
  <c r="K238" i="8"/>
  <c r="L238" i="8" s="1"/>
  <c r="K239" i="8"/>
  <c r="L239" i="8" s="1"/>
  <c r="K240" i="8"/>
  <c r="L240" i="8" s="1"/>
  <c r="K241" i="8"/>
  <c r="L241" i="8" s="1"/>
  <c r="K242" i="8"/>
  <c r="L242" i="8" s="1"/>
  <c r="K243" i="8"/>
  <c r="L243" i="8" s="1"/>
  <c r="K244" i="8"/>
  <c r="L244" i="8" s="1"/>
  <c r="K245" i="8"/>
  <c r="L245" i="8" s="1"/>
  <c r="K246" i="8"/>
  <c r="L246" i="8" s="1"/>
  <c r="K247" i="8"/>
  <c r="L247" i="8" s="1"/>
  <c r="K248" i="8"/>
  <c r="L248" i="8" s="1"/>
  <c r="K249" i="8"/>
  <c r="L249" i="8" s="1"/>
  <c r="K250" i="8"/>
  <c r="L250" i="8" s="1"/>
  <c r="K251" i="8"/>
  <c r="L251" i="8" s="1"/>
  <c r="K252" i="8"/>
  <c r="L252" i="8" s="1"/>
  <c r="M252" i="8" s="1"/>
  <c r="K253" i="8"/>
  <c r="L253" i="8" s="1"/>
  <c r="K254" i="8"/>
  <c r="L254" i="8" s="1"/>
  <c r="K255" i="8"/>
  <c r="L255" i="8" s="1"/>
  <c r="K256" i="8"/>
  <c r="L256" i="8" s="1"/>
  <c r="K257" i="8"/>
  <c r="L257" i="8" s="1"/>
  <c r="K258" i="8"/>
  <c r="L258" i="8" s="1"/>
  <c r="K259" i="8"/>
  <c r="L259" i="8" s="1"/>
  <c r="K260" i="8"/>
  <c r="K261" i="8"/>
  <c r="L261" i="8" s="1"/>
  <c r="K262" i="8"/>
  <c r="L262" i="8" s="1"/>
  <c r="K263" i="8"/>
  <c r="L263" i="8" s="1"/>
  <c r="K264" i="8"/>
  <c r="L264" i="8" s="1"/>
  <c r="K265" i="8"/>
  <c r="L265" i="8" s="1"/>
  <c r="K266" i="8"/>
  <c r="L266" i="8" s="1"/>
  <c r="K267" i="8"/>
  <c r="L267" i="8" s="1"/>
  <c r="K268" i="8"/>
  <c r="K269" i="8"/>
  <c r="L269" i="8" s="1"/>
  <c r="K270" i="8"/>
  <c r="L270" i="8" s="1"/>
  <c r="K271" i="8"/>
  <c r="L271" i="8" s="1"/>
  <c r="K272" i="8"/>
  <c r="L272" i="8" s="1"/>
  <c r="K273" i="8"/>
  <c r="L273" i="8" s="1"/>
  <c r="K274" i="8"/>
  <c r="L274" i="8" s="1"/>
  <c r="K275" i="8"/>
  <c r="L275" i="8" s="1"/>
  <c r="K276" i="8"/>
  <c r="L276" i="8" s="1"/>
  <c r="K277" i="8"/>
  <c r="L277" i="8" s="1"/>
  <c r="K278" i="8"/>
  <c r="L278" i="8" s="1"/>
  <c r="K279" i="8"/>
  <c r="L279" i="8" s="1"/>
  <c r="K280" i="8"/>
  <c r="L280" i="8" s="1"/>
  <c r="K281" i="8"/>
  <c r="L281" i="8" s="1"/>
  <c r="K282" i="8"/>
  <c r="L282" i="8" s="1"/>
  <c r="K283" i="8"/>
  <c r="L283" i="8" s="1"/>
  <c r="K284" i="8"/>
  <c r="L284" i="8" s="1"/>
  <c r="K285" i="8"/>
  <c r="L285" i="8" s="1"/>
  <c r="K286" i="8"/>
  <c r="L286" i="8" s="1"/>
  <c r="K287" i="8"/>
  <c r="L287" i="8" s="1"/>
  <c r="K288" i="8"/>
  <c r="L288" i="8" s="1"/>
  <c r="K289" i="8"/>
  <c r="L289" i="8" s="1"/>
  <c r="K290" i="8"/>
  <c r="L290" i="8" s="1"/>
  <c r="K291" i="8"/>
  <c r="L291" i="8" s="1"/>
  <c r="K292" i="8"/>
  <c r="K293" i="8"/>
  <c r="L293" i="8" s="1"/>
  <c r="K294" i="8"/>
  <c r="L294" i="8" s="1"/>
  <c r="K295" i="8"/>
  <c r="L295" i="8" s="1"/>
  <c r="K296" i="8"/>
  <c r="L296" i="8" s="1"/>
  <c r="K297" i="8"/>
  <c r="L297" i="8" s="1"/>
  <c r="K298" i="8"/>
  <c r="L298" i="8" s="1"/>
  <c r="K299" i="8"/>
  <c r="L299" i="8" s="1"/>
  <c r="K300" i="8"/>
  <c r="K301" i="8"/>
  <c r="L301" i="8" s="1"/>
  <c r="K302" i="8"/>
  <c r="L302" i="8" s="1"/>
  <c r="K303" i="8"/>
  <c r="L303" i="8" s="1"/>
  <c r="K304" i="8"/>
  <c r="L304" i="8" s="1"/>
  <c r="K305" i="8"/>
  <c r="L305" i="8" s="1"/>
  <c r="K306" i="8"/>
  <c r="L306" i="8" s="1"/>
  <c r="K307" i="8"/>
  <c r="L307" i="8" s="1"/>
  <c r="K308" i="8"/>
  <c r="L308" i="8" s="1"/>
  <c r="K309" i="8"/>
  <c r="L309" i="8" s="1"/>
  <c r="K310" i="8"/>
  <c r="L310" i="8" s="1"/>
  <c r="K311" i="8"/>
  <c r="L311" i="8" s="1"/>
  <c r="K312" i="8"/>
  <c r="L312" i="8" s="1"/>
  <c r="K313" i="8"/>
  <c r="L313" i="8" s="1"/>
  <c r="K314" i="8"/>
  <c r="L314" i="8" s="1"/>
  <c r="K315" i="8"/>
  <c r="L315" i="8" s="1"/>
  <c r="K316" i="8"/>
  <c r="L316" i="8" s="1"/>
  <c r="K317" i="8"/>
  <c r="L317" i="8" s="1"/>
  <c r="K318" i="8"/>
  <c r="L318" i="8" s="1"/>
  <c r="K319" i="8"/>
  <c r="L319" i="8" s="1"/>
  <c r="K320" i="8"/>
  <c r="L320" i="8" s="1"/>
  <c r="K321" i="8"/>
  <c r="L321" i="8" s="1"/>
  <c r="K322" i="8"/>
  <c r="L322" i="8" s="1"/>
  <c r="K323" i="8"/>
  <c r="L323" i="8" s="1"/>
  <c r="K324" i="8"/>
  <c r="K325" i="8"/>
  <c r="L325" i="8" s="1"/>
  <c r="K326" i="8"/>
  <c r="L326" i="8" s="1"/>
  <c r="K327" i="8"/>
  <c r="L327" i="8" s="1"/>
  <c r="K328" i="8"/>
  <c r="L328" i="8" s="1"/>
  <c r="K329" i="8"/>
  <c r="L329" i="8" s="1"/>
  <c r="K330" i="8"/>
  <c r="L330" i="8" s="1"/>
  <c r="K331" i="8"/>
  <c r="L331" i="8" s="1"/>
  <c r="K332" i="8"/>
  <c r="K333" i="8"/>
  <c r="L333" i="8" s="1"/>
  <c r="K334" i="8"/>
  <c r="L334" i="8" s="1"/>
  <c r="K335" i="8"/>
  <c r="L335" i="8" s="1"/>
  <c r="K336" i="8"/>
  <c r="L336" i="8" s="1"/>
  <c r="K337" i="8"/>
  <c r="L337" i="8" s="1"/>
  <c r="K338" i="8"/>
  <c r="L338" i="8" s="1"/>
  <c r="K339" i="8"/>
  <c r="L339" i="8" s="1"/>
  <c r="K340" i="8"/>
  <c r="L340" i="8" s="1"/>
  <c r="K341" i="8"/>
  <c r="L341" i="8" s="1"/>
  <c r="K342" i="8"/>
  <c r="L342" i="8" s="1"/>
  <c r="K343" i="8"/>
  <c r="L343" i="8" s="1"/>
  <c r="K344" i="8"/>
  <c r="L344" i="8" s="1"/>
  <c r="K345" i="8"/>
  <c r="L345" i="8" s="1"/>
  <c r="K346" i="8"/>
  <c r="L346" i="8" s="1"/>
  <c r="K347" i="8"/>
  <c r="L347" i="8" s="1"/>
  <c r="K348" i="8"/>
  <c r="L348" i="8" s="1"/>
  <c r="K349" i="8"/>
  <c r="L349" i="8" s="1"/>
  <c r="K350" i="8"/>
  <c r="L350" i="8" s="1"/>
  <c r="K351" i="8"/>
  <c r="L351" i="8" s="1"/>
  <c r="K352" i="8"/>
  <c r="L352" i="8" s="1"/>
  <c r="K353" i="8"/>
  <c r="L353" i="8" s="1"/>
  <c r="K354" i="8"/>
  <c r="L354" i="8" s="1"/>
  <c r="K355" i="8"/>
  <c r="L355" i="8" s="1"/>
  <c r="K356" i="8"/>
  <c r="K357" i="8"/>
  <c r="L357" i="8" s="1"/>
  <c r="K358" i="8"/>
  <c r="L358" i="8" s="1"/>
  <c r="K359" i="8"/>
  <c r="L359" i="8" s="1"/>
  <c r="K360" i="8"/>
  <c r="L360" i="8" s="1"/>
  <c r="K361" i="8"/>
  <c r="L361" i="8" s="1"/>
  <c r="K362" i="8"/>
  <c r="L362" i="8" s="1"/>
  <c r="K363" i="8"/>
  <c r="L363" i="8" s="1"/>
  <c r="K364" i="8"/>
  <c r="K365" i="8"/>
  <c r="L365" i="8" s="1"/>
  <c r="K366" i="8"/>
  <c r="L366" i="8" s="1"/>
  <c r="K367" i="8"/>
  <c r="L367" i="8" s="1"/>
  <c r="K368" i="8"/>
  <c r="L368" i="8" s="1"/>
  <c r="K369" i="8"/>
  <c r="L369" i="8" s="1"/>
  <c r="K370" i="8"/>
  <c r="L370" i="8" s="1"/>
  <c r="K371" i="8"/>
  <c r="L371" i="8" s="1"/>
  <c r="K372" i="8"/>
  <c r="L372" i="8" s="1"/>
  <c r="K373" i="8"/>
  <c r="L373" i="8" s="1"/>
  <c r="K374" i="8"/>
  <c r="L374" i="8" s="1"/>
  <c r="K375" i="8"/>
  <c r="L375" i="8" s="1"/>
  <c r="K376" i="8"/>
  <c r="L376" i="8" s="1"/>
  <c r="K377" i="8"/>
  <c r="L377" i="8" s="1"/>
  <c r="K378" i="8"/>
  <c r="L378" i="8" s="1"/>
  <c r="K379" i="8"/>
  <c r="L379" i="8" s="1"/>
  <c r="K380" i="8"/>
  <c r="L380" i="8" s="1"/>
  <c r="K381" i="8"/>
  <c r="L381" i="8" s="1"/>
  <c r="K382" i="8"/>
  <c r="L382" i="8" s="1"/>
  <c r="K383" i="8"/>
  <c r="L383" i="8" s="1"/>
  <c r="K384" i="8"/>
  <c r="L384" i="8" s="1"/>
  <c r="K385" i="8"/>
  <c r="L385" i="8" s="1"/>
  <c r="K386" i="8"/>
  <c r="L386" i="8" s="1"/>
  <c r="K387" i="8"/>
  <c r="L387" i="8" s="1"/>
  <c r="K388" i="8"/>
  <c r="L388" i="8" s="1"/>
  <c r="K389" i="8"/>
  <c r="L389" i="8" s="1"/>
  <c r="K390" i="8"/>
  <c r="L390" i="8" s="1"/>
  <c r="K391" i="8"/>
  <c r="L391" i="8" s="1"/>
  <c r="K392" i="8"/>
  <c r="L392" i="8" s="1"/>
  <c r="K393" i="8"/>
  <c r="L393" i="8" s="1"/>
  <c r="K394" i="8"/>
  <c r="L394" i="8" s="1"/>
  <c r="K395" i="8"/>
  <c r="L395" i="8" s="1"/>
  <c r="K396" i="8"/>
  <c r="L396" i="8" s="1"/>
  <c r="K397" i="8"/>
  <c r="L397" i="8" s="1"/>
  <c r="K398" i="8"/>
  <c r="L398" i="8" s="1"/>
  <c r="K399" i="8"/>
  <c r="L399" i="8" s="1"/>
  <c r="K400" i="8"/>
  <c r="L400" i="8" s="1"/>
  <c r="K401" i="8"/>
  <c r="L401" i="8" s="1"/>
  <c r="K402" i="8"/>
  <c r="L402" i="8" s="1"/>
  <c r="K403" i="8"/>
  <c r="L403" i="8" s="1"/>
  <c r="K404" i="8"/>
  <c r="L404" i="8" s="1"/>
  <c r="K405" i="8"/>
  <c r="L405" i="8" s="1"/>
  <c r="K406" i="8"/>
  <c r="L406" i="8" s="1"/>
  <c r="K407" i="8"/>
  <c r="L407" i="8" s="1"/>
  <c r="K408" i="8"/>
  <c r="L408" i="8" s="1"/>
  <c r="K409" i="8"/>
  <c r="L409" i="8" s="1"/>
  <c r="K410" i="8"/>
  <c r="L410" i="8" s="1"/>
  <c r="K411" i="8"/>
  <c r="L411" i="8" s="1"/>
  <c r="K412" i="8"/>
  <c r="L412" i="8" s="1"/>
  <c r="K413" i="8"/>
  <c r="L413" i="8" s="1"/>
  <c r="K414" i="8"/>
  <c r="L414" i="8" s="1"/>
  <c r="K415" i="8"/>
  <c r="L415" i="8" s="1"/>
  <c r="K416" i="8"/>
  <c r="L416" i="8" s="1"/>
  <c r="K417" i="8"/>
  <c r="L417" i="8" s="1"/>
  <c r="K418" i="8"/>
  <c r="L418" i="8" s="1"/>
  <c r="K419" i="8"/>
  <c r="L419" i="8" s="1"/>
  <c r="K420" i="8"/>
  <c r="L420" i="8" s="1"/>
  <c r="K421" i="8"/>
  <c r="L421" i="8" s="1"/>
  <c r="K422" i="8"/>
  <c r="L422" i="8" s="1"/>
  <c r="K423" i="8"/>
  <c r="L423" i="8" s="1"/>
  <c r="K424" i="8"/>
  <c r="L424" i="8" s="1"/>
  <c r="K425" i="8"/>
  <c r="L425" i="8" s="1"/>
  <c r="K426" i="8"/>
  <c r="L426" i="8" s="1"/>
  <c r="K427" i="8"/>
  <c r="L427" i="8" s="1"/>
  <c r="K428" i="8"/>
  <c r="L428" i="8" s="1"/>
  <c r="K429" i="8"/>
  <c r="L429" i="8" s="1"/>
  <c r="K430" i="8"/>
  <c r="L430" i="8" s="1"/>
  <c r="K431" i="8"/>
  <c r="L431" i="8" s="1"/>
  <c r="K432" i="8"/>
  <c r="L432" i="8" s="1"/>
  <c r="K433" i="8"/>
  <c r="L433" i="8" s="1"/>
  <c r="K434" i="8"/>
  <c r="L434" i="8" s="1"/>
  <c r="K435" i="8"/>
  <c r="L435" i="8" s="1"/>
  <c r="K436" i="8"/>
  <c r="L436" i="8" s="1"/>
  <c r="K437" i="8"/>
  <c r="L437" i="8" s="1"/>
  <c r="K438" i="8"/>
  <c r="L438" i="8" s="1"/>
  <c r="K439" i="8"/>
  <c r="L439" i="8" s="1"/>
  <c r="K440" i="8"/>
  <c r="L440" i="8" s="1"/>
  <c r="K441" i="8"/>
  <c r="L441" i="8" s="1"/>
  <c r="K442" i="8"/>
  <c r="L442" i="8" s="1"/>
  <c r="K443" i="8"/>
  <c r="L443" i="8" s="1"/>
  <c r="K444" i="8"/>
  <c r="L444" i="8" s="1"/>
  <c r="K445" i="8"/>
  <c r="L445" i="8" s="1"/>
  <c r="K446" i="8"/>
  <c r="L446" i="8" s="1"/>
  <c r="K447" i="8"/>
  <c r="L447" i="8" s="1"/>
  <c r="K448" i="8"/>
  <c r="L448" i="8" s="1"/>
  <c r="K449" i="8"/>
  <c r="L449" i="8" s="1"/>
  <c r="K450" i="8"/>
  <c r="L450" i="8" s="1"/>
  <c r="K451" i="8"/>
  <c r="L451" i="8" s="1"/>
  <c r="K452" i="8"/>
  <c r="L452" i="8" s="1"/>
  <c r="M452" i="8" s="1"/>
  <c r="K453" i="8"/>
  <c r="L453" i="8" s="1"/>
  <c r="K454" i="8"/>
  <c r="L454" i="8" s="1"/>
  <c r="K455" i="8"/>
  <c r="L455" i="8" s="1"/>
  <c r="K456" i="8"/>
  <c r="L456" i="8" s="1"/>
  <c r="K457" i="8"/>
  <c r="L457" i="8" s="1"/>
  <c r="K458" i="8"/>
  <c r="L458" i="8" s="1"/>
  <c r="K459" i="8"/>
  <c r="L459" i="8" s="1"/>
  <c r="K460" i="8"/>
  <c r="L460" i="8" s="1"/>
  <c r="K461" i="8"/>
  <c r="L461" i="8" s="1"/>
  <c r="K462" i="8"/>
  <c r="L462" i="8" s="1"/>
  <c r="K463" i="8"/>
  <c r="L463" i="8" s="1"/>
  <c r="K464" i="8"/>
  <c r="L464" i="8" s="1"/>
  <c r="K465" i="8"/>
  <c r="L465" i="8" s="1"/>
  <c r="K466" i="8"/>
  <c r="L466" i="8" s="1"/>
  <c r="K467" i="8"/>
  <c r="L467" i="8" s="1"/>
  <c r="K468" i="8"/>
  <c r="L468" i="8" s="1"/>
  <c r="K469" i="8"/>
  <c r="L469" i="8" s="1"/>
  <c r="K470" i="8"/>
  <c r="L470" i="8" s="1"/>
  <c r="K471" i="8"/>
  <c r="L471" i="8" s="1"/>
  <c r="K472" i="8"/>
  <c r="L472" i="8" s="1"/>
  <c r="K473" i="8"/>
  <c r="L473" i="8" s="1"/>
  <c r="K474" i="8"/>
  <c r="L474" i="8" s="1"/>
  <c r="K475" i="8"/>
  <c r="L475" i="8" s="1"/>
  <c r="K476" i="8"/>
  <c r="L476" i="8" s="1"/>
  <c r="K477" i="8"/>
  <c r="L477" i="8" s="1"/>
  <c r="K478" i="8"/>
  <c r="L478" i="8" s="1"/>
  <c r="K479" i="8"/>
  <c r="L479" i="8" s="1"/>
  <c r="K480" i="8"/>
  <c r="L480" i="8" s="1"/>
  <c r="K481" i="8"/>
  <c r="L481" i="8" s="1"/>
  <c r="K482" i="8"/>
  <c r="L482" i="8" s="1"/>
  <c r="K483" i="8"/>
  <c r="L483" i="8" s="1"/>
  <c r="K484" i="8"/>
  <c r="L484" i="8" s="1"/>
  <c r="K485" i="8"/>
  <c r="L485" i="8" s="1"/>
  <c r="K486" i="8"/>
  <c r="L486" i="8" s="1"/>
  <c r="K487" i="8"/>
  <c r="L487" i="8" s="1"/>
  <c r="K488" i="8"/>
  <c r="L488" i="8" s="1"/>
  <c r="K489" i="8"/>
  <c r="L489" i="8" s="1"/>
  <c r="K490" i="8"/>
  <c r="L490" i="8" s="1"/>
  <c r="K491" i="8"/>
  <c r="L491" i="8" s="1"/>
  <c r="K492" i="8"/>
  <c r="L492" i="8" s="1"/>
  <c r="K493" i="8"/>
  <c r="L493" i="8" s="1"/>
  <c r="K494" i="8"/>
  <c r="L494" i="8" s="1"/>
  <c r="K495" i="8"/>
  <c r="L495" i="8" s="1"/>
  <c r="K496" i="8"/>
  <c r="L496" i="8" s="1"/>
  <c r="K497" i="8"/>
  <c r="L497" i="8" s="1"/>
  <c r="K498" i="8"/>
  <c r="L498" i="8" s="1"/>
  <c r="K499" i="8"/>
  <c r="L499" i="8" s="1"/>
  <c r="K500" i="8"/>
  <c r="L500" i="8" s="1"/>
  <c r="K501" i="8"/>
  <c r="L501" i="8" s="1"/>
  <c r="K502" i="8"/>
  <c r="L502" i="8" s="1"/>
  <c r="K503" i="8"/>
  <c r="L503" i="8" s="1"/>
  <c r="K504" i="8"/>
  <c r="L504" i="8" s="1"/>
  <c r="K505" i="8"/>
  <c r="L505" i="8" s="1"/>
  <c r="K506" i="8"/>
  <c r="L506" i="8" s="1"/>
  <c r="K507" i="8"/>
  <c r="L507" i="8" s="1"/>
  <c r="K508" i="8"/>
  <c r="L508" i="8" s="1"/>
  <c r="K509" i="8"/>
  <c r="L509" i="8" s="1"/>
  <c r="K510" i="8"/>
  <c r="L510" i="8" s="1"/>
  <c r="K511" i="8"/>
  <c r="L511" i="8" s="1"/>
  <c r="K512" i="8"/>
  <c r="L512" i="8" s="1"/>
  <c r="K513" i="8"/>
  <c r="L513" i="8" s="1"/>
  <c r="K514" i="8"/>
  <c r="L514" i="8" s="1"/>
  <c r="K515" i="8"/>
  <c r="L515" i="8" s="1"/>
  <c r="K516" i="8"/>
  <c r="L516" i="8" s="1"/>
  <c r="K517" i="8"/>
  <c r="L517" i="8" s="1"/>
  <c r="K518" i="8"/>
  <c r="L518" i="8" s="1"/>
  <c r="K519" i="8"/>
  <c r="L519" i="8" s="1"/>
  <c r="K520" i="8"/>
  <c r="L520" i="8" s="1"/>
  <c r="K521" i="8"/>
  <c r="L521" i="8" s="1"/>
  <c r="K522" i="8"/>
  <c r="L522" i="8" s="1"/>
  <c r="K523" i="8"/>
  <c r="L523" i="8" s="1"/>
  <c r="K524" i="8"/>
  <c r="L524" i="8" s="1"/>
  <c r="K525" i="8"/>
  <c r="L525" i="8" s="1"/>
  <c r="K526" i="8"/>
  <c r="L526" i="8" s="1"/>
  <c r="K527" i="8"/>
  <c r="L527" i="8" s="1"/>
  <c r="K528" i="8"/>
  <c r="L528" i="8" s="1"/>
  <c r="K529" i="8"/>
  <c r="L529" i="8" s="1"/>
  <c r="K530" i="8"/>
  <c r="L530" i="8" s="1"/>
  <c r="K531" i="8"/>
  <c r="L531" i="8" s="1"/>
  <c r="K532" i="8"/>
  <c r="L532" i="8" s="1"/>
  <c r="K533" i="8"/>
  <c r="L533" i="8" s="1"/>
  <c r="K534" i="8"/>
  <c r="L534" i="8" s="1"/>
  <c r="K535" i="8"/>
  <c r="L535" i="8" s="1"/>
  <c r="K2" i="8"/>
  <c r="L2" i="8" s="1"/>
  <c r="F2" i="8"/>
  <c r="F3" i="8"/>
  <c r="F4" i="8"/>
  <c r="F5" i="8"/>
  <c r="I5" i="8" s="1"/>
  <c r="F6" i="8"/>
  <c r="F7" i="8"/>
  <c r="F8" i="8"/>
  <c r="F9" i="8"/>
  <c r="I9" i="8" s="1"/>
  <c r="F10" i="8"/>
  <c r="I10" i="8" s="1"/>
  <c r="F11" i="8"/>
  <c r="I11" i="8" s="1"/>
  <c r="F12" i="8"/>
  <c r="F13" i="8"/>
  <c r="I13" i="8" s="1"/>
  <c r="F14" i="8"/>
  <c r="F15" i="8"/>
  <c r="F16" i="8"/>
  <c r="I16" i="8" s="1"/>
  <c r="M16" i="8" s="1"/>
  <c r="F17" i="8"/>
  <c r="F18" i="8"/>
  <c r="I18" i="8" s="1"/>
  <c r="F19" i="8"/>
  <c r="F20" i="8"/>
  <c r="F21" i="8"/>
  <c r="I21" i="8" s="1"/>
  <c r="M21" i="8" s="1"/>
  <c r="F22" i="8"/>
  <c r="F23" i="8"/>
  <c r="F24" i="8"/>
  <c r="F25" i="8"/>
  <c r="F26" i="8"/>
  <c r="I26" i="8" s="1"/>
  <c r="F27" i="8"/>
  <c r="I27" i="8" s="1"/>
  <c r="M27" i="8" s="1"/>
  <c r="F28" i="8"/>
  <c r="F29" i="8"/>
  <c r="I29" i="8" s="1"/>
  <c r="M29" i="8" s="1"/>
  <c r="F30" i="8"/>
  <c r="F31" i="8"/>
  <c r="F32" i="8"/>
  <c r="I32" i="8" s="1"/>
  <c r="F33" i="8"/>
  <c r="I33" i="8" s="1"/>
  <c r="N33" i="8" s="1"/>
  <c r="U33" i="8" s="1" a="1"/>
  <c r="U33" i="8" s="1"/>
  <c r="F34" i="8"/>
  <c r="I34" i="8" s="1"/>
  <c r="N34" i="8" s="1"/>
  <c r="U34" i="8" s="1" a="1"/>
  <c r="U34" i="8" s="1"/>
  <c r="F35" i="8"/>
  <c r="F36" i="8"/>
  <c r="F37" i="8"/>
  <c r="I37" i="8" s="1"/>
  <c r="M37" i="8" s="1"/>
  <c r="F38" i="8"/>
  <c r="F39" i="8"/>
  <c r="F40" i="8"/>
  <c r="I40" i="8" s="1"/>
  <c r="M40" i="8" s="1"/>
  <c r="F41" i="8"/>
  <c r="I41" i="8" s="1"/>
  <c r="F42" i="8"/>
  <c r="I42" i="8" s="1"/>
  <c r="N42" i="8" s="1"/>
  <c r="U42" i="8" s="1" a="1"/>
  <c r="U42" i="8" s="1"/>
  <c r="F43" i="8"/>
  <c r="I43" i="8" s="1"/>
  <c r="M43" i="8" s="1"/>
  <c r="F44" i="8"/>
  <c r="F45" i="8"/>
  <c r="I45" i="8" s="1"/>
  <c r="M45" i="8" s="1"/>
  <c r="F46" i="8"/>
  <c r="F47" i="8"/>
  <c r="F48" i="8"/>
  <c r="F49" i="8"/>
  <c r="I49" i="8" s="1"/>
  <c r="N49" i="8" s="1"/>
  <c r="U49" i="8" s="1" a="1"/>
  <c r="U49" i="8" s="1"/>
  <c r="F50" i="8"/>
  <c r="I50" i="8" s="1"/>
  <c r="N50" i="8" s="1"/>
  <c r="U50" i="8" s="1" a="1"/>
  <c r="U50" i="8" s="1"/>
  <c r="F51" i="8"/>
  <c r="I51" i="8" s="1"/>
  <c r="F52" i="8"/>
  <c r="F53" i="8"/>
  <c r="I53" i="8" s="1"/>
  <c r="M53" i="8" s="1"/>
  <c r="F54" i="8"/>
  <c r="F55" i="8"/>
  <c r="F56" i="8"/>
  <c r="I56" i="8" s="1"/>
  <c r="F57" i="8"/>
  <c r="F58" i="8"/>
  <c r="I58" i="8" s="1"/>
  <c r="N58" i="8" s="1"/>
  <c r="U58" i="8" s="1" a="1"/>
  <c r="U58" i="8" s="1"/>
  <c r="F59" i="8"/>
  <c r="F60" i="8"/>
  <c r="F61" i="8"/>
  <c r="I61" i="8" s="1"/>
  <c r="F62" i="8"/>
  <c r="F63" i="8"/>
  <c r="F64" i="8"/>
  <c r="I64" i="8" s="1"/>
  <c r="M64" i="8" s="1"/>
  <c r="F65" i="8"/>
  <c r="I65" i="8" s="1"/>
  <c r="N65" i="8" s="1"/>
  <c r="U65" i="8" s="1" a="1"/>
  <c r="U65" i="8" s="1"/>
  <c r="F66" i="8"/>
  <c r="I66" i="8" s="1"/>
  <c r="N66" i="8" s="1"/>
  <c r="U66" i="8" s="1" a="1"/>
  <c r="U66" i="8" s="1"/>
  <c r="F67" i="8"/>
  <c r="F68" i="8"/>
  <c r="F69" i="8"/>
  <c r="F70" i="8"/>
  <c r="F71" i="8"/>
  <c r="F72" i="8"/>
  <c r="I72" i="8" s="1"/>
  <c r="M72" i="8" s="1"/>
  <c r="F73" i="8"/>
  <c r="I73" i="8" s="1"/>
  <c r="F74" i="8"/>
  <c r="I74" i="8" s="1"/>
  <c r="F75" i="8"/>
  <c r="F76" i="8"/>
  <c r="F77" i="8"/>
  <c r="I77" i="8" s="1"/>
  <c r="M77" i="8" s="1"/>
  <c r="F78" i="8"/>
  <c r="F79" i="8"/>
  <c r="F80" i="8"/>
  <c r="I80" i="8" s="1"/>
  <c r="M80" i="8" s="1"/>
  <c r="F81" i="8"/>
  <c r="I81" i="8" s="1"/>
  <c r="F82" i="8"/>
  <c r="I82" i="8" s="1"/>
  <c r="F83" i="8"/>
  <c r="F84" i="8"/>
  <c r="F85" i="8"/>
  <c r="I85" i="8" s="1"/>
  <c r="M85" i="8" s="1"/>
  <c r="F86" i="8"/>
  <c r="F87" i="8"/>
  <c r="I87" i="8" s="1"/>
  <c r="M87" i="8" s="1"/>
  <c r="F88" i="8"/>
  <c r="F89" i="8"/>
  <c r="I89" i="8" s="1"/>
  <c r="F90" i="8"/>
  <c r="I90" i="8" s="1"/>
  <c r="F91" i="8"/>
  <c r="F92" i="8"/>
  <c r="F93" i="8"/>
  <c r="F94" i="8"/>
  <c r="F95" i="8"/>
  <c r="I95" i="8" s="1"/>
  <c r="M95" i="8" s="1"/>
  <c r="F96" i="8"/>
  <c r="I96" i="8" s="1"/>
  <c r="M96" i="8" s="1"/>
  <c r="F97" i="8"/>
  <c r="F98" i="8"/>
  <c r="I98" i="8" s="1"/>
  <c r="F99" i="8"/>
  <c r="F100" i="8"/>
  <c r="F101" i="8"/>
  <c r="I101" i="8" s="1"/>
  <c r="M101" i="8" s="1"/>
  <c r="F102" i="8"/>
  <c r="F103" i="8"/>
  <c r="I103" i="8" s="1"/>
  <c r="F104" i="8"/>
  <c r="I104" i="8" s="1"/>
  <c r="F105" i="8"/>
  <c r="F106" i="8"/>
  <c r="I106" i="8" s="1"/>
  <c r="N106" i="8" s="1"/>
  <c r="U106" i="8" s="1" a="1"/>
  <c r="U106" i="8" s="1"/>
  <c r="F107" i="8"/>
  <c r="F108" i="8"/>
  <c r="F109" i="8"/>
  <c r="I109" i="8" s="1"/>
  <c r="M109" i="8" s="1"/>
  <c r="F110" i="8"/>
  <c r="F111" i="8"/>
  <c r="I111" i="8" s="1"/>
  <c r="F112" i="8"/>
  <c r="F113" i="8"/>
  <c r="I113" i="8" s="1"/>
  <c r="N113" i="8" s="1"/>
  <c r="U113" i="8" s="1" a="1"/>
  <c r="U113" i="8" s="1"/>
  <c r="F114" i="8"/>
  <c r="I114" i="8" s="1"/>
  <c r="F115" i="8"/>
  <c r="I115" i="8" s="1"/>
  <c r="M115" i="8" s="1"/>
  <c r="F116" i="8"/>
  <c r="F117" i="8"/>
  <c r="I117" i="8" s="1"/>
  <c r="M117" i="8" s="1"/>
  <c r="F118" i="8"/>
  <c r="I118" i="8" s="1"/>
  <c r="F119" i="8"/>
  <c r="F120" i="8"/>
  <c r="I120" i="8" s="1"/>
  <c r="M120" i="8" s="1"/>
  <c r="F121" i="8"/>
  <c r="F122" i="8"/>
  <c r="I122" i="8" s="1"/>
  <c r="F123" i="8"/>
  <c r="I123" i="8" s="1"/>
  <c r="F124" i="8"/>
  <c r="F125" i="8"/>
  <c r="I125" i="8" s="1"/>
  <c r="M125" i="8" s="1"/>
  <c r="F126" i="8"/>
  <c r="I126" i="8" s="1"/>
  <c r="F127" i="8"/>
  <c r="F128" i="8"/>
  <c r="I128" i="8" s="1"/>
  <c r="M128" i="8" s="1"/>
  <c r="F129" i="8"/>
  <c r="I129" i="8" s="1"/>
  <c r="N129" i="8" s="1"/>
  <c r="U129" i="8" s="1" a="1"/>
  <c r="U129" i="8" s="1"/>
  <c r="F130" i="8"/>
  <c r="I130" i="8" s="1"/>
  <c r="F131" i="8"/>
  <c r="F132" i="8"/>
  <c r="F133" i="8"/>
  <c r="I133" i="8" s="1"/>
  <c r="M133" i="8" s="1"/>
  <c r="F134" i="8"/>
  <c r="F135" i="8"/>
  <c r="F136" i="8"/>
  <c r="F137" i="8"/>
  <c r="F138" i="8"/>
  <c r="I138" i="8" s="1"/>
  <c r="F139" i="8"/>
  <c r="I139" i="8" s="1"/>
  <c r="M139" i="8" s="1"/>
  <c r="F140" i="8"/>
  <c r="F141" i="8"/>
  <c r="I141" i="8" s="1"/>
  <c r="N141" i="8" s="1"/>
  <c r="U141" i="8" s="1" a="1"/>
  <c r="U141" i="8" s="1"/>
  <c r="F142" i="8"/>
  <c r="F143" i="8"/>
  <c r="F144" i="8"/>
  <c r="I144" i="8" s="1"/>
  <c r="N144" i="8" s="1"/>
  <c r="U144" i="8" s="1" a="1"/>
  <c r="U144" i="8" s="1"/>
  <c r="F145" i="8"/>
  <c r="F146" i="8"/>
  <c r="I146" i="8" s="1"/>
  <c r="F147" i="8"/>
  <c r="F148" i="8"/>
  <c r="F149" i="8"/>
  <c r="I149" i="8" s="1"/>
  <c r="F150" i="8"/>
  <c r="F151" i="8"/>
  <c r="F152" i="8"/>
  <c r="I152" i="8" s="1"/>
  <c r="F153" i="8"/>
  <c r="F154" i="8"/>
  <c r="I154" i="8" s="1"/>
  <c r="F155" i="8"/>
  <c r="F156" i="8"/>
  <c r="F157" i="8"/>
  <c r="I157" i="8" s="1"/>
  <c r="M157" i="8" s="1"/>
  <c r="F158" i="8"/>
  <c r="F159" i="8"/>
  <c r="F160" i="8"/>
  <c r="I160" i="8" s="1"/>
  <c r="M160" i="8" s="1"/>
  <c r="F161" i="8"/>
  <c r="I161" i="8" s="1"/>
  <c r="N161" i="8" s="1"/>
  <c r="U161" i="8" s="1" a="1"/>
  <c r="U161" i="8" s="1"/>
  <c r="F162" i="8"/>
  <c r="I162" i="8" s="1"/>
  <c r="N162" i="8" s="1"/>
  <c r="U162" i="8" s="1" a="1"/>
  <c r="U162" i="8" s="1"/>
  <c r="F163" i="8"/>
  <c r="F164" i="8"/>
  <c r="F165" i="8"/>
  <c r="I165" i="8" s="1"/>
  <c r="F166" i="8"/>
  <c r="F167" i="8"/>
  <c r="F168" i="8"/>
  <c r="I168" i="8" s="1"/>
  <c r="F169" i="8"/>
  <c r="I169" i="8" s="1"/>
  <c r="F170" i="8"/>
  <c r="I170" i="8" s="1"/>
  <c r="N170" i="8" s="1"/>
  <c r="U170" i="8" s="1" a="1"/>
  <c r="U170" i="8" s="1"/>
  <c r="F171" i="8"/>
  <c r="F172" i="8"/>
  <c r="F173" i="8"/>
  <c r="I173" i="8" s="1"/>
  <c r="M173" i="8" s="1"/>
  <c r="F174" i="8"/>
  <c r="F175" i="8"/>
  <c r="F176" i="8"/>
  <c r="F177" i="8"/>
  <c r="I177" i="8" s="1"/>
  <c r="F178" i="8"/>
  <c r="I178" i="8" s="1"/>
  <c r="N178" i="8" s="1"/>
  <c r="U178" i="8" s="1" a="1"/>
  <c r="U178" i="8" s="1"/>
  <c r="F179" i="8"/>
  <c r="I179" i="8" s="1"/>
  <c r="M179" i="8" s="1"/>
  <c r="F180" i="8"/>
  <c r="F181" i="8"/>
  <c r="I181" i="8" s="1"/>
  <c r="M181" i="8" s="1"/>
  <c r="F182" i="8"/>
  <c r="F183" i="8"/>
  <c r="F184" i="8"/>
  <c r="I184" i="8" s="1"/>
  <c r="N184" i="8" s="1"/>
  <c r="U184" i="8" s="1" a="1"/>
  <c r="U184" i="8" s="1"/>
  <c r="F185" i="8"/>
  <c r="F186" i="8"/>
  <c r="I186" i="8" s="1"/>
  <c r="F187" i="8"/>
  <c r="I187" i="8" s="1"/>
  <c r="F188" i="8"/>
  <c r="F189" i="8"/>
  <c r="I189" i="8" s="1"/>
  <c r="M189" i="8" s="1"/>
  <c r="F190" i="8"/>
  <c r="F191" i="8"/>
  <c r="F192" i="8"/>
  <c r="I192" i="8" s="1"/>
  <c r="M192" i="8" s="1"/>
  <c r="F193" i="8"/>
  <c r="I193" i="8" s="1"/>
  <c r="F194" i="8"/>
  <c r="I194" i="8" s="1"/>
  <c r="F195" i="8"/>
  <c r="F196" i="8"/>
  <c r="F197" i="8"/>
  <c r="I197" i="8" s="1"/>
  <c r="M197" i="8" s="1"/>
  <c r="F198" i="8"/>
  <c r="F199" i="8"/>
  <c r="F200" i="8"/>
  <c r="I200" i="8" s="1"/>
  <c r="F201" i="8"/>
  <c r="I201" i="8" s="1"/>
  <c r="F202" i="8"/>
  <c r="I202" i="8" s="1"/>
  <c r="F203" i="8"/>
  <c r="F204" i="8"/>
  <c r="I204" i="8" s="1"/>
  <c r="F205" i="8"/>
  <c r="I205" i="8" s="1"/>
  <c r="F206" i="8"/>
  <c r="F207" i="8"/>
  <c r="F208" i="8"/>
  <c r="I208" i="8" s="1"/>
  <c r="M208" i="8" s="1"/>
  <c r="F209" i="8"/>
  <c r="F210" i="8"/>
  <c r="I210" i="8" s="1"/>
  <c r="N210" i="8" s="1"/>
  <c r="U210" i="8" s="1" a="1"/>
  <c r="U210" i="8" s="1"/>
  <c r="F211" i="8"/>
  <c r="F212" i="8"/>
  <c r="I212" i="8" s="1"/>
  <c r="F213" i="8"/>
  <c r="F214" i="8"/>
  <c r="F215" i="8"/>
  <c r="F216" i="8"/>
  <c r="F217" i="8"/>
  <c r="I217" i="8" s="1"/>
  <c r="F218" i="8"/>
  <c r="I218" i="8" s="1"/>
  <c r="F219" i="8"/>
  <c r="I219" i="8" s="1"/>
  <c r="M219" i="8" s="1"/>
  <c r="F220" i="8"/>
  <c r="I220" i="8" s="1"/>
  <c r="F221" i="8"/>
  <c r="I221" i="8" s="1"/>
  <c r="M221" i="8" s="1"/>
  <c r="F222" i="8"/>
  <c r="F223" i="8"/>
  <c r="F224" i="8"/>
  <c r="I224" i="8" s="1"/>
  <c r="M224" i="8" s="1"/>
  <c r="F225" i="8"/>
  <c r="F226" i="8"/>
  <c r="I226" i="8" s="1"/>
  <c r="F227" i="8"/>
  <c r="F228" i="8"/>
  <c r="I228" i="8" s="1"/>
  <c r="F229" i="8"/>
  <c r="I229" i="8" s="1"/>
  <c r="M229" i="8" s="1"/>
  <c r="F230" i="8"/>
  <c r="F231" i="8"/>
  <c r="F232" i="8"/>
  <c r="I232" i="8" s="1"/>
  <c r="M232" i="8" s="1"/>
  <c r="F233" i="8"/>
  <c r="I233" i="8" s="1"/>
  <c r="F234" i="8"/>
  <c r="I234" i="8" s="1"/>
  <c r="F235" i="8"/>
  <c r="I235" i="8" s="1"/>
  <c r="F236" i="8"/>
  <c r="I236" i="8" s="1"/>
  <c r="N236" i="8" s="1"/>
  <c r="U236" i="8" s="1" a="1"/>
  <c r="U236" i="8" s="1"/>
  <c r="F237" i="8"/>
  <c r="I237" i="8" s="1"/>
  <c r="M237" i="8" s="1"/>
  <c r="F238" i="8"/>
  <c r="F239" i="8"/>
  <c r="F240" i="8"/>
  <c r="F241" i="8"/>
  <c r="F242" i="8"/>
  <c r="I242" i="8" s="1"/>
  <c r="F243" i="8"/>
  <c r="I243" i="8" s="1"/>
  <c r="M243" i="8" s="1"/>
  <c r="F244" i="8"/>
  <c r="I244" i="8" s="1"/>
  <c r="F245" i="8"/>
  <c r="I245" i="8" s="1"/>
  <c r="M245" i="8" s="1"/>
  <c r="F246" i="8"/>
  <c r="F247" i="8"/>
  <c r="F248" i="8"/>
  <c r="I248" i="8" s="1"/>
  <c r="M248" i="8" s="1"/>
  <c r="F249" i="8"/>
  <c r="I249" i="8" s="1"/>
  <c r="F250" i="8"/>
  <c r="I250" i="8" s="1"/>
  <c r="F251" i="8"/>
  <c r="F252" i="8"/>
  <c r="I252" i="8" s="1"/>
  <c r="F253" i="8"/>
  <c r="I253" i="8" s="1"/>
  <c r="M253" i="8" s="1"/>
  <c r="F254" i="8"/>
  <c r="F255" i="8"/>
  <c r="F256" i="8"/>
  <c r="I256" i="8" s="1"/>
  <c r="M256" i="8" s="1"/>
  <c r="F257" i="8"/>
  <c r="I257" i="8" s="1"/>
  <c r="F258" i="8"/>
  <c r="I258" i="8" s="1"/>
  <c r="N258" i="8" s="1"/>
  <c r="U258" i="8" s="1" a="1"/>
  <c r="U258" i="8" s="1"/>
  <c r="F259" i="8"/>
  <c r="I259" i="8" s="1"/>
  <c r="M259" i="8" s="1"/>
  <c r="F260" i="8"/>
  <c r="F261" i="8"/>
  <c r="I261" i="8" s="1"/>
  <c r="M261" i="8" s="1"/>
  <c r="F262" i="8"/>
  <c r="F263" i="8"/>
  <c r="F264" i="8"/>
  <c r="I264" i="8" s="1"/>
  <c r="M264" i="8" s="1"/>
  <c r="F265" i="8"/>
  <c r="I265" i="8" s="1"/>
  <c r="F266" i="8"/>
  <c r="I266" i="8" s="1"/>
  <c r="F267" i="8"/>
  <c r="I267" i="8" s="1"/>
  <c r="M267" i="8" s="1"/>
  <c r="F268" i="8"/>
  <c r="F269" i="8"/>
  <c r="I269" i="8" s="1"/>
  <c r="F270" i="8"/>
  <c r="F271" i="8"/>
  <c r="F272" i="8"/>
  <c r="I272" i="8" s="1"/>
  <c r="M272" i="8" s="1"/>
  <c r="F273" i="8"/>
  <c r="F274" i="8"/>
  <c r="I274" i="8" s="1"/>
  <c r="F275" i="8"/>
  <c r="I275" i="8" s="1"/>
  <c r="M275" i="8" s="1"/>
  <c r="F276" i="8"/>
  <c r="F277" i="8"/>
  <c r="I277" i="8" s="1"/>
  <c r="M277" i="8" s="1"/>
  <c r="F278" i="8"/>
  <c r="F279" i="8"/>
  <c r="F280" i="8"/>
  <c r="I280" i="8" s="1"/>
  <c r="M280" i="8" s="1"/>
  <c r="F281" i="8"/>
  <c r="I281" i="8" s="1"/>
  <c r="F282" i="8"/>
  <c r="I282" i="8" s="1"/>
  <c r="F283" i="8"/>
  <c r="I283" i="8" s="1"/>
  <c r="M283" i="8" s="1"/>
  <c r="F284" i="8"/>
  <c r="F285" i="8"/>
  <c r="I285" i="8" s="1"/>
  <c r="M285" i="8" s="1"/>
  <c r="F286" i="8"/>
  <c r="F287" i="8"/>
  <c r="F288" i="8"/>
  <c r="I288" i="8" s="1"/>
  <c r="F289" i="8"/>
  <c r="I289" i="8" s="1"/>
  <c r="N289" i="8" s="1"/>
  <c r="U289" i="8" s="1" a="1"/>
  <c r="U289" i="8" s="1"/>
  <c r="F290" i="8"/>
  <c r="I290" i="8" s="1"/>
  <c r="F291" i="8"/>
  <c r="I291" i="8" s="1"/>
  <c r="M291" i="8" s="1"/>
  <c r="F292" i="8"/>
  <c r="F293" i="8"/>
  <c r="I293" i="8" s="1"/>
  <c r="M293" i="8" s="1"/>
  <c r="F294" i="8"/>
  <c r="F295" i="8"/>
  <c r="F296" i="8"/>
  <c r="I296" i="8" s="1"/>
  <c r="F297" i="8"/>
  <c r="F298" i="8"/>
  <c r="I298" i="8" s="1"/>
  <c r="N298" i="8" s="1"/>
  <c r="U298" i="8" s="1" a="1"/>
  <c r="U298" i="8" s="1"/>
  <c r="F299" i="8"/>
  <c r="I299" i="8" s="1"/>
  <c r="M299" i="8" s="1"/>
  <c r="F300" i="8"/>
  <c r="F301" i="8"/>
  <c r="I301" i="8" s="1"/>
  <c r="M301" i="8" s="1"/>
  <c r="F302" i="8"/>
  <c r="F303" i="8"/>
  <c r="F304" i="8"/>
  <c r="F305" i="8"/>
  <c r="I305" i="8" s="1"/>
  <c r="M305" i="8" s="1"/>
  <c r="F306" i="8"/>
  <c r="I306" i="8" s="1"/>
  <c r="F307" i="8"/>
  <c r="I307" i="8" s="1"/>
  <c r="F308" i="8"/>
  <c r="F309" i="8"/>
  <c r="I309" i="8" s="1"/>
  <c r="N309" i="8" s="1"/>
  <c r="U309" i="8" s="1" a="1"/>
  <c r="U309" i="8" s="1"/>
  <c r="F310" i="8"/>
  <c r="F311" i="8"/>
  <c r="F312" i="8"/>
  <c r="I312" i="8" s="1"/>
  <c r="M312" i="8" s="1"/>
  <c r="F313" i="8"/>
  <c r="I313" i="8" s="1"/>
  <c r="M313" i="8" s="1"/>
  <c r="F314" i="8"/>
  <c r="I314" i="8" s="1"/>
  <c r="F315" i="8"/>
  <c r="I315" i="8" s="1"/>
  <c r="M315" i="8" s="1"/>
  <c r="F316" i="8"/>
  <c r="F317" i="8"/>
  <c r="I317" i="8" s="1"/>
  <c r="M317" i="8" s="1"/>
  <c r="F318" i="8"/>
  <c r="F319" i="8"/>
  <c r="F320" i="8"/>
  <c r="I320" i="8" s="1"/>
  <c r="N320" i="8" s="1"/>
  <c r="U320" i="8" s="1" a="1"/>
  <c r="U320" i="8" s="1"/>
  <c r="F321" i="8"/>
  <c r="F322" i="8"/>
  <c r="I322" i="8" s="1"/>
  <c r="F323" i="8"/>
  <c r="I323" i="8" s="1"/>
  <c r="M323" i="8" s="1"/>
  <c r="F324" i="8"/>
  <c r="F325" i="8"/>
  <c r="I325" i="8" s="1"/>
  <c r="M325" i="8" s="1"/>
  <c r="F326" i="8"/>
  <c r="F327" i="8"/>
  <c r="F328" i="8"/>
  <c r="I328" i="8" s="1"/>
  <c r="M328" i="8" s="1"/>
  <c r="F329" i="8"/>
  <c r="I329" i="8" s="1"/>
  <c r="F330" i="8"/>
  <c r="I330" i="8" s="1"/>
  <c r="F331" i="8"/>
  <c r="I331" i="8" s="1"/>
  <c r="M331" i="8" s="1"/>
  <c r="F332" i="8"/>
  <c r="F333" i="8"/>
  <c r="I333" i="8" s="1"/>
  <c r="M333" i="8" s="1"/>
  <c r="F334" i="8"/>
  <c r="F335" i="8"/>
  <c r="F336" i="8"/>
  <c r="I336" i="8" s="1"/>
  <c r="M336" i="8" s="1"/>
  <c r="F337" i="8"/>
  <c r="F338" i="8"/>
  <c r="I338" i="8" s="1"/>
  <c r="F339" i="8"/>
  <c r="I339" i="8" s="1"/>
  <c r="M339" i="8" s="1"/>
  <c r="F340" i="8"/>
  <c r="F341" i="8"/>
  <c r="I341" i="8" s="1"/>
  <c r="M341" i="8" s="1"/>
  <c r="F342" i="8"/>
  <c r="F343" i="8"/>
  <c r="F344" i="8"/>
  <c r="I344" i="8" s="1"/>
  <c r="F345" i="8"/>
  <c r="I345" i="8" s="1"/>
  <c r="F346" i="8"/>
  <c r="I346" i="8" s="1"/>
  <c r="F347" i="8"/>
  <c r="I347" i="8" s="1"/>
  <c r="N347" i="8" s="1"/>
  <c r="U347" i="8" s="1" a="1"/>
  <c r="U347" i="8" s="1"/>
  <c r="F348" i="8"/>
  <c r="F349" i="8"/>
  <c r="I349" i="8" s="1"/>
  <c r="N349" i="8" s="1"/>
  <c r="U349" i="8" s="1" a="1"/>
  <c r="U349" i="8" s="1"/>
  <c r="F350" i="8"/>
  <c r="F351" i="8"/>
  <c r="F352" i="8"/>
  <c r="I352" i="8" s="1"/>
  <c r="M352" i="8" s="1"/>
  <c r="F353" i="8"/>
  <c r="I353" i="8" s="1"/>
  <c r="N353" i="8" s="1"/>
  <c r="U353" i="8" s="1" a="1"/>
  <c r="U353" i="8" s="1"/>
  <c r="F354" i="8"/>
  <c r="I354" i="8" s="1"/>
  <c r="N354" i="8" s="1"/>
  <c r="U354" i="8" s="1" a="1"/>
  <c r="U354" i="8" s="1"/>
  <c r="F355" i="8"/>
  <c r="I355" i="8" s="1"/>
  <c r="M355" i="8" s="1"/>
  <c r="F356" i="8"/>
  <c r="F357" i="8"/>
  <c r="I357" i="8" s="1"/>
  <c r="M357" i="8" s="1"/>
  <c r="F358" i="8"/>
  <c r="F359" i="8"/>
  <c r="F360" i="8"/>
  <c r="I360" i="8" s="1"/>
  <c r="F361" i="8"/>
  <c r="F362" i="8"/>
  <c r="I362" i="8" s="1"/>
  <c r="F363" i="8"/>
  <c r="I363" i="8" s="1"/>
  <c r="M363" i="8" s="1"/>
  <c r="F364" i="8"/>
  <c r="F365" i="8"/>
  <c r="I365" i="8" s="1"/>
  <c r="M365" i="8" s="1"/>
  <c r="F366" i="8"/>
  <c r="F367" i="8"/>
  <c r="F368" i="8"/>
  <c r="I368" i="8" s="1"/>
  <c r="F369" i="8"/>
  <c r="F370" i="8"/>
  <c r="I370" i="8" s="1"/>
  <c r="F371" i="8"/>
  <c r="F372" i="8"/>
  <c r="F373" i="8"/>
  <c r="I373" i="8" s="1"/>
  <c r="M373" i="8" s="1"/>
  <c r="F374" i="8"/>
  <c r="F375" i="8"/>
  <c r="F376" i="8"/>
  <c r="I376" i="8" s="1"/>
  <c r="M376" i="8" s="1"/>
  <c r="F377" i="8"/>
  <c r="I377" i="8" s="1"/>
  <c r="F378" i="8"/>
  <c r="I378" i="8" s="1"/>
  <c r="F379" i="8"/>
  <c r="I379" i="8" s="1"/>
  <c r="M379" i="8" s="1"/>
  <c r="F380" i="8"/>
  <c r="F381" i="8"/>
  <c r="I381" i="8" s="1"/>
  <c r="M381" i="8" s="1"/>
  <c r="F382" i="8"/>
  <c r="F383" i="8"/>
  <c r="F384" i="8"/>
  <c r="I384" i="8" s="1"/>
  <c r="M384" i="8" s="1"/>
  <c r="F385" i="8"/>
  <c r="I385" i="8" s="1"/>
  <c r="F386" i="8"/>
  <c r="I386" i="8" s="1"/>
  <c r="F387" i="8"/>
  <c r="F388" i="8"/>
  <c r="F389" i="8"/>
  <c r="I389" i="8" s="1"/>
  <c r="F390" i="8"/>
  <c r="F391" i="8"/>
  <c r="F392" i="8"/>
  <c r="I392" i="8" s="1"/>
  <c r="M392" i="8" s="1"/>
  <c r="F393" i="8"/>
  <c r="I393" i="8" s="1"/>
  <c r="N393" i="8" s="1"/>
  <c r="U393" i="8" s="1" a="1"/>
  <c r="U393" i="8" s="1"/>
  <c r="F394" i="8"/>
  <c r="I394" i="8" s="1"/>
  <c r="N394" i="8" s="1"/>
  <c r="U394" i="8" s="1" a="1"/>
  <c r="U394" i="8" s="1"/>
  <c r="F395" i="8"/>
  <c r="I395" i="8" s="1"/>
  <c r="F396" i="8"/>
  <c r="F397" i="8"/>
  <c r="I397" i="8" s="1"/>
  <c r="M397" i="8" s="1"/>
  <c r="F398" i="8"/>
  <c r="F399" i="8"/>
  <c r="F400" i="8"/>
  <c r="I400" i="8" s="1"/>
  <c r="F401" i="8"/>
  <c r="I401" i="8" s="1"/>
  <c r="F402" i="8"/>
  <c r="I402" i="8" s="1"/>
  <c r="F403" i="8"/>
  <c r="F404" i="8"/>
  <c r="F405" i="8"/>
  <c r="I405" i="8" s="1"/>
  <c r="M405" i="8" s="1"/>
  <c r="F406" i="8"/>
  <c r="F407" i="8"/>
  <c r="F408" i="8"/>
  <c r="I408" i="8" s="1"/>
  <c r="F409" i="8"/>
  <c r="I409" i="8" s="1"/>
  <c r="F410" i="8"/>
  <c r="I410" i="8" s="1"/>
  <c r="F411" i="8"/>
  <c r="I411" i="8" s="1"/>
  <c r="F412" i="8"/>
  <c r="F413" i="8"/>
  <c r="I413" i="8" s="1"/>
  <c r="N413" i="8" s="1"/>
  <c r="U413" i="8" s="1" a="1"/>
  <c r="U413" i="8" s="1"/>
  <c r="F414" i="8"/>
  <c r="F415" i="8"/>
  <c r="F416" i="8"/>
  <c r="I416" i="8" s="1"/>
  <c r="M416" i="8" s="1"/>
  <c r="F417" i="8"/>
  <c r="I417" i="8" s="1"/>
  <c r="F418" i="8"/>
  <c r="I418" i="8" s="1"/>
  <c r="N418" i="8" s="1"/>
  <c r="U418" i="8" s="1" a="1"/>
  <c r="U418" i="8" s="1"/>
  <c r="F419" i="8"/>
  <c r="F420" i="8"/>
  <c r="F421" i="8"/>
  <c r="I421" i="8" s="1"/>
  <c r="M421" i="8" s="1"/>
  <c r="F422" i="8"/>
  <c r="F423" i="8"/>
  <c r="F424" i="8"/>
  <c r="I424" i="8" s="1"/>
  <c r="M424" i="8" s="1"/>
  <c r="F425" i="8"/>
  <c r="I425" i="8" s="1"/>
  <c r="F426" i="8"/>
  <c r="I426" i="8" s="1"/>
  <c r="F427" i="8"/>
  <c r="I427" i="8" s="1"/>
  <c r="M427" i="8" s="1"/>
  <c r="F428" i="8"/>
  <c r="F429" i="8"/>
  <c r="I429" i="8" s="1"/>
  <c r="M429" i="8" s="1"/>
  <c r="F430" i="8"/>
  <c r="F431" i="8"/>
  <c r="F432" i="8"/>
  <c r="I432" i="8" s="1"/>
  <c r="M432" i="8" s="1"/>
  <c r="F433" i="8"/>
  <c r="F434" i="8"/>
  <c r="I434" i="8" s="1"/>
  <c r="N434" i="8" s="1"/>
  <c r="U434" i="8" s="1" a="1"/>
  <c r="U434" i="8" s="1"/>
  <c r="F435" i="8"/>
  <c r="I435" i="8" s="1"/>
  <c r="F436" i="8"/>
  <c r="F437" i="8"/>
  <c r="I437" i="8" s="1"/>
  <c r="M437" i="8" s="1"/>
  <c r="F438" i="8"/>
  <c r="F439" i="8"/>
  <c r="F440" i="8"/>
  <c r="I440" i="8" s="1"/>
  <c r="F441" i="8"/>
  <c r="I441" i="8" s="1"/>
  <c r="N441" i="8" s="1"/>
  <c r="U441" i="8" s="1" a="1"/>
  <c r="U441" i="8" s="1"/>
  <c r="F442" i="8"/>
  <c r="I442" i="8" s="1"/>
  <c r="F443" i="8"/>
  <c r="I443" i="8" s="1"/>
  <c r="M443" i="8" s="1"/>
  <c r="F444" i="8"/>
  <c r="F445" i="8"/>
  <c r="I445" i="8" s="1"/>
  <c r="F446" i="8"/>
  <c r="F447" i="8"/>
  <c r="I447" i="8" s="1"/>
  <c r="F448" i="8"/>
  <c r="I448" i="8" s="1"/>
  <c r="N448" i="8" s="1"/>
  <c r="U448" i="8" s="1" a="1"/>
  <c r="U448" i="8" s="1"/>
  <c r="F449" i="8"/>
  <c r="I449" i="8" s="1"/>
  <c r="N449" i="8" s="1"/>
  <c r="U449" i="8" s="1" a="1"/>
  <c r="U449" i="8" s="1"/>
  <c r="F450" i="8"/>
  <c r="I450" i="8" s="1"/>
  <c r="N450" i="8" s="1"/>
  <c r="U450" i="8" s="1" a="1"/>
  <c r="U450" i="8" s="1"/>
  <c r="F451" i="8"/>
  <c r="F452" i="8"/>
  <c r="F453" i="8"/>
  <c r="I453" i="8" s="1"/>
  <c r="M453" i="8" s="1"/>
  <c r="F454" i="8"/>
  <c r="F455" i="8"/>
  <c r="I455" i="8" s="1"/>
  <c r="F456" i="8"/>
  <c r="I456" i="8" s="1"/>
  <c r="F457" i="8"/>
  <c r="F458" i="8"/>
  <c r="I458" i="8" s="1"/>
  <c r="F459" i="8"/>
  <c r="F460" i="8"/>
  <c r="F461" i="8"/>
  <c r="I461" i="8" s="1"/>
  <c r="M461" i="8" s="1"/>
  <c r="F462" i="8"/>
  <c r="F463" i="8"/>
  <c r="I463" i="8" s="1"/>
  <c r="M463" i="8" s="1"/>
  <c r="F464" i="8"/>
  <c r="I464" i="8" s="1"/>
  <c r="M464" i="8" s="1"/>
  <c r="F465" i="8"/>
  <c r="I465" i="8" s="1"/>
  <c r="F466" i="8"/>
  <c r="I466" i="8" s="1"/>
  <c r="F467" i="8"/>
  <c r="F468" i="8"/>
  <c r="F469" i="8"/>
  <c r="I469" i="8" s="1"/>
  <c r="F470" i="8"/>
  <c r="F471" i="8"/>
  <c r="I471" i="8" s="1"/>
  <c r="F472" i="8"/>
  <c r="I472" i="8" s="1"/>
  <c r="M472" i="8" s="1"/>
  <c r="F473" i="8"/>
  <c r="I473" i="8" s="1"/>
  <c r="F474" i="8"/>
  <c r="I474" i="8" s="1"/>
  <c r="F475" i="8"/>
  <c r="F476" i="8"/>
  <c r="F477" i="8"/>
  <c r="I477" i="8" s="1"/>
  <c r="M477" i="8" s="1"/>
  <c r="F478" i="8"/>
  <c r="F479" i="8"/>
  <c r="I479" i="8" s="1"/>
  <c r="M479" i="8" s="1"/>
  <c r="F480" i="8"/>
  <c r="I480" i="8" s="1"/>
  <c r="F481" i="8"/>
  <c r="I481" i="8" s="1"/>
  <c r="F482" i="8"/>
  <c r="I482" i="8" s="1"/>
  <c r="F483" i="8"/>
  <c r="F484" i="8"/>
  <c r="F485" i="8"/>
  <c r="I485" i="8" s="1"/>
  <c r="F486" i="8"/>
  <c r="F487" i="8"/>
  <c r="I487" i="8" s="1"/>
  <c r="M487" i="8" s="1"/>
  <c r="F488" i="8"/>
  <c r="F489" i="8"/>
  <c r="I489" i="8" s="1"/>
  <c r="N489" i="8" s="1"/>
  <c r="U489" i="8" s="1" a="1"/>
  <c r="U489" i="8" s="1"/>
  <c r="F490" i="8"/>
  <c r="I490" i="8" s="1"/>
  <c r="F491" i="8"/>
  <c r="F492" i="8"/>
  <c r="F493" i="8"/>
  <c r="I493" i="8" s="1"/>
  <c r="M493" i="8" s="1"/>
  <c r="F494" i="8"/>
  <c r="F495" i="8"/>
  <c r="I495" i="8" s="1"/>
  <c r="F496" i="8"/>
  <c r="I496" i="8" s="1"/>
  <c r="M496" i="8" s="1"/>
  <c r="F497" i="8"/>
  <c r="I497" i="8" s="1"/>
  <c r="F498" i="8"/>
  <c r="I498" i="8" s="1"/>
  <c r="N498" i="8" s="1"/>
  <c r="U498" i="8" s="1" a="1"/>
  <c r="U498" i="8" s="1"/>
  <c r="F499" i="8"/>
  <c r="F500" i="8"/>
  <c r="F501" i="8"/>
  <c r="I501" i="8" s="1"/>
  <c r="M501" i="8" s="1"/>
  <c r="F502" i="8"/>
  <c r="F503" i="8"/>
  <c r="I503" i="8" s="1"/>
  <c r="F504" i="8"/>
  <c r="I504" i="8" s="1"/>
  <c r="M504" i="8" s="1"/>
  <c r="F505" i="8"/>
  <c r="F506" i="8"/>
  <c r="I506" i="8" s="1"/>
  <c r="F507" i="8"/>
  <c r="F508" i="8"/>
  <c r="F509" i="8"/>
  <c r="I509" i="8" s="1"/>
  <c r="F510" i="8"/>
  <c r="I510" i="8" s="1"/>
  <c r="N510" i="8" s="1"/>
  <c r="U510" i="8" s="1" a="1"/>
  <c r="U510" i="8" s="1"/>
  <c r="F511" i="8"/>
  <c r="I511" i="8" s="1"/>
  <c r="F512" i="8"/>
  <c r="I512" i="8" s="1"/>
  <c r="N512" i="8" s="1"/>
  <c r="U512" i="8" s="1" a="1"/>
  <c r="U512" i="8" s="1"/>
  <c r="F513" i="8"/>
  <c r="F514" i="8"/>
  <c r="I514" i="8" s="1"/>
  <c r="N514" i="8" s="1"/>
  <c r="U514" i="8" s="1" a="1"/>
  <c r="U514" i="8" s="1"/>
  <c r="F515" i="8"/>
  <c r="I515" i="8" s="1"/>
  <c r="F516" i="8"/>
  <c r="F517" i="8"/>
  <c r="I517" i="8" s="1"/>
  <c r="M517" i="8" s="1"/>
  <c r="F518" i="8"/>
  <c r="I518" i="8" s="1"/>
  <c r="F519" i="8"/>
  <c r="F520" i="8"/>
  <c r="I520" i="8" s="1"/>
  <c r="F521" i="8"/>
  <c r="I521" i="8" s="1"/>
  <c r="F522" i="8"/>
  <c r="I522" i="8" s="1"/>
  <c r="F523" i="8"/>
  <c r="I523" i="8" s="1"/>
  <c r="F524" i="8"/>
  <c r="F525" i="8"/>
  <c r="I525" i="8" s="1"/>
  <c r="M525" i="8" s="1"/>
  <c r="F526" i="8"/>
  <c r="I526" i="8" s="1"/>
  <c r="F527" i="8"/>
  <c r="F528" i="8"/>
  <c r="F529" i="8"/>
  <c r="I529" i="8" s="1"/>
  <c r="F530" i="8"/>
  <c r="I530" i="8" s="1"/>
  <c r="N530" i="8" s="1"/>
  <c r="U530" i="8" s="1" a="1"/>
  <c r="U530" i="8" s="1"/>
  <c r="F531" i="8"/>
  <c r="I531" i="8" s="1"/>
  <c r="F532" i="8"/>
  <c r="F533" i="8"/>
  <c r="I533" i="8" s="1"/>
  <c r="F534" i="8"/>
  <c r="F535" i="8"/>
  <c r="F536" i="8"/>
  <c r="F537" i="8"/>
  <c r="I537" i="8" s="1"/>
  <c r="M537" i="8" s="1"/>
  <c r="F538" i="8"/>
  <c r="I538" i="8" s="1"/>
  <c r="M538" i="8" s="1"/>
  <c r="F539" i="8"/>
  <c r="F540" i="8"/>
  <c r="F541" i="8"/>
  <c r="I541" i="8" s="1"/>
  <c r="N541" i="8" s="1"/>
  <c r="U541" i="8" s="1" a="1"/>
  <c r="U541" i="8" s="1"/>
  <c r="F542" i="8"/>
  <c r="F543" i="8"/>
  <c r="F544" i="8"/>
  <c r="I544" i="8" s="1"/>
  <c r="M544" i="8" s="1"/>
  <c r="F545" i="8"/>
  <c r="I545" i="8" s="1"/>
  <c r="F546" i="8"/>
  <c r="I546" i="8" s="1"/>
  <c r="F547" i="8"/>
  <c r="I547" i="8" s="1"/>
  <c r="M547" i="8" s="1"/>
  <c r="F548" i="8"/>
  <c r="I548" i="8" s="1"/>
  <c r="M548" i="8" s="1"/>
  <c r="F549" i="8"/>
  <c r="I549" i="8" s="1"/>
  <c r="F550" i="8"/>
  <c r="F551" i="8"/>
  <c r="F552" i="8"/>
  <c r="I552" i="8" s="1"/>
  <c r="F553" i="8"/>
  <c r="I553" i="8" s="1"/>
  <c r="N553" i="8" s="1"/>
  <c r="U553" i="8" s="1" a="1"/>
  <c r="U553" i="8" s="1"/>
  <c r="F554" i="8"/>
  <c r="I554" i="8" s="1"/>
  <c r="F555" i="8"/>
  <c r="F556" i="8"/>
  <c r="I556" i="8" s="1"/>
  <c r="M556" i="8" s="1"/>
  <c r="F557" i="8"/>
  <c r="I557" i="8" s="1"/>
  <c r="F558" i="8"/>
  <c r="F559" i="8"/>
  <c r="F560" i="8"/>
  <c r="I560" i="8" s="1"/>
  <c r="N560" i="8" s="1"/>
  <c r="U560" i="8" s="1" a="1"/>
  <c r="U560" i="8" s="1"/>
  <c r="F561" i="8"/>
  <c r="I561" i="8" s="1"/>
  <c r="F562" i="8"/>
  <c r="I562" i="8" s="1"/>
  <c r="M562" i="8" s="1"/>
  <c r="F563" i="8"/>
  <c r="I563" i="8" s="1"/>
  <c r="M563" i="8" s="1"/>
  <c r="F564" i="8"/>
  <c r="I564" i="8" s="1"/>
  <c r="M564" i="8" s="1"/>
  <c r="F565" i="8"/>
  <c r="I565" i="8" s="1"/>
  <c r="F566" i="8"/>
  <c r="F567" i="8"/>
  <c r="F568" i="8"/>
  <c r="F569" i="8"/>
  <c r="I569" i="8" s="1"/>
  <c r="F570" i="8"/>
  <c r="I570" i="8" s="1"/>
  <c r="F571" i="8"/>
  <c r="I571" i="8" s="1"/>
  <c r="F572" i="8"/>
  <c r="I572" i="8" s="1"/>
  <c r="M572" i="8" s="1"/>
  <c r="F573" i="8"/>
  <c r="I573" i="8" s="1"/>
  <c r="F574" i="8"/>
  <c r="F575" i="8"/>
  <c r="F576" i="8"/>
  <c r="I576" i="8" s="1"/>
  <c r="M576" i="8" s="1"/>
  <c r="F577" i="8"/>
  <c r="I577" i="8" s="1"/>
  <c r="F578" i="8"/>
  <c r="I578" i="8" s="1"/>
  <c r="M578" i="8" s="1"/>
  <c r="F579" i="8"/>
  <c r="I579" i="8" s="1"/>
  <c r="M579" i="8" s="1"/>
  <c r="F580" i="8"/>
  <c r="I580" i="8" s="1"/>
  <c r="M580" i="8" s="1"/>
  <c r="F581" i="8"/>
  <c r="I581" i="8" s="1"/>
  <c r="F582" i="8"/>
  <c r="F583" i="8"/>
  <c r="I2" i="8"/>
  <c r="T578" i="8"/>
  <c r="T579" i="8"/>
  <c r="T580" i="8"/>
  <c r="T581" i="8"/>
  <c r="T582" i="8"/>
  <c r="T583" i="8"/>
  <c r="T577" i="8"/>
  <c r="T3" i="8"/>
  <c r="T4" i="8"/>
  <c r="T5" i="8"/>
  <c r="T6" i="8"/>
  <c r="T7" i="8"/>
  <c r="T8" i="8"/>
  <c r="T9" i="8"/>
  <c r="T10" i="8"/>
  <c r="T11" i="8"/>
  <c r="T12" i="8"/>
  <c r="T13" i="8"/>
  <c r="T14" i="8"/>
  <c r="T15" i="8"/>
  <c r="T16" i="8"/>
  <c r="T17" i="8"/>
  <c r="T18" i="8"/>
  <c r="T19" i="8"/>
  <c r="T20" i="8"/>
  <c r="T21" i="8"/>
  <c r="T22" i="8"/>
  <c r="T23" i="8"/>
  <c r="T24" i="8"/>
  <c r="T25" i="8"/>
  <c r="T26" i="8"/>
  <c r="T27" i="8"/>
  <c r="T28" i="8"/>
  <c r="T29" i="8"/>
  <c r="T30" i="8"/>
  <c r="T31" i="8"/>
  <c r="T32" i="8"/>
  <c r="T33" i="8"/>
  <c r="T34" i="8"/>
  <c r="T35" i="8"/>
  <c r="T36" i="8"/>
  <c r="T37" i="8"/>
  <c r="T38" i="8"/>
  <c r="T39" i="8"/>
  <c r="T40" i="8"/>
  <c r="T41" i="8"/>
  <c r="T42" i="8"/>
  <c r="T43" i="8"/>
  <c r="T44" i="8"/>
  <c r="T45" i="8"/>
  <c r="T46" i="8"/>
  <c r="T47" i="8"/>
  <c r="T48" i="8"/>
  <c r="T49" i="8"/>
  <c r="T50" i="8"/>
  <c r="T51" i="8"/>
  <c r="T52" i="8"/>
  <c r="T53" i="8"/>
  <c r="T54" i="8"/>
  <c r="T55" i="8"/>
  <c r="T56" i="8"/>
  <c r="T57" i="8"/>
  <c r="T58" i="8"/>
  <c r="T59" i="8"/>
  <c r="T60" i="8"/>
  <c r="T61" i="8"/>
  <c r="T62" i="8"/>
  <c r="T63" i="8"/>
  <c r="T64" i="8"/>
  <c r="T65" i="8"/>
  <c r="T66" i="8"/>
  <c r="T67" i="8"/>
  <c r="T68" i="8"/>
  <c r="T69" i="8"/>
  <c r="T70" i="8"/>
  <c r="T71" i="8"/>
  <c r="T72" i="8"/>
  <c r="T73" i="8"/>
  <c r="T74" i="8"/>
  <c r="T75" i="8"/>
  <c r="T76" i="8"/>
  <c r="T77" i="8"/>
  <c r="T78" i="8"/>
  <c r="T79" i="8"/>
  <c r="T80" i="8"/>
  <c r="T81" i="8"/>
  <c r="T82" i="8"/>
  <c r="T83" i="8"/>
  <c r="T84" i="8"/>
  <c r="T85" i="8"/>
  <c r="T86" i="8"/>
  <c r="T87" i="8"/>
  <c r="T88" i="8"/>
  <c r="T89" i="8"/>
  <c r="T90" i="8"/>
  <c r="T91" i="8"/>
  <c r="T92" i="8"/>
  <c r="T93" i="8"/>
  <c r="T94" i="8"/>
  <c r="T95" i="8"/>
  <c r="T96" i="8"/>
  <c r="T97" i="8"/>
  <c r="T98" i="8"/>
  <c r="T99" i="8"/>
  <c r="T100" i="8"/>
  <c r="T101" i="8"/>
  <c r="T102" i="8"/>
  <c r="T103" i="8"/>
  <c r="T104" i="8"/>
  <c r="T105" i="8"/>
  <c r="T106" i="8"/>
  <c r="T107" i="8"/>
  <c r="T108" i="8"/>
  <c r="T109" i="8"/>
  <c r="T110" i="8"/>
  <c r="T111" i="8"/>
  <c r="T112" i="8"/>
  <c r="T113" i="8"/>
  <c r="T114" i="8"/>
  <c r="T115" i="8"/>
  <c r="T116" i="8"/>
  <c r="T117" i="8"/>
  <c r="T118" i="8"/>
  <c r="T119" i="8"/>
  <c r="T120" i="8"/>
  <c r="T121" i="8"/>
  <c r="T122" i="8"/>
  <c r="T123" i="8"/>
  <c r="T124" i="8"/>
  <c r="T125" i="8"/>
  <c r="T126" i="8"/>
  <c r="T127" i="8"/>
  <c r="T128" i="8"/>
  <c r="T129" i="8"/>
  <c r="T130" i="8"/>
  <c r="T131" i="8"/>
  <c r="T132" i="8"/>
  <c r="T133" i="8"/>
  <c r="T134" i="8"/>
  <c r="T135" i="8"/>
  <c r="T136" i="8"/>
  <c r="T137" i="8"/>
  <c r="T138" i="8"/>
  <c r="T139" i="8"/>
  <c r="T140" i="8"/>
  <c r="T141" i="8"/>
  <c r="T142" i="8"/>
  <c r="T143" i="8"/>
  <c r="T144" i="8"/>
  <c r="T145" i="8"/>
  <c r="T146" i="8"/>
  <c r="T147" i="8"/>
  <c r="T148" i="8"/>
  <c r="T149" i="8"/>
  <c r="T150" i="8"/>
  <c r="T151" i="8"/>
  <c r="T152" i="8"/>
  <c r="T153" i="8"/>
  <c r="T154" i="8"/>
  <c r="T155" i="8"/>
  <c r="T156" i="8"/>
  <c r="T157" i="8"/>
  <c r="T158" i="8"/>
  <c r="T159" i="8"/>
  <c r="T160" i="8"/>
  <c r="T161" i="8"/>
  <c r="T162" i="8"/>
  <c r="T163" i="8"/>
  <c r="T164" i="8"/>
  <c r="T165" i="8"/>
  <c r="T166" i="8"/>
  <c r="T167" i="8"/>
  <c r="T168" i="8"/>
  <c r="T169" i="8"/>
  <c r="T170" i="8"/>
  <c r="T171" i="8"/>
  <c r="T172" i="8"/>
  <c r="T173" i="8"/>
  <c r="T174" i="8"/>
  <c r="T175" i="8"/>
  <c r="T176" i="8"/>
  <c r="T177" i="8"/>
  <c r="T178" i="8"/>
  <c r="T179" i="8"/>
  <c r="T180" i="8"/>
  <c r="T181" i="8"/>
  <c r="T182" i="8"/>
  <c r="T183" i="8"/>
  <c r="T184" i="8"/>
  <c r="T185" i="8"/>
  <c r="T186" i="8"/>
  <c r="T187" i="8"/>
  <c r="T188" i="8"/>
  <c r="T189" i="8"/>
  <c r="T190" i="8"/>
  <c r="T191" i="8"/>
  <c r="T192" i="8"/>
  <c r="T193" i="8"/>
  <c r="T194" i="8"/>
  <c r="T195" i="8"/>
  <c r="T196" i="8"/>
  <c r="T197" i="8"/>
  <c r="T198" i="8"/>
  <c r="T199" i="8"/>
  <c r="T200" i="8"/>
  <c r="T201" i="8"/>
  <c r="T202" i="8"/>
  <c r="T203" i="8"/>
  <c r="T204" i="8"/>
  <c r="T205" i="8"/>
  <c r="T206" i="8"/>
  <c r="T207" i="8"/>
  <c r="T208" i="8"/>
  <c r="T209" i="8"/>
  <c r="T210" i="8"/>
  <c r="T211" i="8"/>
  <c r="T212" i="8"/>
  <c r="T213" i="8"/>
  <c r="T214" i="8"/>
  <c r="T215" i="8"/>
  <c r="T216" i="8"/>
  <c r="T217" i="8"/>
  <c r="T218" i="8"/>
  <c r="T219" i="8"/>
  <c r="T220" i="8"/>
  <c r="T221" i="8"/>
  <c r="T222" i="8"/>
  <c r="T223" i="8"/>
  <c r="T224" i="8"/>
  <c r="T225" i="8"/>
  <c r="T226" i="8"/>
  <c r="T227" i="8"/>
  <c r="T228" i="8"/>
  <c r="T229" i="8"/>
  <c r="T230" i="8"/>
  <c r="T231" i="8"/>
  <c r="T232" i="8"/>
  <c r="T233" i="8"/>
  <c r="T234" i="8"/>
  <c r="T235" i="8"/>
  <c r="T236" i="8"/>
  <c r="T237" i="8"/>
  <c r="T238" i="8"/>
  <c r="T239" i="8"/>
  <c r="T240" i="8"/>
  <c r="T241" i="8"/>
  <c r="T242" i="8"/>
  <c r="T243" i="8"/>
  <c r="T244" i="8"/>
  <c r="T245" i="8"/>
  <c r="T246" i="8"/>
  <c r="T247" i="8"/>
  <c r="T248" i="8"/>
  <c r="T249" i="8"/>
  <c r="T250" i="8"/>
  <c r="T251" i="8"/>
  <c r="T252" i="8"/>
  <c r="T253" i="8"/>
  <c r="T254" i="8"/>
  <c r="T255" i="8"/>
  <c r="T256" i="8"/>
  <c r="T257" i="8"/>
  <c r="T258" i="8"/>
  <c r="T259" i="8"/>
  <c r="T260" i="8"/>
  <c r="T261" i="8"/>
  <c r="T262" i="8"/>
  <c r="T263" i="8"/>
  <c r="T264" i="8"/>
  <c r="T265" i="8"/>
  <c r="T266" i="8"/>
  <c r="T267" i="8"/>
  <c r="T268" i="8"/>
  <c r="T269" i="8"/>
  <c r="T270" i="8"/>
  <c r="T271" i="8"/>
  <c r="T272" i="8"/>
  <c r="T273" i="8"/>
  <c r="T274" i="8"/>
  <c r="T275" i="8"/>
  <c r="T276" i="8"/>
  <c r="T277" i="8"/>
  <c r="T278" i="8"/>
  <c r="T279" i="8"/>
  <c r="T280" i="8"/>
  <c r="T281" i="8"/>
  <c r="T282" i="8"/>
  <c r="T283" i="8"/>
  <c r="T284" i="8"/>
  <c r="T285" i="8"/>
  <c r="T286" i="8"/>
  <c r="T287" i="8"/>
  <c r="T288" i="8"/>
  <c r="T289" i="8"/>
  <c r="T290" i="8"/>
  <c r="T291" i="8"/>
  <c r="T292" i="8"/>
  <c r="T293" i="8"/>
  <c r="T294" i="8"/>
  <c r="T295" i="8"/>
  <c r="T296" i="8"/>
  <c r="T297" i="8"/>
  <c r="T298" i="8"/>
  <c r="T299" i="8"/>
  <c r="T300" i="8"/>
  <c r="T301" i="8"/>
  <c r="T302" i="8"/>
  <c r="T303" i="8"/>
  <c r="T304" i="8"/>
  <c r="T305" i="8"/>
  <c r="T306" i="8"/>
  <c r="T307" i="8"/>
  <c r="T308" i="8"/>
  <c r="T309" i="8"/>
  <c r="T310" i="8"/>
  <c r="T311" i="8"/>
  <c r="T312" i="8"/>
  <c r="T313" i="8"/>
  <c r="T314" i="8"/>
  <c r="T315" i="8"/>
  <c r="T316" i="8"/>
  <c r="T317" i="8"/>
  <c r="T318" i="8"/>
  <c r="T319" i="8"/>
  <c r="T320" i="8"/>
  <c r="T321" i="8"/>
  <c r="T322" i="8"/>
  <c r="T323" i="8"/>
  <c r="T324" i="8"/>
  <c r="T325" i="8"/>
  <c r="T326" i="8"/>
  <c r="T327" i="8"/>
  <c r="T328" i="8"/>
  <c r="T329" i="8"/>
  <c r="T330" i="8"/>
  <c r="T331" i="8"/>
  <c r="T332" i="8"/>
  <c r="T333" i="8"/>
  <c r="T334" i="8"/>
  <c r="T335" i="8"/>
  <c r="T336" i="8"/>
  <c r="T337" i="8"/>
  <c r="T338" i="8"/>
  <c r="T339" i="8"/>
  <c r="T340" i="8"/>
  <c r="T341" i="8"/>
  <c r="T342" i="8"/>
  <c r="T343" i="8"/>
  <c r="T344" i="8"/>
  <c r="T345" i="8"/>
  <c r="T346" i="8"/>
  <c r="T347" i="8"/>
  <c r="T348" i="8"/>
  <c r="T349" i="8"/>
  <c r="T350" i="8"/>
  <c r="T351" i="8"/>
  <c r="T352" i="8"/>
  <c r="T353" i="8"/>
  <c r="T354" i="8"/>
  <c r="T355" i="8"/>
  <c r="T356" i="8"/>
  <c r="T357" i="8"/>
  <c r="T358" i="8"/>
  <c r="T359" i="8"/>
  <c r="T360" i="8"/>
  <c r="T361" i="8"/>
  <c r="T362" i="8"/>
  <c r="T363" i="8"/>
  <c r="T364" i="8"/>
  <c r="T365" i="8"/>
  <c r="T366" i="8"/>
  <c r="T367" i="8"/>
  <c r="T368" i="8"/>
  <c r="T369" i="8"/>
  <c r="T370" i="8"/>
  <c r="T371" i="8"/>
  <c r="T372" i="8"/>
  <c r="T373" i="8"/>
  <c r="T374" i="8"/>
  <c r="T375" i="8"/>
  <c r="T376" i="8"/>
  <c r="T377" i="8"/>
  <c r="T378" i="8"/>
  <c r="T379" i="8"/>
  <c r="T380" i="8"/>
  <c r="T381" i="8"/>
  <c r="T382" i="8"/>
  <c r="T383" i="8"/>
  <c r="T384" i="8"/>
  <c r="T385" i="8"/>
  <c r="T386" i="8"/>
  <c r="T387" i="8"/>
  <c r="T388" i="8"/>
  <c r="T389" i="8"/>
  <c r="T390" i="8"/>
  <c r="T391" i="8"/>
  <c r="T392" i="8"/>
  <c r="T393" i="8"/>
  <c r="T394" i="8"/>
  <c r="T395" i="8"/>
  <c r="T396" i="8"/>
  <c r="T397" i="8"/>
  <c r="T398" i="8"/>
  <c r="T399" i="8"/>
  <c r="T400" i="8"/>
  <c r="T401" i="8"/>
  <c r="T402" i="8"/>
  <c r="T403" i="8"/>
  <c r="T404" i="8"/>
  <c r="T405" i="8"/>
  <c r="T406" i="8"/>
  <c r="T407" i="8"/>
  <c r="T408" i="8"/>
  <c r="T409" i="8"/>
  <c r="T410" i="8"/>
  <c r="T411" i="8"/>
  <c r="T412" i="8"/>
  <c r="T413" i="8"/>
  <c r="T414" i="8"/>
  <c r="T415" i="8"/>
  <c r="T416" i="8"/>
  <c r="T417" i="8"/>
  <c r="T418" i="8"/>
  <c r="T419" i="8"/>
  <c r="T420" i="8"/>
  <c r="T421" i="8"/>
  <c r="T422" i="8"/>
  <c r="T423" i="8"/>
  <c r="T424" i="8"/>
  <c r="T425" i="8"/>
  <c r="T426" i="8"/>
  <c r="T427" i="8"/>
  <c r="T428" i="8"/>
  <c r="T429" i="8"/>
  <c r="T430" i="8"/>
  <c r="T431" i="8"/>
  <c r="T432" i="8"/>
  <c r="T433" i="8"/>
  <c r="T434" i="8"/>
  <c r="T435" i="8"/>
  <c r="T436" i="8"/>
  <c r="T437" i="8"/>
  <c r="T438" i="8"/>
  <c r="T439" i="8"/>
  <c r="T440" i="8"/>
  <c r="T441" i="8"/>
  <c r="T442" i="8"/>
  <c r="T443" i="8"/>
  <c r="T444" i="8"/>
  <c r="T445" i="8"/>
  <c r="T446" i="8"/>
  <c r="T447" i="8"/>
  <c r="T448" i="8"/>
  <c r="T449" i="8"/>
  <c r="T450" i="8"/>
  <c r="T451" i="8"/>
  <c r="T452" i="8"/>
  <c r="T453" i="8"/>
  <c r="T454" i="8"/>
  <c r="T455" i="8"/>
  <c r="T456" i="8"/>
  <c r="T457" i="8"/>
  <c r="T458" i="8"/>
  <c r="T459" i="8"/>
  <c r="T460" i="8"/>
  <c r="T461" i="8"/>
  <c r="T462" i="8"/>
  <c r="T463" i="8"/>
  <c r="T464" i="8"/>
  <c r="T465" i="8"/>
  <c r="T466" i="8"/>
  <c r="T467" i="8"/>
  <c r="T468" i="8"/>
  <c r="T469" i="8"/>
  <c r="T470" i="8"/>
  <c r="T471" i="8"/>
  <c r="T472" i="8"/>
  <c r="T473" i="8"/>
  <c r="T474" i="8"/>
  <c r="T475" i="8"/>
  <c r="T476" i="8"/>
  <c r="T477" i="8"/>
  <c r="T478" i="8"/>
  <c r="T479" i="8"/>
  <c r="T480" i="8"/>
  <c r="T481" i="8"/>
  <c r="T482" i="8"/>
  <c r="T483" i="8"/>
  <c r="T484" i="8"/>
  <c r="T485" i="8"/>
  <c r="T486" i="8"/>
  <c r="T487" i="8"/>
  <c r="T488" i="8"/>
  <c r="T489" i="8"/>
  <c r="T490" i="8"/>
  <c r="T491" i="8"/>
  <c r="T492" i="8"/>
  <c r="T493" i="8"/>
  <c r="T494" i="8"/>
  <c r="T495" i="8"/>
  <c r="T496" i="8"/>
  <c r="T497" i="8"/>
  <c r="T498" i="8"/>
  <c r="T499" i="8"/>
  <c r="T500" i="8"/>
  <c r="T501" i="8"/>
  <c r="T502" i="8"/>
  <c r="T503" i="8"/>
  <c r="T504" i="8"/>
  <c r="T505" i="8"/>
  <c r="T506" i="8"/>
  <c r="T507" i="8"/>
  <c r="T508" i="8"/>
  <c r="T509" i="8"/>
  <c r="T510" i="8"/>
  <c r="T511" i="8"/>
  <c r="T512" i="8"/>
  <c r="T513" i="8"/>
  <c r="T514" i="8"/>
  <c r="T515" i="8"/>
  <c r="T516" i="8"/>
  <c r="T517" i="8"/>
  <c r="T518" i="8"/>
  <c r="T519" i="8"/>
  <c r="T520" i="8"/>
  <c r="T521" i="8"/>
  <c r="T522" i="8"/>
  <c r="T523" i="8"/>
  <c r="T524" i="8"/>
  <c r="T525" i="8"/>
  <c r="T526" i="8"/>
  <c r="T527" i="8"/>
  <c r="T528" i="8"/>
  <c r="T529" i="8"/>
  <c r="T530" i="8"/>
  <c r="T531" i="8"/>
  <c r="T532" i="8"/>
  <c r="T533" i="8"/>
  <c r="T534" i="8"/>
  <c r="T535" i="8"/>
  <c r="T536" i="8"/>
  <c r="T537" i="8"/>
  <c r="T538" i="8"/>
  <c r="T539" i="8"/>
  <c r="T540" i="8"/>
  <c r="T541" i="8"/>
  <c r="T542" i="8"/>
  <c r="T543" i="8"/>
  <c r="T544" i="8"/>
  <c r="T545" i="8"/>
  <c r="T546" i="8"/>
  <c r="T547" i="8"/>
  <c r="T548" i="8"/>
  <c r="T549" i="8"/>
  <c r="T550" i="8"/>
  <c r="T551" i="8"/>
  <c r="T552" i="8"/>
  <c r="T553" i="8"/>
  <c r="T554" i="8"/>
  <c r="T555" i="8"/>
  <c r="T556" i="8"/>
  <c r="T557" i="8"/>
  <c r="T558" i="8"/>
  <c r="T559" i="8"/>
  <c r="T560" i="8"/>
  <c r="T561" i="8"/>
  <c r="T562" i="8"/>
  <c r="T563" i="8"/>
  <c r="T564" i="8"/>
  <c r="T565" i="8"/>
  <c r="T566" i="8"/>
  <c r="T567" i="8"/>
  <c r="T568" i="8"/>
  <c r="T569" i="8"/>
  <c r="T570" i="8"/>
  <c r="T571" i="8"/>
  <c r="T572" i="8"/>
  <c r="T573" i="8"/>
  <c r="T574" i="8"/>
  <c r="T575" i="8"/>
  <c r="T576" i="8"/>
  <c r="T2" i="8"/>
  <c r="W14" i="10"/>
  <c r="W15" i="10"/>
  <c r="W16" i="10"/>
  <c r="W17" i="10"/>
  <c r="W18" i="10"/>
  <c r="W19" i="10"/>
  <c r="W20" i="10"/>
  <c r="W21" i="10"/>
  <c r="W22" i="10"/>
  <c r="W13" i="10"/>
  <c r="I3" i="8"/>
  <c r="M3" i="8" s="1"/>
  <c r="I4" i="8"/>
  <c r="M4" i="8" s="1"/>
  <c r="I6" i="8"/>
  <c r="N6" i="8" s="1"/>
  <c r="U6" i="8" s="1" a="1"/>
  <c r="U6" i="8" s="1"/>
  <c r="I7" i="8"/>
  <c r="M7" i="8" s="1"/>
  <c r="I8" i="8"/>
  <c r="I12" i="8"/>
  <c r="I14" i="8"/>
  <c r="I15" i="8"/>
  <c r="M15" i="8" s="1"/>
  <c r="I17" i="8"/>
  <c r="I19" i="8"/>
  <c r="M19" i="8" s="1"/>
  <c r="I20" i="8"/>
  <c r="I22" i="8"/>
  <c r="I23" i="8"/>
  <c r="N23" i="8" s="1"/>
  <c r="U23" i="8" s="1" a="1"/>
  <c r="U23" i="8" s="1"/>
  <c r="I24" i="8"/>
  <c r="M24" i="8" s="1"/>
  <c r="I25" i="8"/>
  <c r="I28" i="8"/>
  <c r="M28" i="8" s="1"/>
  <c r="I30" i="8"/>
  <c r="I31" i="8"/>
  <c r="M31" i="8" s="1"/>
  <c r="I35" i="8"/>
  <c r="M35" i="8" s="1"/>
  <c r="I36" i="8"/>
  <c r="M36" i="8" s="1"/>
  <c r="I38" i="8"/>
  <c r="I39" i="8"/>
  <c r="M39" i="8" s="1"/>
  <c r="I44" i="8"/>
  <c r="I46" i="8"/>
  <c r="I47" i="8"/>
  <c r="M47" i="8" s="1"/>
  <c r="I48" i="8"/>
  <c r="M48" i="8" s="1"/>
  <c r="I52" i="8"/>
  <c r="I54" i="8"/>
  <c r="I55" i="8"/>
  <c r="M55" i="8" s="1"/>
  <c r="I57" i="8"/>
  <c r="N57" i="8" s="1"/>
  <c r="U57" i="8" s="1" a="1"/>
  <c r="U57" i="8" s="1"/>
  <c r="I59" i="8"/>
  <c r="M59" i="8" s="1"/>
  <c r="I60" i="8"/>
  <c r="M60" i="8" s="1"/>
  <c r="I62" i="8"/>
  <c r="I63" i="8"/>
  <c r="M63" i="8" s="1"/>
  <c r="I67" i="8"/>
  <c r="M67" i="8" s="1"/>
  <c r="I68" i="8"/>
  <c r="N68" i="8" s="1"/>
  <c r="U68" i="8" s="1" a="1"/>
  <c r="U68" i="8" s="1"/>
  <c r="I69" i="8"/>
  <c r="I70" i="8"/>
  <c r="I71" i="8"/>
  <c r="M71" i="8" s="1"/>
  <c r="I75" i="8"/>
  <c r="M75" i="8" s="1"/>
  <c r="I76" i="8"/>
  <c r="I78" i="8"/>
  <c r="I79" i="8"/>
  <c r="M79" i="8" s="1"/>
  <c r="I83" i="8"/>
  <c r="M83" i="8" s="1"/>
  <c r="I84" i="8"/>
  <c r="M84" i="8" s="1"/>
  <c r="I86" i="8"/>
  <c r="I88" i="8"/>
  <c r="M88" i="8" s="1"/>
  <c r="I91" i="8"/>
  <c r="M91" i="8" s="1"/>
  <c r="I92" i="8"/>
  <c r="M92" i="8" s="1"/>
  <c r="I93" i="8"/>
  <c r="M93" i="8" s="1"/>
  <c r="I94" i="8"/>
  <c r="I97" i="8"/>
  <c r="I99" i="8"/>
  <c r="M99" i="8" s="1"/>
  <c r="I100" i="8"/>
  <c r="M100" i="8" s="1"/>
  <c r="I102" i="8"/>
  <c r="I105" i="8"/>
  <c r="N105" i="8" s="1"/>
  <c r="U105" i="8" s="1" a="1"/>
  <c r="U105" i="8" s="1"/>
  <c r="I107" i="8"/>
  <c r="M107" i="8" s="1"/>
  <c r="I108" i="8"/>
  <c r="M108" i="8" s="1"/>
  <c r="I110" i="8"/>
  <c r="I112" i="8"/>
  <c r="I116" i="8"/>
  <c r="I119" i="8"/>
  <c r="M119" i="8" s="1"/>
  <c r="I121" i="8"/>
  <c r="I124" i="8"/>
  <c r="M124" i="8" s="1"/>
  <c r="I127" i="8"/>
  <c r="M127" i="8" s="1"/>
  <c r="I131" i="8"/>
  <c r="M131" i="8" s="1"/>
  <c r="I132" i="8"/>
  <c r="M132" i="8" s="1"/>
  <c r="I134" i="8"/>
  <c r="I135" i="8"/>
  <c r="M135" i="8" s="1"/>
  <c r="I136" i="8"/>
  <c r="M136" i="8" s="1"/>
  <c r="I137" i="8"/>
  <c r="N137" i="8" s="1"/>
  <c r="U137" i="8" s="1" a="1"/>
  <c r="U137" i="8" s="1"/>
  <c r="I140" i="8"/>
  <c r="M140" i="8" s="1"/>
  <c r="I142" i="8"/>
  <c r="I143" i="8"/>
  <c r="M143" i="8" s="1"/>
  <c r="I145" i="8"/>
  <c r="I147" i="8"/>
  <c r="M147" i="8" s="1"/>
  <c r="I148" i="8"/>
  <c r="I150" i="8"/>
  <c r="N150" i="8" s="1"/>
  <c r="U150" i="8" s="1" a="1"/>
  <c r="U150" i="8" s="1"/>
  <c r="I151" i="8"/>
  <c r="I153" i="8"/>
  <c r="I155" i="8"/>
  <c r="M155" i="8" s="1"/>
  <c r="I156" i="8"/>
  <c r="M156" i="8" s="1"/>
  <c r="I158" i="8"/>
  <c r="I159" i="8"/>
  <c r="M159" i="8" s="1"/>
  <c r="I163" i="8"/>
  <c r="M163" i="8" s="1"/>
  <c r="I164" i="8"/>
  <c r="I166" i="8"/>
  <c r="N166" i="8" s="1"/>
  <c r="U166" i="8" s="1" a="1"/>
  <c r="U166" i="8" s="1"/>
  <c r="I167" i="8"/>
  <c r="I171" i="8"/>
  <c r="I172" i="8"/>
  <c r="N172" i="8" s="1"/>
  <c r="U172" i="8" s="1" a="1"/>
  <c r="U172" i="8" s="1"/>
  <c r="I174" i="8"/>
  <c r="I175" i="8"/>
  <c r="N175" i="8" s="1"/>
  <c r="U175" i="8" s="1" a="1"/>
  <c r="U175" i="8" s="1"/>
  <c r="I176" i="8"/>
  <c r="M176" i="8" s="1"/>
  <c r="I180" i="8"/>
  <c r="I182" i="8"/>
  <c r="I183" i="8"/>
  <c r="M183" i="8" s="1"/>
  <c r="I185" i="8"/>
  <c r="I188" i="8"/>
  <c r="N188" i="8" s="1"/>
  <c r="U188" i="8" s="1" a="1"/>
  <c r="U188" i="8" s="1"/>
  <c r="I190" i="8"/>
  <c r="I191" i="8"/>
  <c r="M191" i="8" s="1"/>
  <c r="I195" i="8"/>
  <c r="M195" i="8" s="1"/>
  <c r="I196" i="8"/>
  <c r="M196" i="8" s="1"/>
  <c r="I198" i="8"/>
  <c r="I199" i="8"/>
  <c r="I203" i="8"/>
  <c r="M203" i="8" s="1"/>
  <c r="I206" i="8"/>
  <c r="I207" i="8"/>
  <c r="M207" i="8" s="1"/>
  <c r="I209" i="8"/>
  <c r="I211" i="8"/>
  <c r="M211" i="8" s="1"/>
  <c r="I213" i="8"/>
  <c r="N213" i="8" s="1"/>
  <c r="U213" i="8" s="1" a="1"/>
  <c r="U213" i="8" s="1"/>
  <c r="I214" i="8"/>
  <c r="N214" i="8" s="1"/>
  <c r="U214" i="8" s="1" a="1"/>
  <c r="U214" i="8" s="1"/>
  <c r="I215" i="8"/>
  <c r="M215" i="8" s="1"/>
  <c r="I216" i="8"/>
  <c r="M216" i="8" s="1"/>
  <c r="I222" i="8"/>
  <c r="I223" i="8"/>
  <c r="M223" i="8" s="1"/>
  <c r="I225" i="8"/>
  <c r="N225" i="8" s="1"/>
  <c r="U225" i="8" s="1" a="1"/>
  <c r="U225" i="8" s="1"/>
  <c r="I227" i="8"/>
  <c r="M227" i="8" s="1"/>
  <c r="I230" i="8"/>
  <c r="I231" i="8"/>
  <c r="M231" i="8" s="1"/>
  <c r="I238" i="8"/>
  <c r="I239" i="8"/>
  <c r="M239" i="8" s="1"/>
  <c r="I240" i="8"/>
  <c r="M240" i="8" s="1"/>
  <c r="I241" i="8"/>
  <c r="I246" i="8"/>
  <c r="I247" i="8"/>
  <c r="M247" i="8" s="1"/>
  <c r="I251" i="8"/>
  <c r="M251" i="8" s="1"/>
  <c r="I254" i="8"/>
  <c r="I255" i="8"/>
  <c r="M255" i="8" s="1"/>
  <c r="I260" i="8"/>
  <c r="M260" i="8" s="1"/>
  <c r="I262" i="8"/>
  <c r="I263" i="8"/>
  <c r="M263" i="8" s="1"/>
  <c r="I268" i="8"/>
  <c r="M268" i="8" s="1"/>
  <c r="I270" i="8"/>
  <c r="I271" i="8"/>
  <c r="M271" i="8" s="1"/>
  <c r="I273" i="8"/>
  <c r="I276" i="8"/>
  <c r="M276" i="8" s="1"/>
  <c r="I278" i="8"/>
  <c r="I279" i="8"/>
  <c r="M279" i="8" s="1"/>
  <c r="I284" i="8"/>
  <c r="I286" i="8"/>
  <c r="I287" i="8"/>
  <c r="M287" i="8" s="1"/>
  <c r="I292" i="8"/>
  <c r="M292" i="8" s="1"/>
  <c r="I294" i="8"/>
  <c r="I295" i="8"/>
  <c r="I297" i="8"/>
  <c r="M297" i="8" s="1"/>
  <c r="I300" i="8"/>
  <c r="I302" i="8"/>
  <c r="I303" i="8"/>
  <c r="M303" i="8" s="1"/>
  <c r="I304" i="8"/>
  <c r="M304" i="8" s="1"/>
  <c r="I308" i="8"/>
  <c r="I310" i="8"/>
  <c r="N310" i="8" s="1"/>
  <c r="U310" i="8" s="1" a="1"/>
  <c r="U310" i="8" s="1"/>
  <c r="I311" i="8"/>
  <c r="M311" i="8" s="1"/>
  <c r="I316" i="8"/>
  <c r="I318" i="8"/>
  <c r="I319" i="8"/>
  <c r="M319" i="8" s="1"/>
  <c r="I321" i="8"/>
  <c r="N321" i="8" s="1"/>
  <c r="U321" i="8" s="1" a="1"/>
  <c r="U321" i="8" s="1"/>
  <c r="I324" i="8"/>
  <c r="M324" i="8" s="1"/>
  <c r="I326" i="8"/>
  <c r="I327" i="8"/>
  <c r="M327" i="8" s="1"/>
  <c r="I332" i="8"/>
  <c r="I334" i="8"/>
  <c r="I335" i="8"/>
  <c r="I337" i="8"/>
  <c r="I340" i="8"/>
  <c r="M340" i="8" s="1"/>
  <c r="I342" i="8"/>
  <c r="I343" i="8"/>
  <c r="I348" i="8"/>
  <c r="I350" i="8"/>
  <c r="N350" i="8" s="1"/>
  <c r="U350" i="8" s="1" a="1"/>
  <c r="U350" i="8" s="1"/>
  <c r="I351" i="8"/>
  <c r="M351" i="8" s="1"/>
  <c r="I356" i="8"/>
  <c r="M356" i="8" s="1"/>
  <c r="I358" i="8"/>
  <c r="I359" i="8"/>
  <c r="N359" i="8" s="1"/>
  <c r="U359" i="8" s="1" a="1"/>
  <c r="U359" i="8" s="1"/>
  <c r="I361" i="8"/>
  <c r="N361" i="8" s="1"/>
  <c r="U361" i="8" s="1" a="1"/>
  <c r="U361" i="8" s="1"/>
  <c r="I364" i="8"/>
  <c r="M364" i="8" s="1"/>
  <c r="I366" i="8"/>
  <c r="I367" i="8"/>
  <c r="M367" i="8" s="1"/>
  <c r="I369" i="8"/>
  <c r="N369" i="8" s="1"/>
  <c r="U369" i="8" s="1" a="1"/>
  <c r="U369" i="8" s="1"/>
  <c r="I371" i="8"/>
  <c r="M371" i="8" s="1"/>
  <c r="I372" i="8"/>
  <c r="M372" i="8" s="1"/>
  <c r="I374" i="8"/>
  <c r="I375" i="8"/>
  <c r="N375" i="8" s="1"/>
  <c r="U375" i="8" s="1" a="1"/>
  <c r="U375" i="8" s="1"/>
  <c r="I380" i="8"/>
  <c r="I382" i="8"/>
  <c r="I383" i="8"/>
  <c r="M383" i="8" s="1"/>
  <c r="I387" i="8"/>
  <c r="M387" i="8" s="1"/>
  <c r="I388" i="8"/>
  <c r="M388" i="8" s="1"/>
  <c r="I390" i="8"/>
  <c r="I391" i="8"/>
  <c r="M391" i="8" s="1"/>
  <c r="I396" i="8"/>
  <c r="I398" i="8"/>
  <c r="I399" i="8"/>
  <c r="M399" i="8" s="1"/>
  <c r="I403" i="8"/>
  <c r="M403" i="8" s="1"/>
  <c r="I404" i="8"/>
  <c r="M404" i="8" s="1"/>
  <c r="I406" i="8"/>
  <c r="I407" i="8"/>
  <c r="I412" i="8"/>
  <c r="I414" i="8"/>
  <c r="N414" i="8" s="1"/>
  <c r="U414" i="8" s="1" a="1"/>
  <c r="U414" i="8" s="1"/>
  <c r="I415" i="8"/>
  <c r="M415" i="8" s="1"/>
  <c r="I419" i="8"/>
  <c r="I420" i="8"/>
  <c r="I422" i="8"/>
  <c r="I423" i="8"/>
  <c r="N423" i="8" s="1"/>
  <c r="U423" i="8" s="1" a="1"/>
  <c r="U423" i="8" s="1"/>
  <c r="I428" i="8"/>
  <c r="I430" i="8"/>
  <c r="I431" i="8"/>
  <c r="I433" i="8"/>
  <c r="I436" i="8"/>
  <c r="M436" i="8" s="1"/>
  <c r="I438" i="8"/>
  <c r="I439" i="8"/>
  <c r="I444" i="8"/>
  <c r="M444" i="8" s="1"/>
  <c r="I446" i="8"/>
  <c r="N446" i="8" s="1"/>
  <c r="U446" i="8" s="1" a="1"/>
  <c r="U446" i="8" s="1"/>
  <c r="I451" i="8"/>
  <c r="M451" i="8" s="1"/>
  <c r="I452" i="8"/>
  <c r="I454" i="8"/>
  <c r="N454" i="8" s="1"/>
  <c r="U454" i="8" s="1" a="1"/>
  <c r="U454" i="8" s="1"/>
  <c r="I457" i="8"/>
  <c r="I459" i="8"/>
  <c r="M459" i="8" s="1"/>
  <c r="I460" i="8"/>
  <c r="I462" i="8"/>
  <c r="I467" i="8"/>
  <c r="M467" i="8" s="1"/>
  <c r="I468" i="8"/>
  <c r="I470" i="8"/>
  <c r="N470" i="8" s="1"/>
  <c r="U470" i="8" s="1" a="1"/>
  <c r="U470" i="8" s="1"/>
  <c r="I475" i="8"/>
  <c r="M475" i="8" s="1"/>
  <c r="I476" i="8"/>
  <c r="M476" i="8" s="1"/>
  <c r="I478" i="8"/>
  <c r="I483" i="8"/>
  <c r="M483" i="8" s="1"/>
  <c r="I484" i="8"/>
  <c r="I486" i="8"/>
  <c r="I488" i="8"/>
  <c r="M488" i="8" s="1"/>
  <c r="I491" i="8"/>
  <c r="M491" i="8" s="1"/>
  <c r="I492" i="8"/>
  <c r="I494" i="8"/>
  <c r="I499" i="8"/>
  <c r="I500" i="8"/>
  <c r="M500" i="8" s="1"/>
  <c r="I502" i="8"/>
  <c r="N502" i="8" s="1"/>
  <c r="U502" i="8" s="1" a="1"/>
  <c r="U502" i="8" s="1"/>
  <c r="I505" i="8"/>
  <c r="I507" i="8"/>
  <c r="M507" i="8" s="1"/>
  <c r="I508" i="8"/>
  <c r="M508" i="8" s="1"/>
  <c r="I513" i="8"/>
  <c r="N513" i="8" s="1"/>
  <c r="U513" i="8" s="1" a="1"/>
  <c r="U513" i="8" s="1"/>
  <c r="I516" i="8"/>
  <c r="M516" i="8" s="1"/>
  <c r="I519" i="8"/>
  <c r="I524" i="8"/>
  <c r="I527" i="8"/>
  <c r="M527" i="8" s="1"/>
  <c r="I528" i="8"/>
  <c r="M528" i="8" s="1"/>
  <c r="I532" i="8"/>
  <c r="I534" i="8"/>
  <c r="I535" i="8"/>
  <c r="M535" i="8" s="1"/>
  <c r="I536" i="8"/>
  <c r="I539" i="8"/>
  <c r="M539" i="8" s="1"/>
  <c r="I540" i="8"/>
  <c r="M540" i="8" s="1"/>
  <c r="I542" i="8"/>
  <c r="M542" i="8" s="1"/>
  <c r="I543" i="8"/>
  <c r="I550" i="8"/>
  <c r="M550" i="8" s="1"/>
  <c r="I551" i="8"/>
  <c r="M551" i="8" s="1"/>
  <c r="I555" i="8"/>
  <c r="M555" i="8" s="1"/>
  <c r="I558" i="8"/>
  <c r="N558" i="8" s="1"/>
  <c r="U558" i="8" s="1" a="1"/>
  <c r="U558" i="8" s="1"/>
  <c r="I559" i="8"/>
  <c r="I566" i="8"/>
  <c r="I567" i="8"/>
  <c r="I568" i="8"/>
  <c r="M568" i="8" s="1"/>
  <c r="I574" i="8"/>
  <c r="M574" i="8" s="1"/>
  <c r="I575" i="8"/>
  <c r="I582" i="8"/>
  <c r="M582" i="8" s="1"/>
  <c r="I583" i="8"/>
  <c r="M583" i="8" s="1"/>
  <c r="D28" i="10"/>
  <c r="D29" i="10"/>
  <c r="D30" i="10"/>
  <c r="D31" i="10"/>
  <c r="D32" i="10"/>
  <c r="D33" i="10"/>
  <c r="D34" i="10"/>
  <c r="D35" i="10"/>
  <c r="D36" i="10"/>
  <c r="D27" i="10"/>
  <c r="D15" i="10"/>
  <c r="D16" i="10"/>
  <c r="D17" i="10"/>
  <c r="D18" i="10"/>
  <c r="D19" i="10"/>
  <c r="D20" i="10"/>
  <c r="D21" i="10"/>
  <c r="D22" i="10"/>
  <c r="D23" i="10"/>
  <c r="D14" i="10"/>
  <c r="B28" i="10"/>
  <c r="C28" i="10"/>
  <c r="B29" i="10"/>
  <c r="C29" i="10"/>
  <c r="B30" i="10"/>
  <c r="C30" i="10"/>
  <c r="B31" i="10"/>
  <c r="C31" i="10"/>
  <c r="B32" i="10"/>
  <c r="C32" i="10"/>
  <c r="B33" i="10"/>
  <c r="C33" i="10"/>
  <c r="B34" i="10"/>
  <c r="C34" i="10"/>
  <c r="B35" i="10"/>
  <c r="C35" i="10"/>
  <c r="B36" i="10"/>
  <c r="C36" i="10"/>
  <c r="C27" i="10"/>
  <c r="B27" i="10"/>
  <c r="V13" i="10"/>
  <c r="V14" i="10"/>
  <c r="V15" i="10"/>
  <c r="V16" i="10"/>
  <c r="V17" i="10"/>
  <c r="V18" i="10"/>
  <c r="V19" i="10"/>
  <c r="V20" i="10"/>
  <c r="V21" i="10"/>
  <c r="V22" i="10"/>
  <c r="C23" i="10"/>
  <c r="B23" i="10"/>
  <c r="C22" i="10"/>
  <c r="B22" i="10"/>
  <c r="C21" i="10"/>
  <c r="B21" i="10"/>
  <c r="C20" i="10"/>
  <c r="B20" i="10"/>
  <c r="C19" i="10"/>
  <c r="B19" i="10"/>
  <c r="C18" i="10"/>
  <c r="B18" i="10"/>
  <c r="C17" i="10"/>
  <c r="B17" i="10"/>
  <c r="C16" i="10"/>
  <c r="B16" i="10"/>
  <c r="C15" i="10"/>
  <c r="B15" i="10"/>
  <c r="C14" i="10"/>
  <c r="B14" i="10"/>
  <c r="N583" i="8"/>
  <c r="U583" i="8" s="1" a="1"/>
  <c r="U583" i="8" s="1"/>
  <c r="N582" i="8"/>
  <c r="U582" i="8" s="1" a="1"/>
  <c r="U582" i="8" s="1"/>
  <c r="N581" i="8"/>
  <c r="U581" i="8" s="1" a="1"/>
  <c r="U581" i="8" s="1"/>
  <c r="N579" i="8"/>
  <c r="U579" i="8" s="1" a="1"/>
  <c r="U579" i="8" s="1"/>
  <c r="N578" i="8"/>
  <c r="U578" i="8" s="1" a="1"/>
  <c r="U578" i="8" s="1"/>
  <c r="N577" i="8"/>
  <c r="U577" i="8" s="1" a="1"/>
  <c r="U577" i="8" s="1"/>
  <c r="N576" i="8"/>
  <c r="U576" i="8" s="1" a="1"/>
  <c r="U576" i="8" s="1"/>
  <c r="N575" i="8"/>
  <c r="U575" i="8" s="1" a="1"/>
  <c r="U575" i="8" s="1"/>
  <c r="N574" i="8"/>
  <c r="U574" i="8" s="1" a="1"/>
  <c r="U574" i="8" s="1"/>
  <c r="N573" i="8"/>
  <c r="U573" i="8" s="1" a="1"/>
  <c r="U573" i="8" s="1"/>
  <c r="N569" i="8"/>
  <c r="U569" i="8" s="1" a="1"/>
  <c r="U569" i="8" s="1"/>
  <c r="N565" i="8"/>
  <c r="U565" i="8" s="1" a="1"/>
  <c r="U565" i="8" s="1"/>
  <c r="N563" i="8"/>
  <c r="U563" i="8" s="1" a="1"/>
  <c r="U563" i="8" s="1"/>
  <c r="N562" i="8"/>
  <c r="U562" i="8" s="1" a="1"/>
  <c r="U562" i="8" s="1"/>
  <c r="N557" i="8"/>
  <c r="U557" i="8" s="1" a="1"/>
  <c r="U557" i="8" s="1"/>
  <c r="N556" i="8"/>
  <c r="U556" i="8" s="1" a="1"/>
  <c r="U556" i="8" s="1"/>
  <c r="N551" i="8"/>
  <c r="U551" i="8" s="1" a="1"/>
  <c r="U551" i="8" s="1"/>
  <c r="N550" i="8"/>
  <c r="U550" i="8" s="1" a="1"/>
  <c r="U550" i="8" s="1"/>
  <c r="N548" i="8"/>
  <c r="U548" i="8" s="1" a="1"/>
  <c r="U548" i="8" s="1"/>
  <c r="N544" i="8"/>
  <c r="U544" i="8" s="1" a="1"/>
  <c r="U544" i="8" s="1"/>
  <c r="N543" i="8"/>
  <c r="U543" i="8" s="1" a="1"/>
  <c r="U543" i="8" s="1"/>
  <c r="N540" i="8"/>
  <c r="U540" i="8" s="1" a="1"/>
  <c r="U540" i="8" s="1"/>
  <c r="N539" i="8"/>
  <c r="U539" i="8" s="1" a="1"/>
  <c r="U539" i="8" s="1"/>
  <c r="N535" i="8"/>
  <c r="U535" i="8" s="1" a="1"/>
  <c r="U535" i="8" s="1"/>
  <c r="N534" i="8"/>
  <c r="U534" i="8" s="1" a="1"/>
  <c r="U534" i="8" s="1"/>
  <c r="N529" i="8"/>
  <c r="U529" i="8" s="1" a="1"/>
  <c r="U529" i="8" s="1"/>
  <c r="N528" i="8"/>
  <c r="U528" i="8" s="1" a="1"/>
  <c r="U528" i="8" s="1"/>
  <c r="N526" i="8"/>
  <c r="U526" i="8" s="1" a="1"/>
  <c r="U526" i="8" s="1"/>
  <c r="N525" i="8"/>
  <c r="U525" i="8" s="1" a="1"/>
  <c r="U525" i="8" s="1"/>
  <c r="N522" i="8"/>
  <c r="U522" i="8" s="1" a="1"/>
  <c r="U522" i="8" s="1"/>
  <c r="N518" i="8"/>
  <c r="U518" i="8" s="1" a="1"/>
  <c r="U518" i="8" s="1"/>
  <c r="N517" i="8"/>
  <c r="U517" i="8" s="1" a="1"/>
  <c r="U517" i="8" s="1"/>
  <c r="N508" i="8"/>
  <c r="U508" i="8" s="1" a="1"/>
  <c r="U508" i="8" s="1"/>
  <c r="N507" i="8"/>
  <c r="U507" i="8" s="1" a="1"/>
  <c r="U507" i="8" s="1"/>
  <c r="N506" i="8"/>
  <c r="U506" i="8" s="1" a="1"/>
  <c r="U506" i="8" s="1"/>
  <c r="N505" i="8"/>
  <c r="U505" i="8" s="1" a="1"/>
  <c r="U505" i="8" s="1"/>
  <c r="N504" i="8"/>
  <c r="U504" i="8" s="1" a="1"/>
  <c r="U504" i="8" s="1"/>
  <c r="N501" i="8"/>
  <c r="U501" i="8" s="1" a="1"/>
  <c r="U501" i="8" s="1"/>
  <c r="N497" i="8"/>
  <c r="U497" i="8" s="1" a="1"/>
  <c r="U497" i="8" s="1"/>
  <c r="N494" i="8"/>
  <c r="U494" i="8" s="1" a="1"/>
  <c r="U494" i="8" s="1"/>
  <c r="N493" i="8"/>
  <c r="U493" i="8" s="1" a="1"/>
  <c r="U493" i="8" s="1"/>
  <c r="N492" i="8"/>
  <c r="U492" i="8" s="1" a="1"/>
  <c r="U492" i="8" s="1"/>
  <c r="N491" i="8"/>
  <c r="U491" i="8" s="1" a="1"/>
  <c r="U491" i="8" s="1"/>
  <c r="N488" i="8"/>
  <c r="U488" i="8" s="1" a="1"/>
  <c r="U488" i="8" s="1"/>
  <c r="N487" i="8"/>
  <c r="U487" i="8" s="1" a="1"/>
  <c r="U487" i="8" s="1"/>
  <c r="N484" i="8"/>
  <c r="U484" i="8" s="1" a="1"/>
  <c r="U484" i="8" s="1"/>
  <c r="N483" i="8"/>
  <c r="U483" i="8" s="1" a="1"/>
  <c r="U483" i="8" s="1"/>
  <c r="N482" i="8"/>
  <c r="U482" i="8" s="1" a="1"/>
  <c r="U482" i="8" s="1"/>
  <c r="N479" i="8"/>
  <c r="U479" i="8" s="1" a="1"/>
  <c r="U479" i="8" s="1"/>
  <c r="N477" i="8"/>
  <c r="U477" i="8" s="1" a="1"/>
  <c r="U477" i="8" s="1"/>
  <c r="N476" i="8"/>
  <c r="U476" i="8" s="1" a="1"/>
  <c r="U476" i="8" s="1"/>
  <c r="N474" i="8"/>
  <c r="U474" i="8" s="1" a="1"/>
  <c r="U474" i="8" s="1"/>
  <c r="N473" i="8"/>
  <c r="U473" i="8" s="1" a="1"/>
  <c r="U473" i="8" s="1"/>
  <c r="N467" i="8"/>
  <c r="U467" i="8" s="1" a="1"/>
  <c r="U467" i="8" s="1"/>
  <c r="N465" i="8"/>
  <c r="U465" i="8" s="1" a="1"/>
  <c r="U465" i="8" s="1"/>
  <c r="N464" i="8"/>
  <c r="U464" i="8" s="1" a="1"/>
  <c r="U464" i="8" s="1"/>
  <c r="N463" i="8"/>
  <c r="U463" i="8" s="1" a="1"/>
  <c r="U463" i="8" s="1"/>
  <c r="N461" i="8"/>
  <c r="U461" i="8" s="1" a="1"/>
  <c r="U461" i="8" s="1"/>
  <c r="N459" i="8"/>
  <c r="U459" i="8" s="1" a="1"/>
  <c r="U459" i="8" s="1"/>
  <c r="N458" i="8"/>
  <c r="U458" i="8" s="1" a="1"/>
  <c r="U458" i="8" s="1"/>
  <c r="N453" i="8"/>
  <c r="U453" i="8" s="1" a="1"/>
  <c r="U453" i="8" s="1"/>
  <c r="N452" i="8"/>
  <c r="U452" i="8" s="1" a="1"/>
  <c r="U452" i="8" s="1"/>
  <c r="N443" i="8"/>
  <c r="U443" i="8" s="1" a="1"/>
  <c r="U443" i="8" s="1"/>
  <c r="N442" i="8"/>
  <c r="U442" i="8" s="1" a="1"/>
  <c r="U442" i="8" s="1"/>
  <c r="N439" i="8"/>
  <c r="U439" i="8" s="1" a="1"/>
  <c r="U439" i="8" s="1"/>
  <c r="N438" i="8"/>
  <c r="U438" i="8" s="1" a="1"/>
  <c r="U438" i="8" s="1"/>
  <c r="N437" i="8"/>
  <c r="U437" i="8" s="1" a="1"/>
  <c r="U437" i="8" s="1"/>
  <c r="N433" i="8"/>
  <c r="U433" i="8" s="1" a="1"/>
  <c r="U433" i="8" s="1"/>
  <c r="N430" i="8"/>
  <c r="U430" i="8" s="1" a="1"/>
  <c r="U430" i="8" s="1"/>
  <c r="N429" i="8"/>
  <c r="U429" i="8" s="1" a="1"/>
  <c r="U429" i="8" s="1"/>
  <c r="N428" i="8"/>
  <c r="U428" i="8" s="1" a="1"/>
  <c r="U428" i="8" s="1"/>
  <c r="N427" i="8"/>
  <c r="U427" i="8" s="1" a="1"/>
  <c r="U427" i="8" s="1"/>
  <c r="N425" i="8"/>
  <c r="U425" i="8" s="1" a="1"/>
  <c r="U425" i="8" s="1"/>
  <c r="N421" i="8"/>
  <c r="U421" i="8" s="1" a="1"/>
  <c r="U421" i="8" s="1"/>
  <c r="N417" i="8"/>
  <c r="U417" i="8" s="1" a="1"/>
  <c r="U417" i="8" s="1"/>
  <c r="N415" i="8"/>
  <c r="U415" i="8" s="1" a="1"/>
  <c r="U415" i="8" s="1"/>
  <c r="N410" i="8"/>
  <c r="U410" i="8" s="1" a="1"/>
  <c r="U410" i="8" s="1"/>
  <c r="N406" i="8"/>
  <c r="U406" i="8" s="1" a="1"/>
  <c r="U406" i="8" s="1"/>
  <c r="N405" i="8"/>
  <c r="U405" i="8" s="1" a="1"/>
  <c r="U405" i="8" s="1"/>
  <c r="N403" i="8"/>
  <c r="U403" i="8" s="1" a="1"/>
  <c r="U403" i="8" s="1"/>
  <c r="N401" i="8"/>
  <c r="U401" i="8" s="1" a="1"/>
  <c r="U401" i="8" s="1"/>
  <c r="N400" i="8"/>
  <c r="U400" i="8" s="1" a="1"/>
  <c r="U400" i="8" s="1"/>
  <c r="N398" i="8"/>
  <c r="U398" i="8" s="1" a="1"/>
  <c r="U398" i="8" s="1"/>
  <c r="N397" i="8"/>
  <c r="U397" i="8" s="1" a="1"/>
  <c r="U397" i="8" s="1"/>
  <c r="N392" i="8"/>
  <c r="U392" i="8" s="1" a="1"/>
  <c r="U392" i="8" s="1"/>
  <c r="N391" i="8"/>
  <c r="U391" i="8" s="1" a="1"/>
  <c r="U391" i="8" s="1"/>
  <c r="N388" i="8"/>
  <c r="U388" i="8" s="1" a="1"/>
  <c r="U388" i="8" s="1"/>
  <c r="N386" i="8"/>
  <c r="U386" i="8" s="1" a="1"/>
  <c r="U386" i="8" s="1"/>
  <c r="N385" i="8"/>
  <c r="U385" i="8" s="1" a="1"/>
  <c r="U385" i="8" s="1"/>
  <c r="N384" i="8"/>
  <c r="U384" i="8" s="1" a="1"/>
  <c r="U384" i="8" s="1"/>
  <c r="N382" i="8"/>
  <c r="U382" i="8" s="1" a="1"/>
  <c r="U382" i="8" s="1"/>
  <c r="N381" i="8"/>
  <c r="U381" i="8" s="1" a="1"/>
  <c r="U381" i="8" s="1"/>
  <c r="N380" i="8"/>
  <c r="U380" i="8" s="1" a="1"/>
  <c r="U380" i="8" s="1"/>
  <c r="N379" i="8"/>
  <c r="U379" i="8" s="1" a="1"/>
  <c r="U379" i="8" s="1"/>
  <c r="N377" i="8"/>
  <c r="U377" i="8" s="1" a="1"/>
  <c r="U377" i="8" s="1"/>
  <c r="N374" i="8"/>
  <c r="U374" i="8" s="1" a="1"/>
  <c r="U374" i="8" s="1"/>
  <c r="N373" i="8"/>
  <c r="U373" i="8" s="1" a="1"/>
  <c r="U373" i="8" s="1"/>
  <c r="N372" i="8"/>
  <c r="U372" i="8" s="1" a="1"/>
  <c r="U372" i="8" s="1"/>
  <c r="N371" i="8"/>
  <c r="U371" i="8" s="1" a="1"/>
  <c r="U371" i="8" s="1"/>
  <c r="N367" i="8"/>
  <c r="U367" i="8" s="1" a="1"/>
  <c r="U367" i="8" s="1"/>
  <c r="N365" i="8"/>
  <c r="U365" i="8" s="1" a="1"/>
  <c r="U365" i="8" s="1"/>
  <c r="N364" i="8"/>
  <c r="U364" i="8" s="1" a="1"/>
  <c r="U364" i="8" s="1"/>
  <c r="N363" i="8"/>
  <c r="U363" i="8" s="1" a="1"/>
  <c r="U363" i="8" s="1"/>
  <c r="N358" i="8"/>
  <c r="U358" i="8" s="1" a="1"/>
  <c r="U358" i="8" s="1"/>
  <c r="N357" i="8"/>
  <c r="U357" i="8" s="1" a="1"/>
  <c r="U357" i="8" s="1"/>
  <c r="N356" i="8"/>
  <c r="U356" i="8" s="1" a="1"/>
  <c r="U356" i="8" s="1"/>
  <c r="N352" i="8"/>
  <c r="U352" i="8" s="1" a="1"/>
  <c r="U352" i="8" s="1"/>
  <c r="N346" i="8"/>
  <c r="U346" i="8" s="1" a="1"/>
  <c r="U346" i="8" s="1"/>
  <c r="N342" i="8"/>
  <c r="U342" i="8" s="1" a="1"/>
  <c r="U342" i="8" s="1"/>
  <c r="N341" i="8"/>
  <c r="U341" i="8" s="1" a="1"/>
  <c r="U341" i="8" s="1"/>
  <c r="N339" i="8"/>
  <c r="U339" i="8" s="1" a="1"/>
  <c r="U339" i="8" s="1"/>
  <c r="N337" i="8"/>
  <c r="U337" i="8" s="1" a="1"/>
  <c r="U337" i="8" s="1"/>
  <c r="N334" i="8"/>
  <c r="U334" i="8" s="1" a="1"/>
  <c r="U334" i="8" s="1"/>
  <c r="N333" i="8"/>
  <c r="U333" i="8" s="1" a="1"/>
  <c r="U333" i="8" s="1"/>
  <c r="N332" i="8"/>
  <c r="U332" i="8" s="1" a="1"/>
  <c r="U332" i="8" s="1"/>
  <c r="N331" i="8"/>
  <c r="U331" i="8" s="1" a="1"/>
  <c r="U331" i="8" s="1"/>
  <c r="N330" i="8"/>
  <c r="U330" i="8" s="1" a="1"/>
  <c r="U330" i="8" s="1"/>
  <c r="N329" i="8"/>
  <c r="U329" i="8" s="1" a="1"/>
  <c r="U329" i="8" s="1"/>
  <c r="N328" i="8"/>
  <c r="U328" i="8" s="1" a="1"/>
  <c r="U328" i="8" s="1"/>
  <c r="N327" i="8"/>
  <c r="U327" i="8" s="1" a="1"/>
  <c r="U327" i="8" s="1"/>
  <c r="N326" i="8"/>
  <c r="U326" i="8" s="1" a="1"/>
  <c r="U326" i="8" s="1"/>
  <c r="N325" i="8"/>
  <c r="U325" i="8" s="1" a="1"/>
  <c r="U325" i="8" s="1"/>
  <c r="N324" i="8"/>
  <c r="U324" i="8" s="1" a="1"/>
  <c r="U324" i="8" s="1"/>
  <c r="N323" i="8"/>
  <c r="U323" i="8" s="1" a="1"/>
  <c r="U323" i="8" s="1"/>
  <c r="N318" i="8"/>
  <c r="U318" i="8" s="1" a="1"/>
  <c r="U318" i="8" s="1"/>
  <c r="N316" i="8"/>
  <c r="U316" i="8" s="1" a="1"/>
  <c r="U316" i="8" s="1"/>
  <c r="N314" i="8"/>
  <c r="U314" i="8" s="1" a="1"/>
  <c r="U314" i="8" s="1"/>
  <c r="N313" i="8"/>
  <c r="U313" i="8" s="1" a="1"/>
  <c r="U313" i="8" s="1"/>
  <c r="N312" i="8"/>
  <c r="U312" i="8" s="1" a="1"/>
  <c r="U312" i="8" s="1"/>
  <c r="N306" i="8"/>
  <c r="U306" i="8" s="1" a="1"/>
  <c r="U306" i="8" s="1"/>
  <c r="N305" i="8"/>
  <c r="U305" i="8" s="1" a="1"/>
  <c r="U305" i="8" s="1"/>
  <c r="N302" i="8"/>
  <c r="U302" i="8" s="1" a="1"/>
  <c r="U302" i="8" s="1"/>
  <c r="N300" i="8"/>
  <c r="U300" i="8" s="1" a="1"/>
  <c r="U300" i="8" s="1"/>
  <c r="N294" i="8"/>
  <c r="U294" i="8" s="1" a="1"/>
  <c r="U294" i="8" s="1"/>
  <c r="N292" i="8"/>
  <c r="U292" i="8" s="1" a="1"/>
  <c r="U292" i="8" s="1"/>
  <c r="N291" i="8"/>
  <c r="U291" i="8" s="1" a="1"/>
  <c r="U291" i="8" s="1"/>
  <c r="N287" i="8"/>
  <c r="U287" i="8" s="1" a="1"/>
  <c r="U287" i="8" s="1"/>
  <c r="N286" i="8"/>
  <c r="U286" i="8" s="1" a="1"/>
  <c r="U286" i="8" s="1"/>
  <c r="N285" i="8"/>
  <c r="U285" i="8" s="1" a="1"/>
  <c r="U285" i="8" s="1"/>
  <c r="N284" i="8"/>
  <c r="U284" i="8" s="1" a="1"/>
  <c r="U284" i="8" s="1"/>
  <c r="N283" i="8"/>
  <c r="U283" i="8" s="1" a="1"/>
  <c r="U283" i="8" s="1"/>
  <c r="N282" i="8"/>
  <c r="U282" i="8" s="1" a="1"/>
  <c r="U282" i="8" s="1"/>
  <c r="N281" i="8"/>
  <c r="U281" i="8" s="1" a="1"/>
  <c r="U281" i="8" s="1"/>
  <c r="N280" i="8"/>
  <c r="U280" i="8" s="1" a="1"/>
  <c r="U280" i="8" s="1"/>
  <c r="N279" i="8"/>
  <c r="U279" i="8" s="1" a="1"/>
  <c r="U279" i="8" s="1"/>
  <c r="N278" i="8"/>
  <c r="U278" i="8" s="1" a="1"/>
  <c r="U278" i="8" s="1"/>
  <c r="N277" i="8"/>
  <c r="U277" i="8" s="1" a="1"/>
  <c r="U277" i="8" s="1"/>
  <c r="N275" i="8"/>
  <c r="U275" i="8" s="1" a="1"/>
  <c r="U275" i="8" s="1"/>
  <c r="N274" i="8"/>
  <c r="U274" i="8" s="1" a="1"/>
  <c r="U274" i="8" s="1"/>
  <c r="N273" i="8"/>
  <c r="U273" i="8" s="1" a="1"/>
  <c r="U273" i="8" s="1"/>
  <c r="N272" i="8"/>
  <c r="U272" i="8" s="1" a="1"/>
  <c r="U272" i="8" s="1"/>
  <c r="N271" i="8"/>
  <c r="U271" i="8" s="1" a="1"/>
  <c r="U271" i="8" s="1"/>
  <c r="N268" i="8"/>
  <c r="U268" i="8" s="1" a="1"/>
  <c r="U268" i="8" s="1"/>
  <c r="N267" i="8"/>
  <c r="U267" i="8" s="1" a="1"/>
  <c r="U267" i="8" s="1"/>
  <c r="N266" i="8"/>
  <c r="U266" i="8" s="1" a="1"/>
  <c r="U266" i="8" s="1"/>
  <c r="N265" i="8"/>
  <c r="U265" i="8" s="1" a="1"/>
  <c r="U265" i="8" s="1"/>
  <c r="N264" i="8"/>
  <c r="U264" i="8" s="1" a="1"/>
  <c r="U264" i="8" s="1"/>
  <c r="N262" i="8"/>
  <c r="U262" i="8" s="1" a="1"/>
  <c r="U262" i="8" s="1"/>
  <c r="N260" i="8"/>
  <c r="U260" i="8" s="1" a="1"/>
  <c r="U260" i="8" s="1"/>
  <c r="N257" i="8"/>
  <c r="U257" i="8" s="1" a="1"/>
  <c r="U257" i="8" s="1"/>
  <c r="N256" i="8"/>
  <c r="U256" i="8" s="1" a="1"/>
  <c r="U256" i="8" s="1"/>
  <c r="N255" i="8"/>
  <c r="U255" i="8" s="1" a="1"/>
  <c r="U255" i="8" s="1"/>
  <c r="N254" i="8"/>
  <c r="U254" i="8" s="1" a="1"/>
  <c r="U254" i="8" s="1"/>
  <c r="N253" i="8"/>
  <c r="U253" i="8" s="1" a="1"/>
  <c r="U253" i="8" s="1"/>
  <c r="N252" i="8"/>
  <c r="U252" i="8" s="1" a="1"/>
  <c r="U252" i="8" s="1"/>
  <c r="N251" i="8"/>
  <c r="U251" i="8" s="1" a="1"/>
  <c r="U251" i="8" s="1"/>
  <c r="N250" i="8"/>
  <c r="U250" i="8" s="1" a="1"/>
  <c r="U250" i="8" s="1"/>
  <c r="N248" i="8"/>
  <c r="U248" i="8" s="1" a="1"/>
  <c r="U248" i="8" s="1"/>
  <c r="N246" i="8"/>
  <c r="U246" i="8" s="1" a="1"/>
  <c r="U246" i="8" s="1"/>
  <c r="N245" i="8"/>
  <c r="U245" i="8" s="1" a="1"/>
  <c r="U245" i="8" s="1"/>
  <c r="N244" i="8"/>
  <c r="U244" i="8" s="1" a="1"/>
  <c r="U244" i="8" s="1"/>
  <c r="N242" i="8"/>
  <c r="U242" i="8" s="1" a="1"/>
  <c r="U242" i="8" s="1"/>
  <c r="N241" i="8"/>
  <c r="U241" i="8" s="1" a="1"/>
  <c r="U241" i="8" s="1"/>
  <c r="N238" i="8"/>
  <c r="U238" i="8" s="1" a="1"/>
  <c r="U238" i="8" s="1"/>
  <c r="N234" i="8"/>
  <c r="U234" i="8" s="1" a="1"/>
  <c r="U234" i="8" s="1"/>
  <c r="N233" i="8"/>
  <c r="U233" i="8" s="1" a="1"/>
  <c r="U233" i="8" s="1"/>
  <c r="N232" i="8"/>
  <c r="U232" i="8" s="1" a="1"/>
  <c r="U232" i="8" s="1"/>
  <c r="N231" i="8"/>
  <c r="U231" i="8" s="1" a="1"/>
  <c r="U231" i="8" s="1"/>
  <c r="N230" i="8"/>
  <c r="U230" i="8" s="1" a="1"/>
  <c r="U230" i="8" s="1"/>
  <c r="N227" i="8"/>
  <c r="U227" i="8" s="1" a="1"/>
  <c r="U227" i="8" s="1"/>
  <c r="N224" i="8"/>
  <c r="U224" i="8" s="1" a="1"/>
  <c r="U224" i="8" s="1"/>
  <c r="N223" i="8"/>
  <c r="U223" i="8" s="1" a="1"/>
  <c r="U223" i="8" s="1"/>
  <c r="N221" i="8"/>
  <c r="U221" i="8" s="1" a="1"/>
  <c r="U221" i="8" s="1"/>
  <c r="N219" i="8"/>
  <c r="U219" i="8" s="1" a="1"/>
  <c r="U219" i="8" s="1"/>
  <c r="N217" i="8"/>
  <c r="U217" i="8" s="1" a="1"/>
  <c r="U217" i="8" s="1"/>
  <c r="N215" i="8"/>
  <c r="U215" i="8" s="1" a="1"/>
  <c r="U215" i="8" s="1"/>
  <c r="N212" i="8"/>
  <c r="U212" i="8" s="1" a="1"/>
  <c r="U212" i="8" s="1"/>
  <c r="N209" i="8"/>
  <c r="U209" i="8" s="1" a="1"/>
  <c r="U209" i="8" s="1"/>
  <c r="N207" i="8"/>
  <c r="U207" i="8" s="1" a="1"/>
  <c r="U207" i="8" s="1"/>
  <c r="N203" i="8"/>
  <c r="U203" i="8" s="1" a="1"/>
  <c r="U203" i="8" s="1"/>
  <c r="N202" i="8"/>
  <c r="U202" i="8" s="1" a="1"/>
  <c r="U202" i="8" s="1"/>
  <c r="N197" i="8"/>
  <c r="U197" i="8" s="1" a="1"/>
  <c r="U197" i="8" s="1"/>
  <c r="N195" i="8"/>
  <c r="U195" i="8" s="1" a="1"/>
  <c r="U195" i="8" s="1"/>
  <c r="N193" i="8"/>
  <c r="U193" i="8" s="1" a="1"/>
  <c r="U193" i="8" s="1"/>
  <c r="N192" i="8"/>
  <c r="U192" i="8" s="1" a="1"/>
  <c r="U192" i="8" s="1"/>
  <c r="N190" i="8"/>
  <c r="U190" i="8" s="1" a="1"/>
  <c r="U190" i="8" s="1"/>
  <c r="N186" i="8"/>
  <c r="U186" i="8" s="1" a="1"/>
  <c r="U186" i="8" s="1"/>
  <c r="N183" i="8"/>
  <c r="U183" i="8" s="1" a="1"/>
  <c r="U183" i="8" s="1"/>
  <c r="N182" i="8"/>
  <c r="U182" i="8" s="1" a="1"/>
  <c r="U182" i="8" s="1"/>
  <c r="N180" i="8"/>
  <c r="U180" i="8" s="1" a="1"/>
  <c r="U180" i="8" s="1"/>
  <c r="N177" i="8"/>
  <c r="U177" i="8" s="1" a="1"/>
  <c r="U177" i="8" s="1"/>
  <c r="N174" i="8"/>
  <c r="U174" i="8" s="1" a="1"/>
  <c r="U174" i="8" s="1"/>
  <c r="N169" i="8"/>
  <c r="U169" i="8" s="1" a="1"/>
  <c r="U169" i="8" s="1"/>
  <c r="N160" i="8"/>
  <c r="U160" i="8" s="1" a="1"/>
  <c r="U160" i="8" s="1"/>
  <c r="N158" i="8"/>
  <c r="U158" i="8" s="1" a="1"/>
  <c r="U158" i="8" s="1"/>
  <c r="N157" i="8"/>
  <c r="U157" i="8" s="1" a="1"/>
  <c r="U157" i="8" s="1"/>
  <c r="N156" i="8"/>
  <c r="U156" i="8" s="1" a="1"/>
  <c r="U156" i="8" s="1"/>
  <c r="N155" i="8"/>
  <c r="U155" i="8" s="1" a="1"/>
  <c r="U155" i="8" s="1"/>
  <c r="N154" i="8"/>
  <c r="U154" i="8" s="1" a="1"/>
  <c r="U154" i="8" s="1"/>
  <c r="N146" i="8"/>
  <c r="U146" i="8" s="1" a="1"/>
  <c r="U146" i="8" s="1"/>
  <c r="N143" i="8"/>
  <c r="U143" i="8" s="1" a="1"/>
  <c r="U143" i="8" s="1"/>
  <c r="N140" i="8"/>
  <c r="U140" i="8" s="1" a="1"/>
  <c r="U140" i="8" s="1"/>
  <c r="N139" i="8"/>
  <c r="U139" i="8" s="1" a="1"/>
  <c r="U139" i="8" s="1"/>
  <c r="N136" i="8"/>
  <c r="U136" i="8" s="1" a="1"/>
  <c r="U136" i="8" s="1"/>
  <c r="N135" i="8"/>
  <c r="U135" i="8" s="1" a="1"/>
  <c r="U135" i="8" s="1"/>
  <c r="N133" i="8"/>
  <c r="U133" i="8" s="1" a="1"/>
  <c r="U133" i="8" s="1"/>
  <c r="N131" i="8"/>
  <c r="U131" i="8" s="1" a="1"/>
  <c r="U131" i="8" s="1"/>
  <c r="N127" i="8"/>
  <c r="U127" i="8" s="1" a="1"/>
  <c r="U127" i="8" s="1"/>
  <c r="N126" i="8"/>
  <c r="U126" i="8" s="1" a="1"/>
  <c r="U126" i="8" s="1"/>
  <c r="N125" i="8"/>
  <c r="U125" i="8" s="1" a="1"/>
  <c r="U125" i="8" s="1"/>
  <c r="N122" i="8"/>
  <c r="U122" i="8" s="1" a="1"/>
  <c r="U122" i="8" s="1"/>
  <c r="N121" i="8"/>
  <c r="U121" i="8" s="1" a="1"/>
  <c r="U121" i="8" s="1"/>
  <c r="N120" i="8"/>
  <c r="U120" i="8" s="1" a="1"/>
  <c r="U120" i="8" s="1"/>
  <c r="N119" i="8"/>
  <c r="U119" i="8" s="1" a="1"/>
  <c r="U119" i="8" s="1"/>
  <c r="N118" i="8"/>
  <c r="U118" i="8" s="1" a="1"/>
  <c r="U118" i="8" s="1"/>
  <c r="N117" i="8"/>
  <c r="U117" i="8" s="1" a="1"/>
  <c r="U117" i="8" s="1"/>
  <c r="N116" i="8"/>
  <c r="U116" i="8" s="1" a="1"/>
  <c r="U116" i="8" s="1"/>
  <c r="N115" i="8"/>
  <c r="U115" i="8" s="1" a="1"/>
  <c r="U115" i="8" s="1"/>
  <c r="N114" i="8"/>
  <c r="U114" i="8" s="1" a="1"/>
  <c r="U114" i="8" s="1"/>
  <c r="N110" i="8"/>
  <c r="U110" i="8" s="1" a="1"/>
  <c r="U110" i="8" s="1"/>
  <c r="N108" i="8"/>
  <c r="U108" i="8" s="1" a="1"/>
  <c r="U108" i="8" s="1"/>
  <c r="N102" i="8"/>
  <c r="U102" i="8" s="1" a="1"/>
  <c r="U102" i="8" s="1"/>
  <c r="N100" i="8"/>
  <c r="U100" i="8" s="1" a="1"/>
  <c r="U100" i="8" s="1"/>
  <c r="N98" i="8"/>
  <c r="U98" i="8" s="1" a="1"/>
  <c r="U98" i="8" s="1"/>
  <c r="N96" i="8"/>
  <c r="U96" i="8" s="1" a="1"/>
  <c r="U96" i="8" s="1"/>
  <c r="N94" i="8"/>
  <c r="U94" i="8" s="1" a="1"/>
  <c r="U94" i="8" s="1"/>
  <c r="N92" i="8"/>
  <c r="U92" i="8" s="1" a="1"/>
  <c r="U92" i="8" s="1"/>
  <c r="N90" i="8"/>
  <c r="U90" i="8" s="1" a="1"/>
  <c r="U90" i="8" s="1"/>
  <c r="N88" i="8"/>
  <c r="U88" i="8" s="1" a="1"/>
  <c r="U88" i="8" s="1"/>
  <c r="N87" i="8"/>
  <c r="U87" i="8" s="1" a="1"/>
  <c r="U87" i="8" s="1"/>
  <c r="N85" i="8"/>
  <c r="U85" i="8" s="1" a="1"/>
  <c r="U85" i="8" s="1"/>
  <c r="N83" i="8"/>
  <c r="U83" i="8" s="1" a="1"/>
  <c r="U83" i="8" s="1"/>
  <c r="N81" i="8"/>
  <c r="U81" i="8" s="1" a="1"/>
  <c r="U81" i="8" s="1"/>
  <c r="N80" i="8"/>
  <c r="U80" i="8" s="1" a="1"/>
  <c r="U80" i="8" s="1"/>
  <c r="N78" i="8"/>
  <c r="U78" i="8" s="1" a="1"/>
  <c r="U78" i="8" s="1"/>
  <c r="N76" i="8"/>
  <c r="U76" i="8" s="1" a="1"/>
  <c r="U76" i="8" s="1"/>
  <c r="N75" i="8"/>
  <c r="U75" i="8" s="1" a="1"/>
  <c r="U75" i="8" s="1"/>
  <c r="N74" i="8"/>
  <c r="U74" i="8" s="1" a="1"/>
  <c r="U74" i="8" s="1"/>
  <c r="N73" i="8"/>
  <c r="U73" i="8" s="1" a="1"/>
  <c r="U73" i="8" s="1"/>
  <c r="N72" i="8"/>
  <c r="U72" i="8" s="1" a="1"/>
  <c r="U72" i="8" s="1"/>
  <c r="N71" i="8"/>
  <c r="U71" i="8" s="1" a="1"/>
  <c r="U71" i="8" s="1"/>
  <c r="N67" i="8"/>
  <c r="U67" i="8" s="1" a="1"/>
  <c r="U67" i="8" s="1"/>
  <c r="N64" i="8"/>
  <c r="U64" i="8" s="1" a="1"/>
  <c r="U64" i="8" s="1"/>
  <c r="N63" i="8"/>
  <c r="U63" i="8" s="1" a="1"/>
  <c r="U63" i="8" s="1"/>
  <c r="N60" i="8"/>
  <c r="U60" i="8" s="1" a="1"/>
  <c r="U60" i="8" s="1"/>
  <c r="N55" i="8"/>
  <c r="U55" i="8" s="1" a="1"/>
  <c r="U55" i="8" s="1"/>
  <c r="N54" i="8"/>
  <c r="U54" i="8" s="1" a="1"/>
  <c r="U54" i="8" s="1"/>
  <c r="N48" i="8"/>
  <c r="U48" i="8" s="1" a="1"/>
  <c r="U48" i="8" s="1"/>
  <c r="N46" i="8"/>
  <c r="U46" i="8" s="1" a="1"/>
  <c r="U46" i="8" s="1"/>
  <c r="N45" i="8"/>
  <c r="U45" i="8" s="1" a="1"/>
  <c r="U45" i="8" s="1"/>
  <c r="N44" i="8"/>
  <c r="U44" i="8" s="1" a="1"/>
  <c r="U44" i="8" s="1"/>
  <c r="N41" i="8"/>
  <c r="U41" i="8" s="1" a="1"/>
  <c r="U41" i="8" s="1"/>
  <c r="N40" i="8"/>
  <c r="U40" i="8" s="1" a="1"/>
  <c r="U40" i="8" s="1"/>
  <c r="N39" i="8"/>
  <c r="U39" i="8" s="1" a="1"/>
  <c r="U39" i="8" s="1"/>
  <c r="N38" i="8"/>
  <c r="U38" i="8" s="1" a="1"/>
  <c r="U38" i="8" s="1"/>
  <c r="N37" i="8"/>
  <c r="U37" i="8" s="1" a="1"/>
  <c r="U37" i="8" s="1"/>
  <c r="N36" i="8"/>
  <c r="U36" i="8" s="1" a="1"/>
  <c r="U36" i="8" s="1"/>
  <c r="N31" i="8"/>
  <c r="U31" i="8" s="1" a="1"/>
  <c r="U31" i="8" s="1"/>
  <c r="N30" i="8"/>
  <c r="U30" i="8" s="1" a="1"/>
  <c r="U30" i="8" s="1"/>
  <c r="N29" i="8"/>
  <c r="U29" i="8" s="1" a="1"/>
  <c r="U29" i="8" s="1"/>
  <c r="N28" i="8"/>
  <c r="U28" i="8" s="1" a="1"/>
  <c r="U28" i="8" s="1"/>
  <c r="N27" i="8"/>
  <c r="U27" i="8" s="1" a="1"/>
  <c r="U27" i="8" s="1"/>
  <c r="N26" i="8"/>
  <c r="U26" i="8" s="1" a="1"/>
  <c r="U26" i="8" s="1"/>
  <c r="N25" i="8"/>
  <c r="U25" i="8" s="1" a="1"/>
  <c r="U25" i="8" s="1"/>
  <c r="N22" i="8"/>
  <c r="U22" i="8" s="1" a="1"/>
  <c r="U22" i="8" s="1"/>
  <c r="N20" i="8"/>
  <c r="U20" i="8" s="1" a="1"/>
  <c r="U20" i="8" s="1"/>
  <c r="N19" i="8"/>
  <c r="U19" i="8" s="1" a="1"/>
  <c r="U19" i="8" s="1"/>
  <c r="N17" i="8"/>
  <c r="U17" i="8" s="1" a="1"/>
  <c r="U17" i="8" s="1"/>
  <c r="N15" i="8"/>
  <c r="U15" i="8" s="1" a="1"/>
  <c r="U15" i="8" s="1"/>
  <c r="N10" i="8"/>
  <c r="U10" i="8" s="1" a="1"/>
  <c r="U10" i="8" s="1"/>
  <c r="N4" i="8"/>
  <c r="U4" i="8" s="1" a="1"/>
  <c r="U4" i="8" s="1"/>
  <c r="N3" i="8"/>
  <c r="U3" i="8" s="1" a="1"/>
  <c r="U3" i="8" s="1"/>
  <c r="N571" i="8" l="1"/>
  <c r="U571" i="8" s="1" a="1"/>
  <c r="U571" i="8" s="1"/>
  <c r="M571" i="8"/>
  <c r="N531" i="8"/>
  <c r="U531" i="8" s="1" a="1"/>
  <c r="U531" i="8" s="1"/>
  <c r="M531" i="8"/>
  <c r="N523" i="8"/>
  <c r="U523" i="8" s="1" a="1"/>
  <c r="U523" i="8" s="1"/>
  <c r="M523" i="8"/>
  <c r="N515" i="8"/>
  <c r="U515" i="8" s="1" a="1"/>
  <c r="U515" i="8" s="1"/>
  <c r="M515" i="8"/>
  <c r="N435" i="8"/>
  <c r="U435" i="8" s="1" a="1"/>
  <c r="U435" i="8" s="1"/>
  <c r="M435" i="8"/>
  <c r="N411" i="8"/>
  <c r="U411" i="8" s="1" a="1"/>
  <c r="U411" i="8" s="1"/>
  <c r="M411" i="8"/>
  <c r="N395" i="8"/>
  <c r="U395" i="8" s="1" a="1"/>
  <c r="U395" i="8" s="1"/>
  <c r="M395" i="8"/>
  <c r="N235" i="8"/>
  <c r="U235" i="8" s="1" a="1"/>
  <c r="U235" i="8" s="1"/>
  <c r="M235" i="8"/>
  <c r="N187" i="8"/>
  <c r="U187" i="8" s="1" a="1"/>
  <c r="U187" i="8" s="1"/>
  <c r="M187" i="8"/>
  <c r="N123" i="8"/>
  <c r="U123" i="8" s="1" a="1"/>
  <c r="U123" i="8" s="1"/>
  <c r="M123" i="8"/>
  <c r="N51" i="8"/>
  <c r="U51" i="8" s="1" a="1"/>
  <c r="U51" i="8" s="1"/>
  <c r="M51" i="8"/>
  <c r="N11" i="8"/>
  <c r="U11" i="8" s="1" a="1"/>
  <c r="U11" i="8" s="1"/>
  <c r="M11" i="8"/>
  <c r="N408" i="8"/>
  <c r="U408" i="8" s="1" a="1"/>
  <c r="U408" i="8" s="1"/>
  <c r="M408" i="8"/>
  <c r="N200" i="8"/>
  <c r="U200" i="8" s="1" a="1"/>
  <c r="U200" i="8" s="1"/>
  <c r="M200" i="8"/>
  <c r="N152" i="8"/>
  <c r="U152" i="8" s="1" a="1"/>
  <c r="U152" i="8" s="1"/>
  <c r="M152" i="8"/>
  <c r="N533" i="8"/>
  <c r="U533" i="8" s="1" a="1"/>
  <c r="U533" i="8" s="1"/>
  <c r="M533" i="8"/>
  <c r="N469" i="8"/>
  <c r="U469" i="8" s="1" a="1"/>
  <c r="U469" i="8" s="1"/>
  <c r="M469" i="8"/>
  <c r="N445" i="8"/>
  <c r="U445" i="8" s="1" a="1"/>
  <c r="U445" i="8" s="1"/>
  <c r="M445" i="8"/>
  <c r="N61" i="8"/>
  <c r="U61" i="8" s="1" a="1"/>
  <c r="U61" i="8" s="1"/>
  <c r="M61" i="8"/>
  <c r="M13" i="8"/>
  <c r="N13" i="8"/>
  <c r="U13" i="8" s="1" a="1"/>
  <c r="U13" i="8" s="1"/>
  <c r="M5" i="8"/>
  <c r="N5" i="8"/>
  <c r="U5" i="8" s="1" a="1"/>
  <c r="U5" i="8" s="1"/>
  <c r="N499" i="8"/>
  <c r="U499" i="8" s="1" a="1"/>
  <c r="U499" i="8" s="1"/>
  <c r="M499" i="8"/>
  <c r="N52" i="8"/>
  <c r="U52" i="8" s="1" a="1"/>
  <c r="U52" i="8" s="1"/>
  <c r="M52" i="8"/>
  <c r="N389" i="8"/>
  <c r="U389" i="8" s="1" a="1"/>
  <c r="U389" i="8" s="1"/>
  <c r="M389" i="8"/>
  <c r="N269" i="8"/>
  <c r="U269" i="8" s="1" a="1"/>
  <c r="U269" i="8" s="1"/>
  <c r="M269" i="8"/>
  <c r="N205" i="8"/>
  <c r="U205" i="8" s="1" a="1"/>
  <c r="U205" i="8" s="1"/>
  <c r="M205" i="8"/>
  <c r="N165" i="8"/>
  <c r="U165" i="8" s="1" a="1"/>
  <c r="U165" i="8" s="1"/>
  <c r="M165" i="8"/>
  <c r="N149" i="8"/>
  <c r="U149" i="8" s="1" a="1"/>
  <c r="U149" i="8" s="1"/>
  <c r="M149" i="8"/>
  <c r="N147" i="8"/>
  <c r="U147" i="8" s="1" a="1"/>
  <c r="U147" i="8" s="1"/>
  <c r="N163" i="8"/>
  <c r="U163" i="8" s="1" a="1"/>
  <c r="U163" i="8" s="1"/>
  <c r="N239" i="8"/>
  <c r="U239" i="8" s="1" a="1"/>
  <c r="U239" i="8" s="1"/>
  <c r="M420" i="8"/>
  <c r="N295" i="8"/>
  <c r="U295" i="8" s="1" a="1"/>
  <c r="U295" i="8" s="1"/>
  <c r="M295" i="8"/>
  <c r="N148" i="8"/>
  <c r="U148" i="8" s="1" a="1"/>
  <c r="U148" i="8" s="1"/>
  <c r="M148" i="8"/>
  <c r="M244" i="8"/>
  <c r="N228" i="8"/>
  <c r="U228" i="8" s="1" a="1"/>
  <c r="U228" i="8" s="1"/>
  <c r="M228" i="8"/>
  <c r="M220" i="8"/>
  <c r="M212" i="8"/>
  <c r="N204" i="8"/>
  <c r="U204" i="8" s="1" a="1"/>
  <c r="U204" i="8" s="1"/>
  <c r="M204" i="8"/>
  <c r="M448" i="8"/>
  <c r="M347" i="8"/>
  <c r="M141" i="8"/>
  <c r="N419" i="8"/>
  <c r="U419" i="8" s="1" a="1"/>
  <c r="U419" i="8" s="1"/>
  <c r="M419" i="8"/>
  <c r="N308" i="8"/>
  <c r="U308" i="8" s="1" a="1"/>
  <c r="U308" i="8" s="1"/>
  <c r="M308" i="8"/>
  <c r="N199" i="8"/>
  <c r="U199" i="8" s="1" a="1"/>
  <c r="U199" i="8" s="1"/>
  <c r="M199" i="8"/>
  <c r="N307" i="8"/>
  <c r="U307" i="8" s="1" a="1"/>
  <c r="U307" i="8" s="1"/>
  <c r="M307" i="8"/>
  <c r="M530" i="8"/>
  <c r="M522" i="8"/>
  <c r="M514" i="8"/>
  <c r="M506" i="8"/>
  <c r="M498" i="8"/>
  <c r="M490" i="8"/>
  <c r="M482" i="8"/>
  <c r="M474" i="8"/>
  <c r="M466" i="8"/>
  <c r="M458" i="8"/>
  <c r="M450" i="8"/>
  <c r="M442" i="8"/>
  <c r="M434" i="8"/>
  <c r="M426" i="8"/>
  <c r="M418" i="8"/>
  <c r="M410" i="8"/>
  <c r="M402" i="8"/>
  <c r="M394" i="8"/>
  <c r="M386" i="8"/>
  <c r="M378" i="8"/>
  <c r="M370" i="8"/>
  <c r="M362" i="8"/>
  <c r="M354" i="8"/>
  <c r="M346" i="8"/>
  <c r="M338" i="8"/>
  <c r="M330" i="8"/>
  <c r="M322" i="8"/>
  <c r="M314" i="8"/>
  <c r="M306" i="8"/>
  <c r="M298" i="8"/>
  <c r="M290" i="8"/>
  <c r="M282" i="8"/>
  <c r="M274" i="8"/>
  <c r="M266" i="8"/>
  <c r="M258" i="8"/>
  <c r="M250" i="8"/>
  <c r="M242" i="8"/>
  <c r="M234" i="8"/>
  <c r="M226" i="8"/>
  <c r="M218" i="8"/>
  <c r="M188" i="8"/>
  <c r="M23" i="8"/>
  <c r="N69" i="8"/>
  <c r="U69" i="8" s="1" a="1"/>
  <c r="U69" i="8" s="1"/>
  <c r="M69" i="8"/>
  <c r="M529" i="8"/>
  <c r="M521" i="8"/>
  <c r="M513" i="8"/>
  <c r="M505" i="8"/>
  <c r="M497" i="8"/>
  <c r="M489" i="8"/>
  <c r="M481" i="8"/>
  <c r="M473" i="8"/>
  <c r="M465" i="8"/>
  <c r="M457" i="8"/>
  <c r="M449" i="8"/>
  <c r="M441" i="8"/>
  <c r="M433" i="8"/>
  <c r="M425" i="8"/>
  <c r="M417" i="8"/>
  <c r="M409" i="8"/>
  <c r="M401" i="8"/>
  <c r="M393" i="8"/>
  <c r="M385" i="8"/>
  <c r="M377" i="8"/>
  <c r="M369" i="8"/>
  <c r="M361" i="8"/>
  <c r="M353" i="8"/>
  <c r="M345" i="8"/>
  <c r="M337" i="8"/>
  <c r="M329" i="8"/>
  <c r="M321" i="8"/>
  <c r="M289" i="8"/>
  <c r="M281" i="8"/>
  <c r="M273" i="8"/>
  <c r="M265" i="8"/>
  <c r="M257" i="8"/>
  <c r="M249" i="8"/>
  <c r="M241" i="8"/>
  <c r="M233" i="8"/>
  <c r="M225" i="8"/>
  <c r="M217" i="8"/>
  <c r="M209" i="8"/>
  <c r="M201" i="8"/>
  <c r="M236" i="8"/>
  <c r="M184" i="8"/>
  <c r="N559" i="8"/>
  <c r="U559" i="8" s="1" a="1"/>
  <c r="U559" i="8" s="1"/>
  <c r="M559" i="8"/>
  <c r="N407" i="8"/>
  <c r="U407" i="8" s="1" a="1"/>
  <c r="U407" i="8" s="1"/>
  <c r="M407" i="8"/>
  <c r="N570" i="8"/>
  <c r="U570" i="8" s="1" a="1"/>
  <c r="U570" i="8" s="1"/>
  <c r="M570" i="8"/>
  <c r="N554" i="8"/>
  <c r="U554" i="8" s="1" a="1"/>
  <c r="U554" i="8" s="1"/>
  <c r="M554" i="8"/>
  <c r="N546" i="8"/>
  <c r="U546" i="8" s="1" a="1"/>
  <c r="U546" i="8" s="1"/>
  <c r="M546" i="8"/>
  <c r="N566" i="8"/>
  <c r="U566" i="8" s="1" a="1"/>
  <c r="U566" i="8" s="1"/>
  <c r="M566" i="8"/>
  <c r="N545" i="8"/>
  <c r="U545" i="8" s="1" a="1"/>
  <c r="U545" i="8" s="1"/>
  <c r="M545" i="8"/>
  <c r="M375" i="8"/>
  <c r="M175" i="8"/>
  <c r="N509" i="8"/>
  <c r="U509" i="8" s="1" a="1"/>
  <c r="U509" i="8" s="1"/>
  <c r="M509" i="8"/>
  <c r="M492" i="8"/>
  <c r="M460" i="8"/>
  <c r="N431" i="8"/>
  <c r="U431" i="8" s="1" a="1"/>
  <c r="U431" i="8" s="1"/>
  <c r="M431" i="8"/>
  <c r="M428" i="8"/>
  <c r="N167" i="8"/>
  <c r="U167" i="8" s="1" a="1"/>
  <c r="U167" i="8" s="1"/>
  <c r="M167" i="8"/>
  <c r="N12" i="8"/>
  <c r="U12" i="8" s="1" a="1"/>
  <c r="U12" i="8" s="1"/>
  <c r="M12" i="8"/>
  <c r="N104" i="8"/>
  <c r="U104" i="8" s="1" a="1"/>
  <c r="U104" i="8" s="1"/>
  <c r="M104" i="8"/>
  <c r="N56" i="8"/>
  <c r="U56" i="8" s="1" a="1"/>
  <c r="U56" i="8" s="1"/>
  <c r="M56" i="8"/>
  <c r="N32" i="8"/>
  <c r="U32" i="8" s="1" a="1"/>
  <c r="U32" i="8" s="1"/>
  <c r="M32" i="8"/>
  <c r="M423" i="8"/>
  <c r="M320" i="8"/>
  <c r="M172" i="8"/>
  <c r="N335" i="8"/>
  <c r="U335" i="8" s="1" a="1"/>
  <c r="U335" i="8" s="1"/>
  <c r="M335" i="8"/>
  <c r="N171" i="8"/>
  <c r="U171" i="8" s="1" a="1"/>
  <c r="U171" i="8" s="1"/>
  <c r="M171" i="8"/>
  <c r="N319" i="8"/>
  <c r="U319" i="8" s="1" a="1"/>
  <c r="U319" i="8" s="1"/>
  <c r="M412" i="8"/>
  <c r="M180" i="8"/>
  <c r="M116" i="8"/>
  <c r="N2" i="8"/>
  <c r="M2" i="8"/>
  <c r="N480" i="8"/>
  <c r="U480" i="8" s="1" a="1"/>
  <c r="U480" i="8" s="1"/>
  <c r="M480" i="8"/>
  <c r="N456" i="8"/>
  <c r="U456" i="8" s="1" a="1"/>
  <c r="U456" i="8" s="1"/>
  <c r="M456" i="8"/>
  <c r="N368" i="8"/>
  <c r="U368" i="8" s="1" a="1"/>
  <c r="U368" i="8" s="1"/>
  <c r="M368" i="8"/>
  <c r="N360" i="8"/>
  <c r="U360" i="8" s="1" a="1"/>
  <c r="U360" i="8" s="1"/>
  <c r="M360" i="8"/>
  <c r="N344" i="8"/>
  <c r="U344" i="8" s="1" a="1"/>
  <c r="U344" i="8" s="1"/>
  <c r="M344" i="8"/>
  <c r="N296" i="8"/>
  <c r="U296" i="8" s="1" a="1"/>
  <c r="U296" i="8" s="1"/>
  <c r="M296" i="8"/>
  <c r="N288" i="8"/>
  <c r="U288" i="8" s="1" a="1"/>
  <c r="U288" i="8" s="1"/>
  <c r="M288" i="8"/>
  <c r="N7" i="8"/>
  <c r="U7" i="8" s="1" a="1"/>
  <c r="U7" i="8" s="1"/>
  <c r="N444" i="8"/>
  <c r="U444" i="8" s="1" a="1"/>
  <c r="U444" i="8" s="1"/>
  <c r="M396" i="8"/>
  <c r="M380" i="8"/>
  <c r="N348" i="8"/>
  <c r="U348" i="8" s="1" a="1"/>
  <c r="U348" i="8" s="1"/>
  <c r="M348" i="8"/>
  <c r="M332" i="8"/>
  <c r="M316" i="8"/>
  <c r="M284" i="8"/>
  <c r="M44" i="8"/>
  <c r="N511" i="8"/>
  <c r="U511" i="8" s="1" a="1"/>
  <c r="U511" i="8" s="1"/>
  <c r="M511" i="8"/>
  <c r="N495" i="8"/>
  <c r="U495" i="8" s="1" a="1"/>
  <c r="U495" i="8" s="1"/>
  <c r="M495" i="8"/>
  <c r="N471" i="8"/>
  <c r="U471" i="8" s="1" a="1"/>
  <c r="U471" i="8" s="1"/>
  <c r="M471" i="8"/>
  <c r="N455" i="8"/>
  <c r="U455" i="8" s="1" a="1"/>
  <c r="U455" i="8" s="1"/>
  <c r="M455" i="8"/>
  <c r="N447" i="8"/>
  <c r="U447" i="8" s="1" a="1"/>
  <c r="U447" i="8" s="1"/>
  <c r="M447" i="8"/>
  <c r="N111" i="8"/>
  <c r="U111" i="8" s="1" a="1"/>
  <c r="U111" i="8" s="1"/>
  <c r="M111" i="8"/>
  <c r="N103" i="8"/>
  <c r="U103" i="8" s="1" a="1"/>
  <c r="U103" i="8" s="1"/>
  <c r="M103" i="8"/>
  <c r="M534" i="8"/>
  <c r="M526" i="8"/>
  <c r="M518" i="8"/>
  <c r="M510" i="8"/>
  <c r="M502" i="8"/>
  <c r="M494" i="8"/>
  <c r="M486" i="8"/>
  <c r="M478" i="8"/>
  <c r="M470" i="8"/>
  <c r="M462" i="8"/>
  <c r="M454" i="8"/>
  <c r="M446" i="8"/>
  <c r="M438" i="8"/>
  <c r="M430" i="8"/>
  <c r="M422" i="8"/>
  <c r="M414" i="8"/>
  <c r="M406" i="8"/>
  <c r="M398" i="8"/>
  <c r="M390" i="8"/>
  <c r="M382" i="8"/>
  <c r="M374" i="8"/>
  <c r="M366" i="8"/>
  <c r="M358" i="8"/>
  <c r="M350" i="8"/>
  <c r="M342" i="8"/>
  <c r="M334" i="8"/>
  <c r="M326" i="8"/>
  <c r="M318" i="8"/>
  <c r="M310" i="8"/>
  <c r="M302" i="8"/>
  <c r="M294" i="8"/>
  <c r="M286" i="8"/>
  <c r="M278" i="8"/>
  <c r="M270" i="8"/>
  <c r="M262" i="8"/>
  <c r="M254" i="8"/>
  <c r="M246" i="8"/>
  <c r="M238" i="8"/>
  <c r="M230" i="8"/>
  <c r="M222" i="8"/>
  <c r="M214" i="8"/>
  <c r="M206" i="8"/>
  <c r="M198" i="8"/>
  <c r="M190" i="8"/>
  <c r="M182" i="8"/>
  <c r="M174" i="8"/>
  <c r="M166" i="8"/>
  <c r="M158" i="8"/>
  <c r="M150" i="8"/>
  <c r="M142" i="8"/>
  <c r="M134" i="8"/>
  <c r="M126" i="8"/>
  <c r="M118" i="8"/>
  <c r="M110" i="8"/>
  <c r="M102" i="8"/>
  <c r="M94" i="8"/>
  <c r="M86" i="8"/>
  <c r="M78" i="8"/>
  <c r="M70" i="8"/>
  <c r="M62" i="8"/>
  <c r="M54" i="8"/>
  <c r="M46" i="8"/>
  <c r="M38" i="8"/>
  <c r="M30" i="8"/>
  <c r="M22" i="8"/>
  <c r="M14" i="8"/>
  <c r="M6" i="8"/>
  <c r="M560" i="8"/>
  <c r="M413" i="8"/>
  <c r="M213" i="8"/>
  <c r="N532" i="8"/>
  <c r="U532" i="8" s="1" a="1"/>
  <c r="U532" i="8" s="1"/>
  <c r="M532" i="8"/>
  <c r="N343" i="8"/>
  <c r="U343" i="8" s="1" a="1"/>
  <c r="U343" i="8" s="1"/>
  <c r="M343" i="8"/>
  <c r="N485" i="8"/>
  <c r="U485" i="8" s="1" a="1"/>
  <c r="U485" i="8" s="1"/>
  <c r="M485" i="8"/>
  <c r="N297" i="8"/>
  <c r="U297" i="8" s="1" a="1"/>
  <c r="U297" i="8" s="1"/>
  <c r="N567" i="8"/>
  <c r="U567" i="8" s="1" a="1"/>
  <c r="U567" i="8" s="1"/>
  <c r="M567" i="8"/>
  <c r="M524" i="8"/>
  <c r="N303" i="8"/>
  <c r="U303" i="8" s="1" a="1"/>
  <c r="U303" i="8" s="1"/>
  <c r="N552" i="8"/>
  <c r="U552" i="8" s="1" a="1"/>
  <c r="U552" i="8" s="1"/>
  <c r="M552" i="8"/>
  <c r="N520" i="8"/>
  <c r="U520" i="8" s="1" a="1"/>
  <c r="U520" i="8" s="1"/>
  <c r="M520" i="8"/>
  <c r="N440" i="8"/>
  <c r="U440" i="8" s="1" a="1"/>
  <c r="U440" i="8" s="1"/>
  <c r="M440" i="8"/>
  <c r="N168" i="8"/>
  <c r="U168" i="8" s="1" a="1"/>
  <c r="U168" i="8" s="1"/>
  <c r="M168" i="8"/>
  <c r="N412" i="8"/>
  <c r="U412" i="8" s="1" a="1"/>
  <c r="U412" i="8" s="1"/>
  <c r="M575" i="8"/>
  <c r="M543" i="8"/>
  <c r="N519" i="8"/>
  <c r="U519" i="8" s="1" a="1"/>
  <c r="U519" i="8" s="1"/>
  <c r="M519" i="8"/>
  <c r="M484" i="8"/>
  <c r="N468" i="8"/>
  <c r="U468" i="8" s="1" a="1"/>
  <c r="U468" i="8" s="1"/>
  <c r="M468" i="8"/>
  <c r="M300" i="8"/>
  <c r="N164" i="8"/>
  <c r="U164" i="8" s="1" a="1"/>
  <c r="U164" i="8" s="1"/>
  <c r="M164" i="8"/>
  <c r="N151" i="8"/>
  <c r="U151" i="8" s="1" a="1"/>
  <c r="U151" i="8" s="1"/>
  <c r="M151" i="8"/>
  <c r="N112" i="8"/>
  <c r="U112" i="8" s="1" a="1"/>
  <c r="U112" i="8" s="1"/>
  <c r="M112" i="8"/>
  <c r="M76" i="8"/>
  <c r="M20" i="8"/>
  <c r="N8" i="8"/>
  <c r="U8" i="8" s="1" a="1"/>
  <c r="U8" i="8" s="1"/>
  <c r="M8" i="8"/>
  <c r="M558" i="8"/>
  <c r="M512" i="8"/>
  <c r="M359" i="8"/>
  <c r="M309" i="8"/>
  <c r="M68" i="8"/>
  <c r="M210" i="8"/>
  <c r="M202" i="8"/>
  <c r="M194" i="8"/>
  <c r="M186" i="8"/>
  <c r="M178" i="8"/>
  <c r="M170" i="8"/>
  <c r="M162" i="8"/>
  <c r="M154" i="8"/>
  <c r="M146" i="8"/>
  <c r="M138" i="8"/>
  <c r="M130" i="8"/>
  <c r="M122" i="8"/>
  <c r="M114" i="8"/>
  <c r="M106" i="8"/>
  <c r="M98" i="8"/>
  <c r="M90" i="8"/>
  <c r="M82" i="8"/>
  <c r="M74" i="8"/>
  <c r="M66" i="8"/>
  <c r="M58" i="8"/>
  <c r="M50" i="8"/>
  <c r="M42" i="8"/>
  <c r="M34" i="8"/>
  <c r="M26" i="8"/>
  <c r="M18" i="8"/>
  <c r="M10" i="8"/>
  <c r="M193" i="8"/>
  <c r="M185" i="8"/>
  <c r="M177" i="8"/>
  <c r="M169" i="8"/>
  <c r="M161" i="8"/>
  <c r="M153" i="8"/>
  <c r="M145" i="8"/>
  <c r="M137" i="8"/>
  <c r="M129" i="8"/>
  <c r="M121" i="8"/>
  <c r="M113" i="8"/>
  <c r="M105" i="8"/>
  <c r="M97" i="8"/>
  <c r="M89" i="8"/>
  <c r="M81" i="8"/>
  <c r="M73" i="8"/>
  <c r="M65" i="8"/>
  <c r="M57" i="8"/>
  <c r="M49" i="8"/>
  <c r="M41" i="8"/>
  <c r="M33" i="8"/>
  <c r="M25" i="8"/>
  <c r="M17" i="8"/>
  <c r="M9" i="8"/>
  <c r="M536" i="8"/>
  <c r="M581" i="8"/>
  <c r="M573" i="8"/>
  <c r="M565" i="8"/>
  <c r="M557" i="8"/>
  <c r="M549" i="8"/>
  <c r="M541" i="8"/>
  <c r="M577" i="8"/>
  <c r="M569" i="8"/>
  <c r="M561" i="8"/>
  <c r="M553" i="8"/>
  <c r="N537" i="8"/>
  <c r="U537" i="8" s="1" a="1"/>
  <c r="U537" i="8" s="1"/>
  <c r="N536" i="8"/>
  <c r="U536" i="8" s="1" a="1"/>
  <c r="U536" i="8" s="1"/>
  <c r="E27" i="10"/>
  <c r="N580" i="8"/>
  <c r="U580" i="8" s="1" a="1"/>
  <c r="U580" i="8" s="1"/>
  <c r="N568" i="8"/>
  <c r="U568" i="8" s="1" a="1"/>
  <c r="U568" i="8" s="1"/>
  <c r="N376" i="8"/>
  <c r="U376" i="8" s="1" a="1"/>
  <c r="U376" i="8" s="1"/>
  <c r="N564" i="8"/>
  <c r="U564" i="8" s="1" a="1"/>
  <c r="U564" i="8" s="1"/>
  <c r="N500" i="8"/>
  <c r="U500" i="8" s="1" a="1"/>
  <c r="U500" i="8" s="1"/>
  <c r="N59" i="8"/>
  <c r="U59" i="8" s="1" a="1"/>
  <c r="U59" i="8" s="1"/>
  <c r="N460" i="8"/>
  <c r="U460" i="8" s="1" a="1"/>
  <c r="U460" i="8" s="1"/>
  <c r="N16" i="8"/>
  <c r="U16" i="8" s="1" a="1"/>
  <c r="U16" i="8" s="1"/>
  <c r="N259" i="8"/>
  <c r="U259" i="8" s="1" a="1"/>
  <c r="U259" i="8" s="1"/>
  <c r="N362" i="8"/>
  <c r="U362" i="8" s="1" a="1"/>
  <c r="U362" i="8" s="1"/>
  <c r="E14" i="10"/>
  <c r="E35" i="10"/>
  <c r="N86" i="8"/>
  <c r="U86" i="8" s="1" a="1"/>
  <c r="U86" i="8" s="1"/>
  <c r="U2" i="8" a="1"/>
  <c r="U2" i="8" s="1"/>
  <c r="N185" i="8"/>
  <c r="U185" i="8" s="1" a="1"/>
  <c r="U185" i="8" s="1"/>
  <c r="N145" i="8"/>
  <c r="U145" i="8" s="1" a="1"/>
  <c r="U145" i="8" s="1"/>
  <c r="N301" i="8"/>
  <c r="U301" i="8" s="1" a="1"/>
  <c r="U301" i="8" s="1"/>
  <c r="N462" i="8"/>
  <c r="U462" i="8" s="1" a="1"/>
  <c r="U462" i="8" s="1"/>
  <c r="N222" i="8"/>
  <c r="U222" i="8" s="1" a="1"/>
  <c r="U222" i="8" s="1"/>
  <c r="N399" i="8"/>
  <c r="U399" i="8" s="1" a="1"/>
  <c r="U399" i="8" s="1"/>
  <c r="N409" i="8"/>
  <c r="U409" i="8" s="1" a="1"/>
  <c r="U409" i="8" s="1"/>
  <c r="N14" i="8"/>
  <c r="U14" i="8" s="1" a="1"/>
  <c r="U14" i="8" s="1"/>
  <c r="N134" i="8"/>
  <c r="U134" i="8" s="1" a="1"/>
  <c r="U134" i="8" s="1"/>
  <c r="N191" i="8"/>
  <c r="U191" i="8" s="1" a="1"/>
  <c r="U191" i="8" s="1"/>
  <c r="N345" i="8"/>
  <c r="U345" i="8" s="1" a="1"/>
  <c r="U345" i="8" s="1"/>
  <c r="N404" i="8"/>
  <c r="U404" i="8" s="1" a="1"/>
  <c r="U404" i="8" s="1"/>
  <c r="N97" i="8"/>
  <c r="U97" i="8" s="1" a="1"/>
  <c r="U97" i="8" s="1"/>
  <c r="N416" i="8"/>
  <c r="U416" i="8" s="1" a="1"/>
  <c r="U416" i="8" s="1"/>
  <c r="N79" i="8"/>
  <c r="U79" i="8" s="1" a="1"/>
  <c r="U79" i="8" s="1"/>
  <c r="N293" i="8"/>
  <c r="U293" i="8" s="1" a="1"/>
  <c r="U293" i="8" s="1"/>
  <c r="N387" i="8"/>
  <c r="U387" i="8" s="1" a="1"/>
  <c r="U387" i="8" s="1"/>
  <c r="N478" i="8"/>
  <c r="U478" i="8" s="1" a="1"/>
  <c r="U478" i="8" s="1"/>
  <c r="N142" i="8"/>
  <c r="U142" i="8" s="1" a="1"/>
  <c r="U142" i="8" s="1"/>
  <c r="N538" i="8"/>
  <c r="U538" i="8" s="1" a="1"/>
  <c r="U538" i="8" s="1"/>
  <c r="N176" i="8"/>
  <c r="U176" i="8" s="1" a="1"/>
  <c r="U176" i="8" s="1"/>
  <c r="N21" i="8"/>
  <c r="U21" i="8" s="1" a="1"/>
  <c r="U21" i="8" s="1"/>
  <c r="N206" i="8"/>
  <c r="U206" i="8" s="1" a="1"/>
  <c r="U206" i="8" s="1"/>
  <c r="N317" i="8"/>
  <c r="U317" i="8" s="1" a="1"/>
  <c r="U317" i="8" s="1"/>
  <c r="N132" i="8"/>
  <c r="U132" i="8" s="1" a="1"/>
  <c r="U132" i="8" s="1"/>
  <c r="N159" i="8"/>
  <c r="U159" i="8" s="1" a="1"/>
  <c r="U159" i="8" s="1"/>
  <c r="N216" i="8"/>
  <c r="U216" i="8" s="1" a="1"/>
  <c r="U216" i="8" s="1"/>
  <c r="N496" i="8"/>
  <c r="U496" i="8" s="1" a="1"/>
  <c r="U496" i="8" s="1"/>
  <c r="N516" i="8"/>
  <c r="U516" i="8" s="1" a="1"/>
  <c r="U516" i="8" s="1"/>
  <c r="N542" i="8"/>
  <c r="U542" i="8" s="1" a="1"/>
  <c r="U542" i="8" s="1"/>
  <c r="N304" i="8"/>
  <c r="U304" i="8" s="1" a="1"/>
  <c r="U304" i="8" s="1"/>
  <c r="N355" i="8"/>
  <c r="U355" i="8" s="1" a="1"/>
  <c r="U355" i="8" s="1"/>
  <c r="N208" i="8"/>
  <c r="U208" i="8" s="1" a="1"/>
  <c r="U208" i="8" s="1"/>
  <c r="N247" i="8"/>
  <c r="U247" i="8" s="1" a="1"/>
  <c r="U247" i="8" s="1"/>
  <c r="N249" i="8"/>
  <c r="U249" i="8" s="1" a="1"/>
  <c r="U249" i="8" s="1"/>
  <c r="N315" i="8"/>
  <c r="U315" i="8" s="1" a="1"/>
  <c r="U315" i="8" s="1"/>
  <c r="N424" i="8"/>
  <c r="U424" i="8" s="1" a="1"/>
  <c r="U424" i="8" s="1"/>
  <c r="N486" i="8"/>
  <c r="U486" i="8" s="1" a="1"/>
  <c r="U486" i="8" s="1"/>
  <c r="N572" i="8"/>
  <c r="U572" i="8" s="1" a="1"/>
  <c r="U572" i="8" s="1"/>
  <c r="N91" i="8"/>
  <c r="U91" i="8" s="1" a="1"/>
  <c r="U91" i="8" s="1"/>
  <c r="N340" i="8"/>
  <c r="U340" i="8" s="1" a="1"/>
  <c r="U340" i="8" s="1"/>
  <c r="N475" i="8"/>
  <c r="U475" i="8" s="1" a="1"/>
  <c r="U475" i="8" s="1"/>
  <c r="N547" i="8"/>
  <c r="U547" i="8" s="1" a="1"/>
  <c r="U547" i="8" s="1"/>
  <c r="N561" i="8"/>
  <c r="U561" i="8" s="1" a="1"/>
  <c r="U561" i="8" s="1"/>
  <c r="N9" i="8"/>
  <c r="U9" i="8" s="1" a="1"/>
  <c r="U9" i="8" s="1"/>
  <c r="N82" i="8"/>
  <c r="U82" i="8" s="1" a="1"/>
  <c r="U82" i="8" s="1"/>
  <c r="N18" i="8"/>
  <c r="U18" i="8" s="1" a="1"/>
  <c r="U18" i="8" s="1"/>
  <c r="N43" i="8"/>
  <c r="U43" i="8" s="1" a="1"/>
  <c r="U43" i="8" s="1"/>
  <c r="N47" i="8"/>
  <c r="U47" i="8" s="1" a="1"/>
  <c r="U47" i="8" s="1"/>
  <c r="N95" i="8"/>
  <c r="U95" i="8" s="1" a="1"/>
  <c r="U95" i="8" s="1"/>
  <c r="N89" i="8"/>
  <c r="U89" i="8" s="1" a="1"/>
  <c r="U89" i="8" s="1"/>
  <c r="N128" i="8"/>
  <c r="U128" i="8" s="1" a="1"/>
  <c r="U128" i="8" s="1"/>
  <c r="N194" i="8"/>
  <c r="U194" i="8" s="1" a="1"/>
  <c r="U194" i="8" s="1"/>
  <c r="N390" i="8"/>
  <c r="U390" i="8" s="1" a="1"/>
  <c r="U390" i="8" s="1"/>
  <c r="N521" i="8"/>
  <c r="U521" i="8" s="1" a="1"/>
  <c r="U521" i="8" s="1"/>
  <c r="E29" i="10"/>
  <c r="E31" i="10"/>
  <c r="E36" i="10"/>
  <c r="E32" i="10"/>
  <c r="E17" i="10"/>
  <c r="E34" i="10"/>
  <c r="E28" i="10"/>
  <c r="E33" i="10"/>
  <c r="E30" i="10"/>
  <c r="E22" i="10"/>
  <c r="E19" i="10"/>
  <c r="E20" i="10"/>
  <c r="E23" i="10"/>
  <c r="E18" i="10"/>
  <c r="E21" i="10"/>
  <c r="E15" i="10"/>
  <c r="E16" i="10"/>
  <c r="N124" i="8"/>
  <c r="U124" i="8" s="1" a="1"/>
  <c r="U124" i="8" s="1"/>
  <c r="N24" i="8"/>
  <c r="U24" i="8" s="1" a="1"/>
  <c r="U24" i="8" s="1"/>
  <c r="N101" i="8"/>
  <c r="U101" i="8" s="1" a="1"/>
  <c r="U101" i="8" s="1"/>
  <c r="N107" i="8"/>
  <c r="U107" i="8" s="1" a="1"/>
  <c r="U107" i="8" s="1"/>
  <c r="N181" i="8"/>
  <c r="U181" i="8" s="1" a="1"/>
  <c r="U181" i="8" s="1"/>
  <c r="N218" i="8"/>
  <c r="U218" i="8" s="1" a="1"/>
  <c r="U218" i="8" s="1"/>
  <c r="N93" i="8"/>
  <c r="U93" i="8" s="1" a="1"/>
  <c r="U93" i="8" s="1"/>
  <c r="N53" i="8"/>
  <c r="U53" i="8" s="1" a="1"/>
  <c r="U53" i="8" s="1"/>
  <c r="N77" i="8"/>
  <c r="U77" i="8" s="1" a="1"/>
  <c r="U77" i="8" s="1"/>
  <c r="N311" i="8"/>
  <c r="U311" i="8" s="1" a="1"/>
  <c r="U311" i="8" s="1"/>
  <c r="N351" i="8"/>
  <c r="U351" i="8" s="1" a="1"/>
  <c r="U351" i="8" s="1"/>
  <c r="N426" i="8"/>
  <c r="U426" i="8" s="1" a="1"/>
  <c r="U426" i="8" s="1"/>
  <c r="N481" i="8"/>
  <c r="U481" i="8" s="1" a="1"/>
  <c r="U481" i="8" s="1"/>
  <c r="N220" i="8"/>
  <c r="U220" i="8" s="1" a="1"/>
  <c r="U220" i="8" s="1"/>
  <c r="N240" i="8"/>
  <c r="U240" i="8" s="1" a="1"/>
  <c r="U240" i="8" s="1"/>
  <c r="N261" i="8"/>
  <c r="U261" i="8" s="1" a="1"/>
  <c r="U261" i="8" s="1"/>
  <c r="N299" i="8"/>
  <c r="U299" i="8" s="1" a="1"/>
  <c r="U299" i="8" s="1"/>
  <c r="N338" i="8"/>
  <c r="U338" i="8" s="1" a="1"/>
  <c r="U338" i="8" s="1"/>
  <c r="N451" i="8"/>
  <c r="U451" i="8" s="1" a="1"/>
  <c r="U451" i="8" s="1"/>
  <c r="N466" i="8"/>
  <c r="U466" i="8" s="1" a="1"/>
  <c r="U466" i="8" s="1"/>
  <c r="N524" i="8"/>
  <c r="U524" i="8" s="1" a="1"/>
  <c r="U524" i="8" s="1"/>
  <c r="N422" i="8"/>
  <c r="U422" i="8" s="1" a="1"/>
  <c r="U422" i="8" s="1"/>
  <c r="N457" i="8"/>
  <c r="U457" i="8" s="1" a="1"/>
  <c r="U457" i="8" s="1"/>
  <c r="N198" i="8"/>
  <c r="U198" i="8" s="1" a="1"/>
  <c r="U198" i="8" s="1"/>
  <c r="N290" i="8"/>
  <c r="U290" i="8" s="1" a="1"/>
  <c r="U290" i="8" s="1"/>
  <c r="N366" i="8"/>
  <c r="U366" i="8" s="1" a="1"/>
  <c r="U366" i="8" s="1"/>
  <c r="N383" i="8"/>
  <c r="U383" i="8" s="1" a="1"/>
  <c r="U383" i="8" s="1"/>
  <c r="N436" i="8"/>
  <c r="U436" i="8" s="1" a="1"/>
  <c r="U436" i="8" s="1"/>
  <c r="N490" i="8"/>
  <c r="U490" i="8" s="1" a="1"/>
  <c r="U490" i="8" s="1"/>
  <c r="N503" i="8"/>
  <c r="U503" i="8" s="1" a="1"/>
  <c r="U503" i="8" s="1"/>
  <c r="N555" i="8"/>
  <c r="U555" i="8" s="1" a="1"/>
  <c r="U555" i="8" s="1"/>
  <c r="N35" i="8"/>
  <c r="U35" i="8" s="1" a="1"/>
  <c r="U35" i="8" s="1"/>
  <c r="N62" i="8"/>
  <c r="U62" i="8" s="1" a="1"/>
  <c r="U62" i="8" s="1"/>
  <c r="N263" i="8"/>
  <c r="U263" i="8" s="1" a="1"/>
  <c r="U263" i="8" s="1"/>
  <c r="N472" i="8"/>
  <c r="U472" i="8" s="1" a="1"/>
  <c r="U472" i="8" s="1"/>
  <c r="N527" i="8"/>
  <c r="U527" i="8" s="1" a="1"/>
  <c r="U527" i="8" s="1"/>
  <c r="N549" i="8"/>
  <c r="U549" i="8" s="1" a="1"/>
  <c r="U549" i="8" s="1"/>
  <c r="N153" i="8"/>
  <c r="U153" i="8" s="1" a="1"/>
  <c r="U153" i="8" s="1"/>
  <c r="N173" i="8"/>
  <c r="U173" i="8" s="1" a="1"/>
  <c r="U173" i="8" s="1"/>
  <c r="N201" i="8"/>
  <c r="U201" i="8" s="1" a="1"/>
  <c r="U201" i="8" s="1"/>
  <c r="N270" i="8"/>
  <c r="U270" i="8" s="1" a="1"/>
  <c r="U270" i="8" s="1"/>
  <c r="N378" i="8"/>
  <c r="U378" i="8" s="1" a="1"/>
  <c r="U378" i="8" s="1"/>
  <c r="N402" i="8"/>
  <c r="U402" i="8" s="1" a="1"/>
  <c r="U402" i="8" s="1"/>
  <c r="N432" i="8"/>
  <c r="U432" i="8" s="1" a="1"/>
  <c r="U432" i="8" s="1"/>
  <c r="N99" i="8"/>
  <c r="U99" i="8" s="1" a="1"/>
  <c r="U99" i="8" s="1"/>
  <c r="N109" i="8"/>
  <c r="U109" i="8" s="1" a="1"/>
  <c r="U109" i="8" s="1"/>
  <c r="N130" i="8"/>
  <c r="U130" i="8" s="1" a="1"/>
  <c r="U130" i="8" s="1"/>
  <c r="N84" i="8"/>
  <c r="U84" i="8" s="1" a="1"/>
  <c r="U84" i="8" s="1"/>
  <c r="N138" i="8"/>
  <c r="U138" i="8" s="1" a="1"/>
  <c r="U138" i="8" s="1"/>
  <c r="N189" i="8"/>
  <c r="U189" i="8" s="1" a="1"/>
  <c r="U189" i="8" s="1"/>
  <c r="N70" i="8"/>
  <c r="U70" i="8" s="1" a="1"/>
  <c r="U70" i="8" s="1"/>
  <c r="N179" i="8"/>
  <c r="U179" i="8" s="1" a="1"/>
  <c r="U179" i="8" s="1"/>
  <c r="N229" i="8"/>
  <c r="U229" i="8" s="1" a="1"/>
  <c r="U229" i="8" s="1"/>
  <c r="N211" i="8"/>
  <c r="U211" i="8" s="1" a="1"/>
  <c r="U211" i="8" s="1"/>
  <c r="N226" i="8"/>
  <c r="U226" i="8" s="1" a="1"/>
  <c r="U226" i="8" s="1"/>
  <c r="N276" i="8"/>
  <c r="U276" i="8" s="1" a="1"/>
  <c r="U276" i="8" s="1"/>
  <c r="N336" i="8"/>
  <c r="U336" i="8" s="1" a="1"/>
  <c r="U336" i="8" s="1"/>
  <c r="N196" i="8"/>
  <c r="U196" i="8" s="1" a="1"/>
  <c r="U196" i="8" s="1"/>
  <c r="N237" i="8"/>
  <c r="U237" i="8" s="1" a="1"/>
  <c r="U237" i="8" s="1"/>
  <c r="N243" i="8"/>
  <c r="U243" i="8" s="1" a="1"/>
  <c r="U243" i="8" s="1"/>
  <c r="N396" i="8"/>
  <c r="U396" i="8" s="1" a="1"/>
  <c r="U396" i="8" s="1"/>
  <c r="N370" i="8"/>
  <c r="U370" i="8" s="1" a="1"/>
  <c r="U370" i="8" s="1"/>
  <c r="N420" i="8"/>
  <c r="U420" i="8" s="1" a="1"/>
  <c r="U420" i="8" s="1"/>
  <c r="N322" i="8"/>
  <c r="U322" i="8" s="1" a="1"/>
  <c r="U32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BA19CD-4BD2-4D65-9FC1-AAF42ACD924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56F3A56-4033-4596-B79B-7EDA734AB98A}" name="WorksheetConnection_Final_Cleaned_2024_2025_Sales (1) (version 2).xlsb.xlsx!Table2" type="102" refreshedVersion="8" minRefreshableVersion="5">
    <extLst>
      <ext xmlns:x15="http://schemas.microsoft.com/office/spreadsheetml/2010/11/main" uri="{DE250136-89BD-433C-8126-D09CA5730AF9}">
        <x15:connection id="Table2">
          <x15:rangePr sourceName="_xlcn.WorksheetConnection_Final_Cleaned_2024_2025_Sales1version2.xlsb.xlsxTable21"/>
        </x15:connection>
      </ext>
    </extLst>
  </connection>
  <connection id="3" xr16:uid="{A557A265-7B4B-439D-B9AE-82F1C4F890F5}" name="WorksheetConnection_Sheet1!$A$1:$M$9649" type="102" refreshedVersion="8" minRefreshableVersion="5">
    <extLst>
      <ext xmlns:x15="http://schemas.microsoft.com/office/spreadsheetml/2010/11/main" uri="{DE250136-89BD-433C-8126-D09CA5730AF9}">
        <x15:connection id="Range-45f69466-0a77-4f8f-b3a2-99c710609d96" autoDelete="1">
          <x15:rangePr sourceName="_xlcn.WorksheetConnection_Sheet1A1M9649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<sst xmlns="http://schemas.openxmlformats.org/spreadsheetml/2006/main" count="4914" uniqueCount="493">
  <si>
    <t>Order ID</t>
  </si>
  <si>
    <t>Date</t>
  </si>
  <si>
    <t>STATE</t>
  </si>
  <si>
    <t>Shoe style</t>
  </si>
  <si>
    <t>Shoe Colour</t>
  </si>
  <si>
    <t>UNIT PRICE</t>
  </si>
  <si>
    <t>Discount</t>
  </si>
  <si>
    <t>Quantity sold</t>
  </si>
  <si>
    <t>TOTAL SALES</t>
  </si>
  <si>
    <t>Amount Paid</t>
  </si>
  <si>
    <t>COST PRICE</t>
  </si>
  <si>
    <t>TOTAL COST PRICE</t>
  </si>
  <si>
    <t>Total Profit</t>
  </si>
  <si>
    <t>DEFICIT /SURPLUS</t>
  </si>
  <si>
    <t xml:space="preserve">Size </t>
  </si>
  <si>
    <t xml:space="preserve">Gender </t>
  </si>
  <si>
    <t>Channel</t>
  </si>
  <si>
    <t>Bank</t>
  </si>
  <si>
    <t xml:space="preserve">Delivery status </t>
  </si>
  <si>
    <t>Not delivered</t>
  </si>
  <si>
    <t>Deficit or surplus</t>
  </si>
  <si>
    <t>AUG2024-1</t>
  </si>
  <si>
    <t>LA|Lagos</t>
  </si>
  <si>
    <t>Delight sandal</t>
  </si>
  <si>
    <t>Black</t>
  </si>
  <si>
    <t>Female</t>
  </si>
  <si>
    <t>Instagram</t>
  </si>
  <si>
    <t>Polaris</t>
  </si>
  <si>
    <t>YES</t>
  </si>
  <si>
    <t>Rose</t>
  </si>
  <si>
    <t>Dark pink</t>
  </si>
  <si>
    <t>AUG2024-2</t>
  </si>
  <si>
    <t>Lily sandal</t>
  </si>
  <si>
    <t>Silver Metallic</t>
  </si>
  <si>
    <t>AUG2024-3</t>
  </si>
  <si>
    <t>The Queens Gladiator</t>
  </si>
  <si>
    <t>AUG2024-4</t>
  </si>
  <si>
    <t>Sapphire</t>
  </si>
  <si>
    <t>Yellow</t>
  </si>
  <si>
    <t>AUG2024-5</t>
  </si>
  <si>
    <t>Royal blue</t>
  </si>
  <si>
    <t>AUG2024-6</t>
  </si>
  <si>
    <t>Crystal</t>
  </si>
  <si>
    <t>Wine</t>
  </si>
  <si>
    <t>Providus</t>
  </si>
  <si>
    <t>AUG2024-7</t>
  </si>
  <si>
    <t>AUG2024-8</t>
  </si>
  <si>
    <t>AUG2024-9</t>
  </si>
  <si>
    <t>AUG2024-10</t>
  </si>
  <si>
    <t>Jade Sandal</t>
  </si>
  <si>
    <t>Light brown</t>
  </si>
  <si>
    <t>Garnet sandal</t>
  </si>
  <si>
    <t>AUG2024-11</t>
  </si>
  <si>
    <t>Diamond</t>
  </si>
  <si>
    <t>Website</t>
  </si>
  <si>
    <t>Sky blue</t>
  </si>
  <si>
    <t>AUG2024-12</t>
  </si>
  <si>
    <t>Prestige collection</t>
  </si>
  <si>
    <t>AUG2024-13</t>
  </si>
  <si>
    <t>AUG2024-14</t>
  </si>
  <si>
    <t>AUG2024-15</t>
  </si>
  <si>
    <t>Green</t>
  </si>
  <si>
    <t>Navy blue</t>
  </si>
  <si>
    <t>Red</t>
  </si>
  <si>
    <t>AUG2024-16</t>
  </si>
  <si>
    <t>AUG2024-17</t>
  </si>
  <si>
    <t>AUG2024-18</t>
  </si>
  <si>
    <t>AUG2024-19</t>
  </si>
  <si>
    <t>Amber sandal</t>
  </si>
  <si>
    <t>AUG2024-20</t>
  </si>
  <si>
    <t>AUG2024-21</t>
  </si>
  <si>
    <t>Pearl slippers</t>
  </si>
  <si>
    <t>AUG2024-22</t>
  </si>
  <si>
    <t>AUG2024-23</t>
  </si>
  <si>
    <t>AUG2024-24</t>
  </si>
  <si>
    <t>AUG2024-25</t>
  </si>
  <si>
    <t>AUG2024-26</t>
  </si>
  <si>
    <t>AUG2024-27</t>
  </si>
  <si>
    <t>Dark brown</t>
  </si>
  <si>
    <t>AUG2024-28</t>
  </si>
  <si>
    <t>AUG2024-29</t>
  </si>
  <si>
    <t>AUG2024-30</t>
  </si>
  <si>
    <t>AUG2024-31</t>
  </si>
  <si>
    <t>KN|Kano</t>
  </si>
  <si>
    <t>AUG2024-32</t>
  </si>
  <si>
    <t>OS|Osun</t>
  </si>
  <si>
    <t>Ruby Sandal</t>
  </si>
  <si>
    <t xml:space="preserve">Light Grey </t>
  </si>
  <si>
    <t>AUG2024-33</t>
  </si>
  <si>
    <t>Orange</t>
  </si>
  <si>
    <t>SEP2024-1</t>
  </si>
  <si>
    <t>IM|Imo</t>
  </si>
  <si>
    <t>Violet slippers</t>
  </si>
  <si>
    <t>Male</t>
  </si>
  <si>
    <t>SEP2024-3</t>
  </si>
  <si>
    <t>OY|Oyo</t>
  </si>
  <si>
    <t xml:space="preserve">Grey </t>
  </si>
  <si>
    <t>SEP2024-4</t>
  </si>
  <si>
    <t>OG|Ogun</t>
  </si>
  <si>
    <t>SEP2024-5</t>
  </si>
  <si>
    <t>SEP2024-6</t>
  </si>
  <si>
    <t>SEP2024-7</t>
  </si>
  <si>
    <t>SEP2024-8</t>
  </si>
  <si>
    <t>Light pink</t>
  </si>
  <si>
    <t>EN|Enugu</t>
  </si>
  <si>
    <t>SEP2024-9</t>
  </si>
  <si>
    <t>SEP2024-10</t>
  </si>
  <si>
    <t>Spinel slippers</t>
  </si>
  <si>
    <t>SEP2024-11</t>
  </si>
  <si>
    <t>Combo colors</t>
  </si>
  <si>
    <t>SEP2024-12</t>
  </si>
  <si>
    <t>SEP2024-13</t>
  </si>
  <si>
    <t>FC|Abuja</t>
  </si>
  <si>
    <t>Physical</t>
  </si>
  <si>
    <t>SEP2024-14</t>
  </si>
  <si>
    <t>CR|Cross River</t>
  </si>
  <si>
    <t>SEP2024-15</t>
  </si>
  <si>
    <t>SEP2024-16</t>
  </si>
  <si>
    <t>SEP2024-17</t>
  </si>
  <si>
    <t>SEP2024-18</t>
  </si>
  <si>
    <t>SEP2024-19</t>
  </si>
  <si>
    <t>Light brown, Yellow</t>
  </si>
  <si>
    <t>White</t>
  </si>
  <si>
    <t>SEP2024-20</t>
  </si>
  <si>
    <t>Beryl Sandal</t>
  </si>
  <si>
    <t>SEP2024-21</t>
  </si>
  <si>
    <t>Light brown, Black</t>
  </si>
  <si>
    <t>SEP2024-22</t>
  </si>
  <si>
    <t>SEP2024-23</t>
  </si>
  <si>
    <t>SEP2024-24</t>
  </si>
  <si>
    <t>SEP2024-25</t>
  </si>
  <si>
    <t>SEP2024-26</t>
  </si>
  <si>
    <t>SEP2024-27</t>
  </si>
  <si>
    <t>SEP2024-28</t>
  </si>
  <si>
    <t>SEP2024-29</t>
  </si>
  <si>
    <t>SEP2024-30</t>
  </si>
  <si>
    <t>Ruby slippers</t>
  </si>
  <si>
    <t>SEP2024-31</t>
  </si>
  <si>
    <t>SEP2024-32</t>
  </si>
  <si>
    <t>RI|Rivers</t>
  </si>
  <si>
    <t>opal slippers</t>
  </si>
  <si>
    <t>SEP2024-33</t>
  </si>
  <si>
    <t>Black Metallic</t>
  </si>
  <si>
    <t>SEP2024-34</t>
  </si>
  <si>
    <t>SEP2024-35</t>
  </si>
  <si>
    <t>SEP2024-36</t>
  </si>
  <si>
    <t>SEP2024-37</t>
  </si>
  <si>
    <t>SEP2024-38</t>
  </si>
  <si>
    <t>SEP2024-39</t>
  </si>
  <si>
    <t>SEP2024-40</t>
  </si>
  <si>
    <t>SEP2024-41</t>
  </si>
  <si>
    <t>SEP2024-42</t>
  </si>
  <si>
    <t>SEP2024-43</t>
  </si>
  <si>
    <t>SEP2024-44</t>
  </si>
  <si>
    <t>SEP2024-45</t>
  </si>
  <si>
    <t>SEP2024-46</t>
  </si>
  <si>
    <t>SEP2024-47</t>
  </si>
  <si>
    <t>ED|Edo</t>
  </si>
  <si>
    <t>SEP2024-48</t>
  </si>
  <si>
    <t>SEP2024-49</t>
  </si>
  <si>
    <t>SEP2024-50</t>
  </si>
  <si>
    <t>EK|Ekiti</t>
  </si>
  <si>
    <t>Wema</t>
  </si>
  <si>
    <t>SEP2024-51</t>
  </si>
  <si>
    <t>SEP2024-52</t>
  </si>
  <si>
    <t>SEP2024-53</t>
  </si>
  <si>
    <t>SEP2024-54</t>
  </si>
  <si>
    <t>SEP2024-55</t>
  </si>
  <si>
    <t>Peridot slippers</t>
  </si>
  <si>
    <t>SEP2024-56</t>
  </si>
  <si>
    <t>Coral Sandal</t>
  </si>
  <si>
    <t>SEP2024-57</t>
  </si>
  <si>
    <t>SEP2024-58</t>
  </si>
  <si>
    <t>SEP2024-59</t>
  </si>
  <si>
    <t>SEP2024-60</t>
  </si>
  <si>
    <t>OCT2024-0</t>
  </si>
  <si>
    <t>Combo</t>
  </si>
  <si>
    <t>OCT2024-1</t>
  </si>
  <si>
    <t>OCT2024-2</t>
  </si>
  <si>
    <t>OCT2024-3</t>
  </si>
  <si>
    <t>OCT2024-4</t>
  </si>
  <si>
    <t>OCT2024-5</t>
  </si>
  <si>
    <t>OCT2024-6</t>
  </si>
  <si>
    <t>OCT2024-7</t>
  </si>
  <si>
    <t>OCT2024-8</t>
  </si>
  <si>
    <t>OCT2024-9</t>
  </si>
  <si>
    <t>OCT2024-10</t>
  </si>
  <si>
    <t>OCT2024-11</t>
  </si>
  <si>
    <t>OCT2024-12</t>
  </si>
  <si>
    <t>OCT2024-13</t>
  </si>
  <si>
    <t>OCT2024-14</t>
  </si>
  <si>
    <t>OCT2024-15</t>
  </si>
  <si>
    <t>OCT2024-16</t>
  </si>
  <si>
    <t>OCT2024-17</t>
  </si>
  <si>
    <t>OCT2024-18</t>
  </si>
  <si>
    <t>Whatsapp</t>
  </si>
  <si>
    <t>OCT2024-19</t>
  </si>
  <si>
    <t>OCT2024-20</t>
  </si>
  <si>
    <t>OCT2024-21</t>
  </si>
  <si>
    <t>Army green</t>
  </si>
  <si>
    <t>OCT2024-22</t>
  </si>
  <si>
    <t>OCT2024-23</t>
  </si>
  <si>
    <t>OCT2024-24</t>
  </si>
  <si>
    <t>OCT2024-25</t>
  </si>
  <si>
    <t>OCT2024-26</t>
  </si>
  <si>
    <t>OCT2024-27</t>
  </si>
  <si>
    <t>OCT2024-28</t>
  </si>
  <si>
    <t>OCT2024-29</t>
  </si>
  <si>
    <t>OCT2024-30</t>
  </si>
  <si>
    <t>Onyx slippers</t>
  </si>
  <si>
    <t>OCT2024-31</t>
  </si>
  <si>
    <t>OCT2024-32</t>
  </si>
  <si>
    <t>OCT2024-33</t>
  </si>
  <si>
    <t>OCT2024-34</t>
  </si>
  <si>
    <t>OCT2024-35</t>
  </si>
  <si>
    <t>OCT2024-36</t>
  </si>
  <si>
    <t>OCT2024-37</t>
  </si>
  <si>
    <t>OCT2024-38</t>
  </si>
  <si>
    <t>OCT2024-39</t>
  </si>
  <si>
    <t>OCT2024-40</t>
  </si>
  <si>
    <t>OCT2024-41</t>
  </si>
  <si>
    <t>OCT2024-42</t>
  </si>
  <si>
    <t>OCT2024-43</t>
  </si>
  <si>
    <t>DE|Delta</t>
  </si>
  <si>
    <t>OCT2024-44</t>
  </si>
  <si>
    <t>OCT2024-45</t>
  </si>
  <si>
    <t>OCT2024-46</t>
  </si>
  <si>
    <t>OCT2024-47</t>
  </si>
  <si>
    <t>OCT2024-48</t>
  </si>
  <si>
    <t>OCT2024-49</t>
  </si>
  <si>
    <t>OCT2024-50</t>
  </si>
  <si>
    <t>AK|Akwa Ibom</t>
  </si>
  <si>
    <t>Daisy sandal</t>
  </si>
  <si>
    <t>OCT2024-51</t>
  </si>
  <si>
    <t>OCT2024-52</t>
  </si>
  <si>
    <t>Peach</t>
  </si>
  <si>
    <t>OCT2024-53</t>
  </si>
  <si>
    <t>Lemon</t>
  </si>
  <si>
    <t>OCT2024-54</t>
  </si>
  <si>
    <t>OCT2024-55</t>
  </si>
  <si>
    <t>OCT2024-56</t>
  </si>
  <si>
    <t>OCT2024-57</t>
  </si>
  <si>
    <t>OCT2024-58</t>
  </si>
  <si>
    <t>OCT2024-59</t>
  </si>
  <si>
    <t>OCT2024-60</t>
  </si>
  <si>
    <t>OCT2024-61</t>
  </si>
  <si>
    <t>OCT2024-62</t>
  </si>
  <si>
    <t>OCT2024-63</t>
  </si>
  <si>
    <t>OCT2024-64</t>
  </si>
  <si>
    <t>OCT2024-65</t>
  </si>
  <si>
    <t>OCT2024-66</t>
  </si>
  <si>
    <t>OCT2024-67</t>
  </si>
  <si>
    <t>OCT2024-68</t>
  </si>
  <si>
    <t>OCT2024-69</t>
  </si>
  <si>
    <t>NOV2024-1</t>
  </si>
  <si>
    <t>NOV2024-2</t>
  </si>
  <si>
    <t>NOV2024-3</t>
  </si>
  <si>
    <t>NOV2024-4</t>
  </si>
  <si>
    <t>NOV2024-5</t>
  </si>
  <si>
    <t>NOV2024-6</t>
  </si>
  <si>
    <t>NOV2024-7</t>
  </si>
  <si>
    <t xml:space="preserve">Purple </t>
  </si>
  <si>
    <t>NOV2024-8</t>
  </si>
  <si>
    <t>NOV2024-9</t>
  </si>
  <si>
    <t>NOV2024-10</t>
  </si>
  <si>
    <t>NOV2024-11</t>
  </si>
  <si>
    <t>NOV2024-12</t>
  </si>
  <si>
    <t>NOV2024-13</t>
  </si>
  <si>
    <t>NOV2024-14</t>
  </si>
  <si>
    <t>NOV2024-15</t>
  </si>
  <si>
    <t>NOV2024-16</t>
  </si>
  <si>
    <t>NOV2024-17</t>
  </si>
  <si>
    <t>NOV2024-18</t>
  </si>
  <si>
    <t>NOV2024-19</t>
  </si>
  <si>
    <t>NOV2024-20</t>
  </si>
  <si>
    <t>NOV2024-21</t>
  </si>
  <si>
    <t>NOV2024-22</t>
  </si>
  <si>
    <t>NOV2024-23</t>
  </si>
  <si>
    <t>NOV2024-24</t>
  </si>
  <si>
    <t>NOV2024-25</t>
  </si>
  <si>
    <t>NOV2024-26</t>
  </si>
  <si>
    <t>NOV2024-27</t>
  </si>
  <si>
    <t>NOV2024-28</t>
  </si>
  <si>
    <t>NOV2024-29</t>
  </si>
  <si>
    <t>NOV2024-30</t>
  </si>
  <si>
    <t>NOV2024-31</t>
  </si>
  <si>
    <t>NOV2024-32</t>
  </si>
  <si>
    <t>NOV2024-33</t>
  </si>
  <si>
    <t>NOV2024-34</t>
  </si>
  <si>
    <t>NOV2024-35</t>
  </si>
  <si>
    <t>NOV2024-36</t>
  </si>
  <si>
    <t>NOV2024-37</t>
  </si>
  <si>
    <t>GTB</t>
  </si>
  <si>
    <t>NOV2024-38</t>
  </si>
  <si>
    <t>NOV2024-39</t>
  </si>
  <si>
    <t>NOV2024-40</t>
  </si>
  <si>
    <t>NOV2024-41</t>
  </si>
  <si>
    <t>NOV2024-42</t>
  </si>
  <si>
    <t>NOV2024-43</t>
  </si>
  <si>
    <t>NOV2024-44</t>
  </si>
  <si>
    <t>NOV2024-45</t>
  </si>
  <si>
    <t>DEC2024-2</t>
  </si>
  <si>
    <t>DEC2024-3</t>
  </si>
  <si>
    <t>DEC2024-4</t>
  </si>
  <si>
    <t>DEC2024-5</t>
  </si>
  <si>
    <t>DEC2024-6</t>
  </si>
  <si>
    <t>DEC2024-7</t>
  </si>
  <si>
    <t>DEC2024-8</t>
  </si>
  <si>
    <t>DEC2024-9</t>
  </si>
  <si>
    <t>DEC2024-10</t>
  </si>
  <si>
    <t>DEC2024-11</t>
  </si>
  <si>
    <t>AB|Abia</t>
  </si>
  <si>
    <t>DEC2024-12</t>
  </si>
  <si>
    <t>DEC2024-13</t>
  </si>
  <si>
    <t>DEC2024-14</t>
  </si>
  <si>
    <t>DEC2024-15</t>
  </si>
  <si>
    <t>DEC2024-16</t>
  </si>
  <si>
    <t>DEC2024-17</t>
  </si>
  <si>
    <t>DEC2024-18</t>
  </si>
  <si>
    <t>DEC2024-19</t>
  </si>
  <si>
    <t>DEC2024-20</t>
  </si>
  <si>
    <t>DEC2024-21</t>
  </si>
  <si>
    <t>DEC2024-22</t>
  </si>
  <si>
    <t>DEC2024-23</t>
  </si>
  <si>
    <t>DEC2024-24</t>
  </si>
  <si>
    <t>DEC2024-25</t>
  </si>
  <si>
    <t>DEC2024-26</t>
  </si>
  <si>
    <t>DEC2024-27</t>
  </si>
  <si>
    <t>DEC2024-28</t>
  </si>
  <si>
    <t>Iris slippers</t>
  </si>
  <si>
    <t>DEC2024-29</t>
  </si>
  <si>
    <t>DEC2024-30</t>
  </si>
  <si>
    <t>DEC2024-31</t>
  </si>
  <si>
    <t>DEC2024-32</t>
  </si>
  <si>
    <t>DEC2024-33</t>
  </si>
  <si>
    <t>DEC2024-34</t>
  </si>
  <si>
    <t>DEC2024-35</t>
  </si>
  <si>
    <t>DEC2024-36</t>
  </si>
  <si>
    <t>JAN2025-1</t>
  </si>
  <si>
    <t>Facebook</t>
  </si>
  <si>
    <t>JAN2025-2</t>
  </si>
  <si>
    <t>Instagram DM</t>
  </si>
  <si>
    <t>JAN2025-3</t>
  </si>
  <si>
    <t>JAN2025-4</t>
  </si>
  <si>
    <t>JAN2025-5</t>
  </si>
  <si>
    <t>JAN2025-6</t>
  </si>
  <si>
    <t>Marigold sandal</t>
  </si>
  <si>
    <t>JAN2025-7</t>
  </si>
  <si>
    <t>JAN2025-8</t>
  </si>
  <si>
    <t>JAN2025-9</t>
  </si>
  <si>
    <t>JAN2025-10</t>
  </si>
  <si>
    <t>JAN2025-11</t>
  </si>
  <si>
    <t>JAN2025-12</t>
  </si>
  <si>
    <t>JAN2025-13</t>
  </si>
  <si>
    <t>JAN2025-14</t>
  </si>
  <si>
    <t>JAN2025-15</t>
  </si>
  <si>
    <t>JAN2025-16</t>
  </si>
  <si>
    <t>Iris Xtra Grip</t>
  </si>
  <si>
    <t>JAN2025-17</t>
  </si>
  <si>
    <t>JAN2025-18</t>
  </si>
  <si>
    <t>JAN2025-19</t>
  </si>
  <si>
    <t>JAN2025-20</t>
  </si>
  <si>
    <t>JAN2025-21</t>
  </si>
  <si>
    <t>JAN2025-22</t>
  </si>
  <si>
    <t>JAN2025-23</t>
  </si>
  <si>
    <t>JAN2025-24</t>
  </si>
  <si>
    <t>JAN2025-25</t>
  </si>
  <si>
    <t>Dark Grey</t>
  </si>
  <si>
    <t>JAN2025-26</t>
  </si>
  <si>
    <t>JAN2025-27</t>
  </si>
  <si>
    <t>JAN2025-28</t>
  </si>
  <si>
    <t>JAN2025-29</t>
  </si>
  <si>
    <t>JAN2025-30</t>
  </si>
  <si>
    <t>JAN2025-31</t>
  </si>
  <si>
    <t>KW|Kwara</t>
  </si>
  <si>
    <t>JAN2025-32</t>
  </si>
  <si>
    <t>JAN2025-33</t>
  </si>
  <si>
    <t>JAN2025-34</t>
  </si>
  <si>
    <t>JAN2025-35</t>
  </si>
  <si>
    <t>JAN2025-36</t>
  </si>
  <si>
    <t>JAN2025-37</t>
  </si>
  <si>
    <t>JAN2025-38</t>
  </si>
  <si>
    <t>JAN2025-39</t>
  </si>
  <si>
    <t>Gold</t>
  </si>
  <si>
    <t>Wine polka</t>
  </si>
  <si>
    <t>JAN2025-40</t>
  </si>
  <si>
    <t>JAN2025-41</t>
  </si>
  <si>
    <t>JAN2025-42</t>
  </si>
  <si>
    <t>JAN2025-43</t>
  </si>
  <si>
    <t>JAN2025-44</t>
  </si>
  <si>
    <t>JAN2025-45</t>
  </si>
  <si>
    <t>JAN2025-46</t>
  </si>
  <si>
    <t xml:space="preserve">Purple patterned </t>
  </si>
  <si>
    <t>JAN2025-47</t>
  </si>
  <si>
    <t>JAN2025-48</t>
  </si>
  <si>
    <t>FEB2025-1</t>
  </si>
  <si>
    <t>FEB2025-2</t>
  </si>
  <si>
    <t>Pink/Orange combo</t>
  </si>
  <si>
    <t>FEB2025-3</t>
  </si>
  <si>
    <t>FEB2025-4</t>
  </si>
  <si>
    <t>Nude/brown combo</t>
  </si>
  <si>
    <t>FEB2025-5</t>
  </si>
  <si>
    <t>FEB2025-6</t>
  </si>
  <si>
    <t>FEB2025-7</t>
  </si>
  <si>
    <t>FEB2025-8</t>
  </si>
  <si>
    <t>FEB2025-9</t>
  </si>
  <si>
    <t>FEB2025-10</t>
  </si>
  <si>
    <t>FEB2025-11</t>
  </si>
  <si>
    <t>FEB2025-12</t>
  </si>
  <si>
    <t>FEB2025-13</t>
  </si>
  <si>
    <t>FEB2025-14</t>
  </si>
  <si>
    <t>FEB2025-15</t>
  </si>
  <si>
    <t>Orange/pink combo</t>
  </si>
  <si>
    <t>FEB2025-16</t>
  </si>
  <si>
    <t>FEB2025-17</t>
  </si>
  <si>
    <t>FEB2025-18</t>
  </si>
  <si>
    <t>FEB2025-19</t>
  </si>
  <si>
    <t>FEB2025-20</t>
  </si>
  <si>
    <t>FEB2025-21</t>
  </si>
  <si>
    <t>FEB2025-22</t>
  </si>
  <si>
    <t>FEB2025-23</t>
  </si>
  <si>
    <t>FEB2025-24</t>
  </si>
  <si>
    <t>STATES</t>
  </si>
  <si>
    <t>SHOE STYLE</t>
  </si>
  <si>
    <t>SHOE COLOUR</t>
  </si>
  <si>
    <t>SIZE</t>
  </si>
  <si>
    <t>GENDER</t>
  </si>
  <si>
    <t>CHANNEL</t>
  </si>
  <si>
    <t>BANK</t>
  </si>
  <si>
    <t>AD|Adamawa</t>
  </si>
  <si>
    <t>AN|Anambra</t>
  </si>
  <si>
    <t>Topaz</t>
  </si>
  <si>
    <t>BA|Bauchi</t>
  </si>
  <si>
    <t>WhatsApp</t>
  </si>
  <si>
    <t>BE|Benue</t>
  </si>
  <si>
    <t>Ivy sandal</t>
  </si>
  <si>
    <t>Purple</t>
  </si>
  <si>
    <t>Instagram Ad</t>
  </si>
  <si>
    <t>BO|Borno</t>
  </si>
  <si>
    <t>Facebook Ad</t>
  </si>
  <si>
    <t>BY|Bayelsa</t>
  </si>
  <si>
    <t>Garnet gladiator</t>
  </si>
  <si>
    <t>EB|Ebonyi</t>
  </si>
  <si>
    <t>Ruby sandal</t>
  </si>
  <si>
    <t>Jade sandal</t>
  </si>
  <si>
    <t>GO|Gombe</t>
  </si>
  <si>
    <t>Light Grey</t>
  </si>
  <si>
    <t>Beryl sandal</t>
  </si>
  <si>
    <t>JI|Jigawa</t>
  </si>
  <si>
    <t>KD|Kaduna</t>
  </si>
  <si>
    <t>KE|Kebbi</t>
  </si>
  <si>
    <t>KO|Kogi</t>
  </si>
  <si>
    <t>Coral sandal</t>
  </si>
  <si>
    <t>KT|Katsina</t>
  </si>
  <si>
    <t>Emerald sandal</t>
  </si>
  <si>
    <t>NA|Nasarawa</t>
  </si>
  <si>
    <t>NI|Niger</t>
  </si>
  <si>
    <t>Jasmin tie-up</t>
  </si>
  <si>
    <t>ON|Ondo</t>
  </si>
  <si>
    <t>Opal slippers</t>
  </si>
  <si>
    <t>PL|Plateau</t>
  </si>
  <si>
    <t>SO|Sokoto</t>
  </si>
  <si>
    <t>TA|Taraba</t>
  </si>
  <si>
    <t>YO|Yobe</t>
  </si>
  <si>
    <t>ZA|Zamfara</t>
  </si>
  <si>
    <t>USA|America</t>
  </si>
  <si>
    <t>Sum of TOTAL SALES</t>
  </si>
  <si>
    <t>Column Labels</t>
  </si>
  <si>
    <t>Row Labels</t>
  </si>
  <si>
    <t>Sum of DEFICIT /SURPLUS</t>
  </si>
  <si>
    <t>2024</t>
  </si>
  <si>
    <t>2025</t>
  </si>
  <si>
    <t>Deficit</t>
  </si>
  <si>
    <t>Sum of Quantity sold</t>
  </si>
  <si>
    <t>Qtr3</t>
  </si>
  <si>
    <t>Qtr4</t>
  </si>
  <si>
    <t>Qtr1</t>
  </si>
  <si>
    <t>Jan</t>
  </si>
  <si>
    <t>Feb</t>
  </si>
  <si>
    <t>Aug</t>
  </si>
  <si>
    <t>Grand Total</t>
  </si>
  <si>
    <t>Sep</t>
  </si>
  <si>
    <t>Oct</t>
  </si>
  <si>
    <t>Nov</t>
  </si>
  <si>
    <t>Dec</t>
  </si>
  <si>
    <t>Count of Deficit or surplus</t>
  </si>
  <si>
    <t>surplus</t>
  </si>
  <si>
    <t>Sum of Not delivered</t>
  </si>
  <si>
    <t>Receivables</t>
  </si>
  <si>
    <t>Shoe Style</t>
  </si>
  <si>
    <t>YoY Growth</t>
  </si>
  <si>
    <t>Location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</si>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</sst>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43" formatCode="_-* #,##0.00_-;\-* #,##0.00_-;_-* &quot;-&quot;??_-;_-@_-"/>
    <numFmt numFmtId="164" formatCode="_-* #,##0_-;\-* #,##0_-;_-* &quot;-&quot;??_-;_-@_-"/>
    <numFmt numFmtId="165" formatCode="&quot;₦&quot;#,##0.00"/>
  </numFmts>
  <fonts count="9">
    <font>
      <sz val="11"/>
      <color theme="1"/>
      <name val="Calibri"/>
      <family val="2"/>
      <scheme val="minor"/>
    </font>
    <font>
      <b/>
      <sz val="11"/>
      <color theme="1"/>
      <name val="Calibri"/>
      <family val="2"/>
      <scheme val="minor"/>
    </font>
    <font>
      <sz val="10"/>
      <color theme="1"/>
      <name val="Arial Unicode MS"/>
    </font>
    <font>
      <sz val="11"/>
      <color theme="1"/>
      <name val="Calibri"/>
      <family val="2"/>
      <scheme val="minor"/>
    </font>
    <font>
      <sz val="8"/>
      <name val="Calibri"/>
      <family val="2"/>
      <scheme val="minor"/>
    </font>
    <font>
      <b/>
      <sz val="16"/>
      <color rgb="FFD979B7"/>
      <name val="Calibri"/>
      <family val="2"/>
      <scheme val="minor"/>
    </font>
    <font>
      <b/>
      <sz val="11"/>
      <color rgb="FFD979B7"/>
      <name val="Calibri"/>
      <family val="2"/>
      <scheme val="minor"/>
    </font>
    <font>
      <b/>
      <sz val="14"/>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1" tint="0.14999847407452621"/>
        <bgColor indexed="64"/>
      </patternFill>
    </fill>
    <fill>
      <patternFill patternType="solid">
        <fgColor theme="1"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42">
    <xf numFmtId="0" fontId="0" fillId="0" borderId="0" xfId="0"/>
    <xf numFmtId="0" fontId="0" fillId="0" borderId="0" xfId="0" applyAlignment="1">
      <alignment vertical="center" wrapText="1"/>
    </xf>
    <xf numFmtId="43" fontId="0" fillId="0" borderId="0" xfId="1" applyFont="1"/>
    <xf numFmtId="43" fontId="1" fillId="2" borderId="2" xfId="1" applyFont="1" applyFill="1" applyBorder="1" applyAlignment="1">
      <alignment horizontal="center" vertical="top"/>
    </xf>
    <xf numFmtId="43" fontId="0" fillId="0" borderId="0" xfId="0" applyNumberFormat="1"/>
    <xf numFmtId="0" fontId="1" fillId="2" borderId="2" xfId="0" applyFont="1" applyFill="1" applyBorder="1" applyAlignment="1">
      <alignment horizontal="center" vertical="top"/>
    </xf>
    <xf numFmtId="164" fontId="0" fillId="0" borderId="0" xfId="1" applyNumberFormat="1" applyFont="1" applyProtection="1"/>
    <xf numFmtId="0" fontId="1" fillId="0" borderId="2" xfId="0" applyFont="1" applyBorder="1" applyAlignment="1" applyProtection="1">
      <alignment horizontal="center" vertical="top"/>
      <protection locked="0"/>
    </xf>
    <xf numFmtId="0" fontId="0" fillId="0" borderId="0" xfId="0" applyProtection="1">
      <protection locked="0"/>
    </xf>
    <xf numFmtId="14" fontId="0" fillId="0" borderId="0" xfId="0" applyNumberFormat="1" applyProtection="1">
      <protection locked="0"/>
    </xf>
    <xf numFmtId="43" fontId="0" fillId="0" borderId="0" xfId="1" applyFont="1" applyProtection="1">
      <protection locked="0"/>
    </xf>
    <xf numFmtId="164" fontId="0" fillId="0" borderId="0" xfId="1" applyNumberFormat="1" applyFont="1" applyProtection="1">
      <protection locked="0"/>
    </xf>
    <xf numFmtId="43" fontId="1" fillId="0" borderId="2" xfId="1" applyFont="1" applyBorder="1" applyAlignment="1" applyProtection="1">
      <alignment horizontal="center" vertical="top"/>
      <protection locked="0"/>
    </xf>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5" fillId="0" borderId="0" xfId="0" applyFont="1"/>
    <xf numFmtId="0" fontId="6" fillId="0" borderId="0" xfId="0" applyFont="1"/>
    <xf numFmtId="0" fontId="5" fillId="0" borderId="1" xfId="0" applyFont="1" applyBorder="1" applyAlignment="1">
      <alignment horizontal="center" vertical="center"/>
    </xf>
    <xf numFmtId="0" fontId="5" fillId="0" borderId="1" xfId="0" applyFont="1" applyBorder="1" applyAlignment="1">
      <alignment horizontal="center"/>
    </xf>
    <xf numFmtId="0" fontId="0" fillId="0" borderId="0" xfId="0" applyAlignment="1">
      <alignment horizontal="left" indent="1"/>
    </xf>
    <xf numFmtId="0" fontId="1" fillId="0" borderId="0" xfId="0" applyFont="1"/>
    <xf numFmtId="0" fontId="7" fillId="0" borderId="3" xfId="0" applyFont="1" applyBorder="1" applyAlignment="1">
      <alignment horizontal="center" vertical="center"/>
    </xf>
    <xf numFmtId="0" fontId="7" fillId="0" borderId="0" xfId="0" applyFont="1" applyAlignment="1">
      <alignment horizontal="center" vertical="center"/>
    </xf>
    <xf numFmtId="0" fontId="8" fillId="0" borderId="1" xfId="0" applyFont="1" applyBorder="1"/>
    <xf numFmtId="9" fontId="8" fillId="0" borderId="1" xfId="2" applyFont="1" applyBorder="1"/>
    <xf numFmtId="44" fontId="8" fillId="0" borderId="1" xfId="0" applyNumberFormat="1" applyFont="1" applyBorder="1"/>
    <xf numFmtId="44" fontId="8" fillId="0" borderId="1" xfId="1" applyNumberFormat="1" applyFont="1" applyBorder="1"/>
    <xf numFmtId="9" fontId="0" fillId="0" borderId="0" xfId="0" applyNumberFormat="1"/>
    <xf numFmtId="2" fontId="0" fillId="0" borderId="0" xfId="0" applyNumberFormat="1"/>
    <xf numFmtId="43" fontId="0" fillId="0" borderId="0" xfId="1" applyFont="1" applyProtection="1"/>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1" fillId="0" borderId="0" xfId="0" applyFont="1" applyAlignment="1" applyProtection="1">
      <alignment horizontal="center" vertical="center" wrapText="1"/>
      <protection locked="0"/>
    </xf>
    <xf numFmtId="0" fontId="2" fillId="0" borderId="0" xfId="0" applyFont="1" applyAlignment="1" applyProtection="1">
      <alignment vertical="center"/>
      <protection locked="0"/>
    </xf>
    <xf numFmtId="0" fontId="0" fillId="0" borderId="0" xfId="0" applyAlignment="1" applyProtection="1">
      <alignment vertical="center" wrapText="1"/>
      <protection locked="0"/>
    </xf>
    <xf numFmtId="0" fontId="1" fillId="4" borderId="2" xfId="0" applyFont="1" applyFill="1" applyBorder="1" applyAlignment="1" applyProtection="1">
      <alignment horizontal="center" vertical="top"/>
      <protection locked="0"/>
    </xf>
    <xf numFmtId="44" fontId="0" fillId="0" borderId="0" xfId="0" applyNumberFormat="1"/>
    <xf numFmtId="43" fontId="1" fillId="4" borderId="2" xfId="1" applyFont="1" applyFill="1" applyBorder="1" applyAlignment="1">
      <alignment horizontal="center" vertical="top"/>
    </xf>
    <xf numFmtId="43" fontId="0" fillId="0" borderId="0" xfId="1" applyFont="1" applyAlignment="1">
      <alignment vertical="center" wrapText="1"/>
    </xf>
    <xf numFmtId="0" fontId="0" fillId="0" borderId="0" xfId="0" applyNumberFormat="1"/>
  </cellXfs>
  <cellStyles count="3">
    <cellStyle name="Comma" xfId="1" builtinId="3"/>
    <cellStyle name="Normal" xfId="0" builtinId="0"/>
    <cellStyle name="Percent" xfId="2" builtinId="5"/>
  </cellStyles>
  <dxfs count="59">
    <dxf>
      <numFmt numFmtId="34" formatCode="_-&quot;₦&quot;* #,##0.00_-;\-&quot;₦&quot;* #,##0.00_-;_-&quot;₦&quot;* &quot;-&quot;??_-;_-@_-"/>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34" formatCode="_-&quot;₦&quot;* #,##0.00_-;\-&quot;₦&quot;* #,##0.00_-;_-&quot;₦&quot;* &quot;-&quot;??_-;_-@_-"/>
    </dxf>
    <dxf>
      <alignment horizontal="general" vertical="center" textRotation="0" wrapText="1" indent="0" justifyLastLine="0" shrinkToFit="0" readingOrder="0"/>
      <protection locked="0" hidden="0"/>
    </dxf>
    <dxf>
      <alignment horizontal="general" vertical="center" textRotation="0" wrapText="1" indent="0" justifyLastLine="0" shrinkToFit="0" readingOrder="0"/>
      <protection locked="0" hidden="0"/>
    </dxf>
    <dxf>
      <alignment horizontal="general" vertical="center" textRotation="0" wrapText="1" indent="0" justifyLastLine="0" shrinkToFit="0" readingOrder="0"/>
      <protection locked="0" hidden="0"/>
    </dxf>
    <dxf>
      <alignment horizontal="general" vertical="center" textRotation="0" wrapText="1" indent="0" justifyLastLine="0" shrinkToFit="0" readingOrder="0"/>
      <protection locked="0" hidden="0"/>
    </dxf>
    <dxf>
      <alignment horizontal="general" vertical="center" textRotation="0" wrapText="1" indent="0" justifyLastLine="0" shrinkToFit="0" readingOrder="0"/>
      <protection locked="0" hidden="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protection locked="0" hidden="0"/>
    </dxf>
    <dxf>
      <font>
        <sz val="10"/>
        <name val="Arial Unicode MS"/>
        <scheme val="none"/>
      </font>
      <alignment horizontal="general" vertical="center" textRotation="0" wrapText="0" indent="0" justifyLastLine="0" shrinkToFit="0" readingOrder="0"/>
      <protection locked="0" hidden="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protection locked="1" hidden="0"/>
    </dxf>
    <dxf>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dxf>
    <dxf>
      <protection locked="1" hidden="0"/>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protection locked="0" hidden="0"/>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protection locked="1" hidden="0"/>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protection locked="0" hidden="0"/>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protection locked="0" hidden="0"/>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protection locked="1" hidden="0"/>
    </dxf>
    <dxf>
      <protection locked="0" hidden="0"/>
    </dxf>
    <dxf>
      <protection locked="0" hidden="0"/>
    </dxf>
    <dxf>
      <protection locked="0" hidden="0"/>
    </dxf>
    <dxf>
      <numFmt numFmtId="19" formatCode="dd/mm/yyyy"/>
    </dxf>
    <dxf>
      <numFmt numFmtId="19" formatCode="dd/mm/yyyy"/>
      <protection locked="0" hidden="0"/>
    </dxf>
    <dxf>
      <protection locked="0" hidden="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rgb="FFD979B7"/>
        </left>
        <right style="thin">
          <color rgb="FFD979B7"/>
        </right>
        <top style="thin">
          <color rgb="FFD979B7"/>
        </top>
        <bottom style="thin">
          <color rgb="FFD979B7"/>
        </bottom>
        <vertical style="thin">
          <color rgb="FFD979B7"/>
        </vertical>
        <horizontal/>
      </border>
    </dxf>
    <dxf>
      <border diagonalUp="0" diagonalDown="0">
        <left style="thin">
          <color rgb="FFD979B7"/>
        </left>
        <right style="thin">
          <color rgb="FFD979B7"/>
        </right>
        <top style="thin">
          <color rgb="FFD979B7"/>
        </top>
        <bottom style="thin">
          <color rgb="FFD979B7"/>
        </bottom>
        <vertical style="thin">
          <color rgb="FFD979B7"/>
        </vertical>
        <horizontal/>
      </border>
    </dxf>
    <dxf>
      <fill>
        <patternFill patternType="none">
          <bgColor auto="1"/>
        </patternFill>
      </fill>
      <border diagonalUp="0" diagonalDown="0">
        <left/>
        <right/>
        <top/>
        <bottom/>
        <vertical/>
        <horizontal/>
      </border>
    </dxf>
  </dxfs>
  <tableStyles count="3" defaultTableStyle="TableStyleMedium9" defaultPivotStyle="PivotStyleLight16">
    <tableStyle name="Slicer Style 1" pivot="0" table="0" count="1" xr9:uid="{FC376EB5-0580-466A-876D-B1E2FF1DC84B}">
      <tableStyleElement type="wholeTable" dxfId="58"/>
    </tableStyle>
    <tableStyle name="Slicer Style 2" pivot="0" table="0" count="4" xr9:uid="{68F1E093-13D1-4F7F-8D23-2E961BB28F7B}">
      <tableStyleElement type="wholeTable" dxfId="57"/>
    </tableStyle>
    <tableStyle name="Slicer Style 2 2" pivot="0" table="0" count="4" xr9:uid="{D794088B-8A30-4297-BA88-F73D5932BFA4}">
      <tableStyleElement type="wholeTable" dxfId="56"/>
    </tableStyle>
  </tableStyles>
  <colors>
    <mruColors>
      <color rgb="FFD979B7"/>
      <color rgb="FFFF33CC"/>
    </mruColors>
  </colors>
  <extLst>
    <ext xmlns:x14="http://schemas.microsoft.com/office/spreadsheetml/2009/9/main" uri="{46F421CA-312F-682f-3DD2-61675219B42D}">
      <x14:dxfs count="6">
        <dxf>
          <fill>
            <patternFill>
              <fgColor rgb="FFD979B7"/>
              <bgColor rgb="FFD979B7"/>
            </patternFill>
          </fill>
        </dxf>
        <dxf>
          <fill>
            <patternFill>
              <fgColor rgb="FFD979B7"/>
              <bgColor rgb="FFD979B7"/>
            </patternFill>
          </fill>
        </dxf>
        <dxf>
          <border>
            <left style="hair">
              <color theme="1"/>
            </left>
            <right style="hair">
              <color theme="1"/>
            </right>
            <top style="hair">
              <color theme="1"/>
            </top>
            <bottom style="hair">
              <color theme="1"/>
            </bottom>
          </border>
        </dxf>
        <dxf>
          <fill>
            <patternFill>
              <fgColor rgb="FFD979B7"/>
              <bgColor rgb="FFD979B7"/>
            </patternFill>
          </fill>
        </dxf>
        <dxf>
          <fill>
            <patternFill>
              <fgColor rgb="FFD979B7"/>
              <bgColor rgb="FFD979B7"/>
            </patternFill>
          </fill>
        </dxf>
        <dxf>
          <border>
            <left style="hair">
              <color theme="1"/>
            </left>
            <right style="hair">
              <color theme="1"/>
            </right>
            <top style="hair">
              <color theme="1"/>
            </top>
            <bottom style="hair">
              <color theme="1"/>
            </bottom>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5"/>
            <x14:slicerStyleElement type="selectedItemWithData" dxfId="4"/>
            <x14:slicerStyleElement type="hoveredSelectedItemWithData" dxfId="3"/>
          </x14:slicerStyleElements>
        </x14:slicerStyle>
        <x14:slicerStyle name="Slicer Style 2 2">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[Final_Cleaned_2024_2025_Sales-Ak Portfolio.xlsx]PIVOTS!PivotTable10</c:name>
    <c:fmtId val="76"/>
  </c:pivotSource>
  <c:chart>
    <c:autoTitleDeleted val="0"/>
    <c:pivotFmts>
      <c:pivotFmt>
        <c:idx val="0"/>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979B7"/>
          </a:solidFill>
          <a:ln>
            <a:solidFill>
              <a:srgbClr val="D979B7"/>
            </a:solidFill>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layout>
            <c:manualLayout>
              <c:x val="2.7729633021233041E-3"/>
              <c:y val="-3.61990950226244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layout>
            <c:manualLayout>
              <c:x val="0"/>
              <c:y val="4.147765056006513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979B7"/>
          </a:solidFill>
          <a:ln>
            <a:solidFill>
              <a:srgbClr val="D979B7"/>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layout>
            <c:manualLayout>
              <c:x val="0"/>
              <c:y val="4.147765056006513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layout>
            <c:manualLayout>
              <c:x val="2.7729633021233041E-3"/>
              <c:y val="-3.61990950226244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979B7"/>
          </a:solidFill>
          <a:ln>
            <a:solidFill>
              <a:srgbClr val="D979B7"/>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65000"/>
                <a:lumOff val="3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layout>
            <c:manualLayout>
              <c:x val="0"/>
              <c:y val="4.1477650560065132E-17"/>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tx1">
                <a:lumMod val="65000"/>
                <a:lumOff val="35000"/>
              </a:schemeClr>
            </a:solidFill>
            <a:round/>
          </a:ln>
          <a:effectLst/>
        </c:spPr>
        <c:marker>
          <c:symbol val="circle"/>
          <c:size val="5"/>
          <c:spPr>
            <a:solidFill>
              <a:schemeClr val="bg1">
                <a:lumMod val="75000"/>
              </a:schemeClr>
            </a:solidFill>
            <a:ln w="9525">
              <a:solidFill>
                <a:schemeClr val="accent1"/>
              </a:solidFill>
            </a:ln>
            <a:effectLst/>
          </c:spPr>
        </c:marker>
        <c:dLbl>
          <c:idx val="0"/>
          <c:layout>
            <c:manualLayout>
              <c:x val="2.7729633021233041E-3"/>
              <c:y val="-3.6199095022624438E-2"/>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lumMod val="65000"/>
                <a:lumOff val="35000"/>
              </a:schemeClr>
            </a:solidFill>
          </a:ln>
          <a:effectLst/>
        </c:spPr>
        <c:marker>
          <c:symbol val="none"/>
        </c:marker>
      </c:pivotFmt>
      <c:pivotFmt>
        <c:idx val="13"/>
        <c:spPr>
          <a:solidFill>
            <a:schemeClr val="accent1"/>
          </a:solidFill>
          <a:ln>
            <a:solidFill>
              <a:schemeClr val="tx1">
                <a:lumMod val="65000"/>
                <a:lumOff val="35000"/>
              </a:schemeClr>
            </a:solidFill>
          </a:ln>
          <a:effectLst/>
        </c:spPr>
        <c:marker>
          <c:symbol val="none"/>
        </c:marker>
      </c:pivotFmt>
    </c:pivotFmts>
    <c:plotArea>
      <c:layout/>
      <c:barChart>
        <c:barDir val="col"/>
        <c:grouping val="stacked"/>
        <c:varyColors val="0"/>
        <c:ser>
          <c:idx val="1"/>
          <c:order val="1"/>
          <c:tx>
            <c:strRef>
              <c:f>PIVOTS!$G$3</c:f>
              <c:strCache>
                <c:ptCount val="1"/>
                <c:pt idx="0">
                  <c:v>Sum of TOTAL SALES</c:v>
                </c:pt>
              </c:strCache>
            </c:strRef>
          </c:tx>
          <c:spPr>
            <a:solidFill>
              <a:srgbClr val="D979B7"/>
            </a:solidFill>
            <a:ln>
              <a:solidFill>
                <a:srgbClr val="D979B7"/>
              </a:solidFill>
            </a:ln>
            <a:effectLst/>
          </c:spPr>
          <c:invertIfNegative val="0"/>
          <c:cat>
            <c:multiLvlStrRef>
              <c:f>PIVOTS!$E$4:$E$8</c:f>
              <c:multiLvlStrCache>
                <c:ptCount val="3"/>
                <c:lvl>
                  <c:pt idx="0">
                    <c:v>Qtr3</c:v>
                  </c:pt>
                  <c:pt idx="1">
                    <c:v>Qtr4</c:v>
                  </c:pt>
                  <c:pt idx="2">
                    <c:v>Qtr1</c:v>
                  </c:pt>
                </c:lvl>
                <c:lvl>
                  <c:pt idx="0">
                    <c:v>2024</c:v>
                  </c:pt>
                  <c:pt idx="2">
                    <c:v>2025</c:v>
                  </c:pt>
                </c:lvl>
              </c:multiLvlStrCache>
            </c:multiLvlStrRef>
          </c:cat>
          <c:val>
            <c:numRef>
              <c:f>PIVOTS!$G$4:$G$8</c:f>
              <c:numCache>
                <c:formatCode>_("₦"* #,##0.00_);_("₦"* \(#,##0.00\);_("₦"* "-"??_);_(@_)</c:formatCode>
                <c:ptCount val="3"/>
                <c:pt idx="0">
                  <c:v>2495453</c:v>
                </c:pt>
                <c:pt idx="1">
                  <c:v>4388133</c:v>
                </c:pt>
                <c:pt idx="2">
                  <c:v>1942454</c:v>
                </c:pt>
              </c:numCache>
            </c:numRef>
          </c:val>
          <c:extLst>
            <c:ext xmlns:c16="http://schemas.microsoft.com/office/drawing/2014/chart" uri="{C3380CC4-5D6E-409C-BE32-E72D297353CC}">
              <c16:uniqueId val="{00000005-684D-403C-9AD7-CE7F59E55386}"/>
            </c:ext>
          </c:extLst>
        </c:ser>
        <c:dLbls>
          <c:showLegendKey val="0"/>
          <c:showVal val="0"/>
          <c:showCatName val="0"/>
          <c:showSerName val="0"/>
          <c:showPercent val="0"/>
          <c:showBubbleSize val="0"/>
        </c:dLbls>
        <c:gapWidth val="224"/>
        <c:overlap val="100"/>
        <c:axId val="1150228680"/>
        <c:axId val="1150230480"/>
      </c:barChart>
      <c:lineChart>
        <c:grouping val="stacked"/>
        <c:varyColors val="0"/>
        <c:ser>
          <c:idx val="0"/>
          <c:order val="0"/>
          <c:tx>
            <c:strRef>
              <c:f>PIVOTS!$F$3</c:f>
              <c:strCache>
                <c:ptCount val="1"/>
                <c:pt idx="0">
                  <c:v>Sum of Quantity sold</c:v>
                </c:pt>
              </c:strCache>
            </c:strRef>
          </c:tx>
          <c:spPr>
            <a:ln w="28575" cap="rnd">
              <a:solidFill>
                <a:schemeClr val="tx1">
                  <a:lumMod val="65000"/>
                  <a:lumOff val="35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PIVOTS!$E$4:$E$8</c:f>
              <c:multiLvlStrCache>
                <c:ptCount val="3"/>
                <c:lvl>
                  <c:pt idx="0">
                    <c:v>Qtr3</c:v>
                  </c:pt>
                  <c:pt idx="1">
                    <c:v>Qtr4</c:v>
                  </c:pt>
                  <c:pt idx="2">
                    <c:v>Qtr1</c:v>
                  </c:pt>
                </c:lvl>
                <c:lvl>
                  <c:pt idx="0">
                    <c:v>2024</c:v>
                  </c:pt>
                  <c:pt idx="2">
                    <c:v>2025</c:v>
                  </c:pt>
                </c:lvl>
              </c:multiLvlStrCache>
            </c:multiLvlStrRef>
          </c:cat>
          <c:val>
            <c:numRef>
              <c:f>PIVOTS!$F$4:$F$8</c:f>
              <c:numCache>
                <c:formatCode>_-* #,##0_-;\-* #,##0_-;_-* "-"??_-;_-@_-</c:formatCode>
                <c:ptCount val="3"/>
                <c:pt idx="0">
                  <c:v>167</c:v>
                </c:pt>
                <c:pt idx="1">
                  <c:v>285</c:v>
                </c:pt>
                <c:pt idx="2">
                  <c:v>130</c:v>
                </c:pt>
              </c:numCache>
            </c:numRef>
          </c:val>
          <c:smooth val="0"/>
          <c:extLst>
            <c:ext xmlns:c16="http://schemas.microsoft.com/office/drawing/2014/chart" uri="{C3380CC4-5D6E-409C-BE32-E72D297353CC}">
              <c16:uniqueId val="{00000004-684D-403C-9AD7-CE7F59E55386}"/>
            </c:ext>
          </c:extLst>
        </c:ser>
        <c:dLbls>
          <c:showLegendKey val="0"/>
          <c:showVal val="0"/>
          <c:showCatName val="0"/>
          <c:showSerName val="0"/>
          <c:showPercent val="0"/>
          <c:showBubbleSize val="0"/>
        </c:dLbls>
        <c:marker val="1"/>
        <c:smooth val="0"/>
        <c:axId val="1153652776"/>
        <c:axId val="1153657096"/>
      </c:lineChart>
      <c:catAx>
        <c:axId val="1150228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G"/>
          </a:p>
        </c:txPr>
        <c:crossAx val="1150230480"/>
        <c:crosses val="autoZero"/>
        <c:auto val="1"/>
        <c:lblAlgn val="ctr"/>
        <c:lblOffset val="100"/>
        <c:noMultiLvlLbl val="0"/>
      </c:catAx>
      <c:valAx>
        <c:axId val="115023048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G"/>
          </a:p>
        </c:txPr>
        <c:crossAx val="1150228680"/>
        <c:crosses val="autoZero"/>
        <c:crossBetween val="between"/>
      </c:valAx>
      <c:valAx>
        <c:axId val="1153657096"/>
        <c:scaling>
          <c:orientation val="minMax"/>
        </c:scaling>
        <c:delete val="0"/>
        <c:axPos val="r"/>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G"/>
          </a:p>
        </c:txPr>
        <c:crossAx val="1153652776"/>
        <c:crosses val="max"/>
        <c:crossBetween val="between"/>
      </c:valAx>
      <c:catAx>
        <c:axId val="1153652776"/>
        <c:scaling>
          <c:orientation val="minMax"/>
        </c:scaling>
        <c:delete val="1"/>
        <c:axPos val="b"/>
        <c:numFmt formatCode="General" sourceLinked="1"/>
        <c:majorTickMark val="out"/>
        <c:minorTickMark val="none"/>
        <c:tickLblPos val="nextTo"/>
        <c:crossAx val="11536570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1"/>
      </a:pPr>
      <a:endParaRPr lang="en-NG"/>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[Final_Cleaned_2024_2025_Sales-Ak Portfolio.xlsx]PIVOTS!PivotTable2</c:name>
    <c:fmtId val="107"/>
  </c:pivotSource>
  <c:chart>
    <c:autoTitleDeleted val="1"/>
    <c:pivotFmts>
      <c:pivotFmt>
        <c:idx val="0"/>
        <c:spPr>
          <a:solidFill>
            <a:schemeClr val="accent1"/>
          </a:solidFill>
          <a:ln w="28575" cap="rnd">
            <a:solidFill>
              <a:srgbClr val="D979B7"/>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979B7"/>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D979B7"/>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2003734805537"/>
          <c:y val="6.8284515228965031E-2"/>
          <c:w val="0.84685879293644717"/>
          <c:h val="0.77075126566724783"/>
        </c:manualLayout>
      </c:layout>
      <c:lineChart>
        <c:grouping val="standard"/>
        <c:varyColors val="0"/>
        <c:ser>
          <c:idx val="0"/>
          <c:order val="0"/>
          <c:tx>
            <c:strRef>
              <c:f>PIVOTS!$B$10</c:f>
              <c:strCache>
                <c:ptCount val="1"/>
                <c:pt idx="0">
                  <c:v>Total</c:v>
                </c:pt>
              </c:strCache>
            </c:strRef>
          </c:tx>
          <c:spPr>
            <a:ln w="28575" cap="rnd">
              <a:solidFill>
                <a:srgbClr val="D979B7"/>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PIVOTS!$A$11:$A$17</c:f>
              <c:strCache>
                <c:ptCount val="7"/>
                <c:pt idx="0">
                  <c:v>Jan</c:v>
                </c:pt>
                <c:pt idx="1">
                  <c:v>Feb</c:v>
                </c:pt>
                <c:pt idx="2">
                  <c:v>Aug</c:v>
                </c:pt>
                <c:pt idx="3">
                  <c:v>Sep</c:v>
                </c:pt>
                <c:pt idx="4">
                  <c:v>Oct</c:v>
                </c:pt>
                <c:pt idx="5">
                  <c:v>Nov</c:v>
                </c:pt>
                <c:pt idx="6">
                  <c:v>Dec</c:v>
                </c:pt>
              </c:strCache>
            </c:strRef>
          </c:cat>
          <c:val>
            <c:numRef>
              <c:f>PIVOTS!$B$11:$B$17</c:f>
              <c:numCache>
                <c:formatCode>_-* #,##0_-;\-* #,##0_-;_-* "-"??_-;_-@_-</c:formatCode>
                <c:ptCount val="7"/>
                <c:pt idx="0">
                  <c:v>1261545</c:v>
                </c:pt>
                <c:pt idx="1">
                  <c:v>680909</c:v>
                </c:pt>
                <c:pt idx="2">
                  <c:v>852865</c:v>
                </c:pt>
                <c:pt idx="3">
                  <c:v>1642588</c:v>
                </c:pt>
                <c:pt idx="4">
                  <c:v>2187861</c:v>
                </c:pt>
                <c:pt idx="5">
                  <c:v>1356707</c:v>
                </c:pt>
                <c:pt idx="6">
                  <c:v>843565</c:v>
                </c:pt>
              </c:numCache>
            </c:numRef>
          </c:val>
          <c:smooth val="0"/>
          <c:extLst>
            <c:ext xmlns:c16="http://schemas.microsoft.com/office/drawing/2014/chart" uri="{C3380CC4-5D6E-409C-BE32-E72D297353CC}">
              <c16:uniqueId val="{00000000-D7AB-4885-9831-243F9323C04E}"/>
            </c:ext>
          </c:extLst>
        </c:ser>
        <c:dLbls>
          <c:dLblPos val="t"/>
          <c:showLegendKey val="0"/>
          <c:showVal val="1"/>
          <c:showCatName val="0"/>
          <c:showSerName val="0"/>
          <c:showPercent val="0"/>
          <c:showBubbleSize val="0"/>
        </c:dLbls>
        <c:marker val="1"/>
        <c:smooth val="0"/>
        <c:axId val="361218128"/>
        <c:axId val="620033760"/>
      </c:lineChart>
      <c:catAx>
        <c:axId val="36121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G"/>
          </a:p>
        </c:txPr>
        <c:crossAx val="620033760"/>
        <c:crosses val="autoZero"/>
        <c:auto val="1"/>
        <c:lblAlgn val="ctr"/>
        <c:lblOffset val="100"/>
        <c:noMultiLvlLbl val="0"/>
      </c:catAx>
      <c:valAx>
        <c:axId val="620033760"/>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G"/>
          </a:p>
        </c:txPr>
        <c:crossAx val="361218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b="1"/>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63502</xdr:colOff>
      <xdr:row>0</xdr:row>
      <xdr:rowOff>0</xdr:rowOff>
    </xdr:from>
    <xdr:to>
      <xdr:col>1</xdr:col>
      <xdr:colOff>999772</xdr:colOff>
      <xdr:row>9</xdr:row>
      <xdr:rowOff>0</xdr:rowOff>
    </xdr:to>
    <xdr:grpSp>
      <xdr:nvGrpSpPr>
        <xdr:cNvPr id="5" name="Group 4">
          <a:extLst>
            <a:ext uri="{FF2B5EF4-FFF2-40B4-BE49-F238E27FC236}">
              <a16:creationId xmlns:a16="http://schemas.microsoft.com/office/drawing/2014/main" id="{3427CE83-2111-3F54-7135-7E99FC0BCF73}"/>
            </a:ext>
          </a:extLst>
        </xdr:cNvPr>
        <xdr:cNvGrpSpPr/>
      </xdr:nvGrpSpPr>
      <xdr:grpSpPr>
        <a:xfrm>
          <a:off x="63502" y="0"/>
          <a:ext cx="1456970" cy="1714500"/>
          <a:chOff x="2389189" y="396875"/>
          <a:chExt cx="1984374" cy="1920876"/>
        </a:xfrm>
      </xdr:grpSpPr>
      <xdr:pic>
        <xdr:nvPicPr>
          <xdr:cNvPr id="3" name="Picture 2">
            <a:extLst>
              <a:ext uri="{FF2B5EF4-FFF2-40B4-BE49-F238E27FC236}">
                <a16:creationId xmlns:a16="http://schemas.microsoft.com/office/drawing/2014/main" id="{B69EF1E0-6E38-36E0-C7D9-1D5D8E332A99}"/>
              </a:ext>
            </a:extLst>
          </xdr:cNvPr>
          <xdr:cNvPicPr>
            <a:picLocks noChangeAspect="1"/>
          </xdr:cNvPicPr>
        </xdr:nvPicPr>
        <xdr:blipFill>
          <a:blip xmlns:r="http://schemas.openxmlformats.org/officeDocument/2006/relationships" r:embed="rId1"/>
          <a:stretch>
            <a:fillRect/>
          </a:stretch>
        </xdr:blipFill>
        <xdr:spPr>
          <a:xfrm>
            <a:off x="2619376" y="896937"/>
            <a:ext cx="1500188" cy="919603"/>
          </a:xfrm>
          <a:prstGeom prst="rect">
            <a:avLst/>
          </a:prstGeom>
        </xdr:spPr>
      </xdr:pic>
      <xdr:sp macro="" textlink="">
        <xdr:nvSpPr>
          <xdr:cNvPr id="4" name="Circle: Hollow 3">
            <a:extLst>
              <a:ext uri="{FF2B5EF4-FFF2-40B4-BE49-F238E27FC236}">
                <a16:creationId xmlns:a16="http://schemas.microsoft.com/office/drawing/2014/main" id="{55A6BD7F-AE2E-8B22-2580-65C472E4E98F}"/>
              </a:ext>
            </a:extLst>
          </xdr:cNvPr>
          <xdr:cNvSpPr/>
        </xdr:nvSpPr>
        <xdr:spPr>
          <a:xfrm>
            <a:off x="2389189" y="396875"/>
            <a:ext cx="1984374" cy="1920876"/>
          </a:xfrm>
          <a:prstGeom prst="donut">
            <a:avLst>
              <a:gd name="adj" fmla="val 5649"/>
            </a:avLst>
          </a:prstGeom>
          <a:solidFill>
            <a:srgbClr val="D979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solidFill>
                <a:schemeClr val="tx1"/>
              </a:solidFill>
            </a:endParaRPr>
          </a:p>
        </xdr:txBody>
      </xdr:sp>
    </xdr:grpSp>
    <xdr:clientData/>
  </xdr:twoCellAnchor>
  <xdr:oneCellAnchor>
    <xdr:from>
      <xdr:col>2</xdr:col>
      <xdr:colOff>0</xdr:colOff>
      <xdr:row>1</xdr:row>
      <xdr:rowOff>133055</xdr:rowOff>
    </xdr:from>
    <xdr:ext cx="2468563" cy="968983"/>
    <xdr:sp macro="" textlink="">
      <xdr:nvSpPr>
        <xdr:cNvPr id="6" name="TextBox 5">
          <a:extLst>
            <a:ext uri="{FF2B5EF4-FFF2-40B4-BE49-F238E27FC236}">
              <a16:creationId xmlns:a16="http://schemas.microsoft.com/office/drawing/2014/main" id="{0E84ABC9-FBA8-226F-6756-CC155E9E5222}"/>
            </a:ext>
          </a:extLst>
        </xdr:cNvPr>
        <xdr:cNvSpPr txBox="1"/>
      </xdr:nvSpPr>
      <xdr:spPr>
        <a:xfrm>
          <a:off x="2425700" y="323555"/>
          <a:ext cx="2468563"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2800" b="1" i="1">
              <a:solidFill>
                <a:srgbClr val="D979B7"/>
              </a:solidFill>
            </a:rPr>
            <a:t>SBB</a:t>
          </a:r>
          <a:r>
            <a:rPr lang="en-GB" sz="2800" b="1" i="1" baseline="0">
              <a:solidFill>
                <a:srgbClr val="D979B7"/>
              </a:solidFill>
            </a:rPr>
            <a:t> SALES </a:t>
          </a:r>
        </a:p>
        <a:p>
          <a:pPr algn="ctr"/>
          <a:r>
            <a:rPr lang="en-GB" sz="2800" b="1" i="1" baseline="0">
              <a:solidFill>
                <a:srgbClr val="D979B7"/>
              </a:solidFill>
            </a:rPr>
            <a:t>DASHBOARD</a:t>
          </a:r>
          <a:endParaRPr lang="en-NG" sz="2800" b="1" i="1">
            <a:solidFill>
              <a:srgbClr val="D979B7"/>
            </a:solidFill>
          </a:endParaRPr>
        </a:p>
      </xdr:txBody>
    </xdr:sp>
    <xdr:clientData/>
  </xdr:oneCellAnchor>
  <xdr:twoCellAnchor>
    <xdr:from>
      <xdr:col>6</xdr:col>
      <xdr:colOff>1470818</xdr:colOff>
      <xdr:row>0</xdr:row>
      <xdr:rowOff>138416</xdr:rowOff>
    </xdr:from>
    <xdr:to>
      <xdr:col>8</xdr:col>
      <xdr:colOff>594519</xdr:colOff>
      <xdr:row>5</xdr:row>
      <xdr:rowOff>56660</xdr:rowOff>
    </xdr:to>
    <xdr:grpSp>
      <xdr:nvGrpSpPr>
        <xdr:cNvPr id="33" name="Group 32">
          <a:extLst>
            <a:ext uri="{FF2B5EF4-FFF2-40B4-BE49-F238E27FC236}">
              <a16:creationId xmlns:a16="http://schemas.microsoft.com/office/drawing/2014/main" id="{A7B2CCD7-594C-CA49-F913-81FCFFDAD7FC}"/>
            </a:ext>
          </a:extLst>
        </xdr:cNvPr>
        <xdr:cNvGrpSpPr/>
      </xdr:nvGrpSpPr>
      <xdr:grpSpPr>
        <a:xfrm>
          <a:off x="8398668" y="138416"/>
          <a:ext cx="1936751" cy="870744"/>
          <a:chOff x="8959850" y="364635"/>
          <a:chExt cx="2231232" cy="811213"/>
        </a:xfrm>
      </xdr:grpSpPr>
      <xdr:sp macro="" textlink="">
        <xdr:nvSpPr>
          <xdr:cNvPr id="13" name="Rectangle: Rounded Corners 12">
            <a:extLst>
              <a:ext uri="{FF2B5EF4-FFF2-40B4-BE49-F238E27FC236}">
                <a16:creationId xmlns:a16="http://schemas.microsoft.com/office/drawing/2014/main" id="{F1B8C6BF-069B-BC55-8B1C-CA5F8B1BF71B}"/>
              </a:ext>
            </a:extLst>
          </xdr:cNvPr>
          <xdr:cNvSpPr/>
        </xdr:nvSpPr>
        <xdr:spPr>
          <a:xfrm>
            <a:off x="8959850" y="364635"/>
            <a:ext cx="2231232" cy="811213"/>
          </a:xfrm>
          <a:prstGeom prst="roundRect">
            <a:avLst/>
          </a:prstGeom>
          <a:solidFill>
            <a:srgbClr val="D979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200" b="1"/>
          </a:p>
        </xdr:txBody>
      </xdr:sp>
      <xdr:sp macro="" textlink="">
        <xdr:nvSpPr>
          <xdr:cNvPr id="14" name="TextBox 13">
            <a:extLst>
              <a:ext uri="{FF2B5EF4-FFF2-40B4-BE49-F238E27FC236}">
                <a16:creationId xmlns:a16="http://schemas.microsoft.com/office/drawing/2014/main" id="{CFCA9522-FC2F-6BA8-5CC5-F27AF04C3713}"/>
              </a:ext>
            </a:extLst>
          </xdr:cNvPr>
          <xdr:cNvSpPr txBox="1"/>
        </xdr:nvSpPr>
        <xdr:spPr>
          <a:xfrm>
            <a:off x="9352520" y="388145"/>
            <a:ext cx="1439542" cy="356391"/>
          </a:xfrm>
          <a:prstGeom prst="rect">
            <a:avLst/>
          </a:prstGeom>
          <a:no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TOTAL SALES</a:t>
            </a:r>
            <a:endParaRPr lang="en-NG" sz="1200" b="1">
              <a:solidFill>
                <a:schemeClr val="bg1"/>
              </a:solidFill>
            </a:endParaRPr>
          </a:p>
        </xdr:txBody>
      </xdr:sp>
      <xdr:sp macro="" textlink="PIVOTS!$A$4">
        <xdr:nvSpPr>
          <xdr:cNvPr id="29" name="TextBox 28">
            <a:extLst>
              <a:ext uri="{FF2B5EF4-FFF2-40B4-BE49-F238E27FC236}">
                <a16:creationId xmlns:a16="http://schemas.microsoft.com/office/drawing/2014/main" id="{A9D91EBF-C3A0-2DD5-B24F-794D7784FF4F}"/>
              </a:ext>
            </a:extLst>
          </xdr:cNvPr>
          <xdr:cNvSpPr txBox="1"/>
        </xdr:nvSpPr>
        <xdr:spPr>
          <a:xfrm>
            <a:off x="9352520" y="667205"/>
            <a:ext cx="1439542" cy="380545"/>
          </a:xfrm>
          <a:prstGeom prst="rect">
            <a:avLst/>
          </a:prstGeom>
          <a:solidFill>
            <a:srgbClr val="D979B7"/>
          </a:solid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F49E9CE-37FC-4F7A-BE72-FFDFA7CEA266}" type="TxLink">
              <a:rPr lang="en-US" sz="1600" b="1" i="0" u="none" strike="noStrike">
                <a:solidFill>
                  <a:schemeClr val="bg1"/>
                </a:solidFill>
                <a:latin typeface="Calibri"/>
                <a:ea typeface="+mn-ea"/>
                <a:cs typeface="Calibri"/>
              </a:rPr>
              <a:pPr marL="0" indent="0" algn="ctr"/>
              <a:t>₦8,826,040.00</a:t>
            </a:fld>
            <a:endParaRPr lang="en-NG" sz="1600" b="1" i="0" u="none" strike="noStrike">
              <a:solidFill>
                <a:schemeClr val="bg1"/>
              </a:solidFill>
              <a:latin typeface="Calibri"/>
              <a:ea typeface="+mn-ea"/>
              <a:cs typeface="Calibri"/>
            </a:endParaRPr>
          </a:p>
        </xdr:txBody>
      </xdr:sp>
    </xdr:grpSp>
    <xdr:clientData/>
  </xdr:twoCellAnchor>
  <xdr:twoCellAnchor>
    <xdr:from>
      <xdr:col>9</xdr:col>
      <xdr:colOff>189941</xdr:colOff>
      <xdr:row>0</xdr:row>
      <xdr:rowOff>142385</xdr:rowOff>
    </xdr:from>
    <xdr:to>
      <xdr:col>12</xdr:col>
      <xdr:colOff>286941</xdr:colOff>
      <xdr:row>5</xdr:row>
      <xdr:rowOff>54279</xdr:rowOff>
    </xdr:to>
    <xdr:grpSp>
      <xdr:nvGrpSpPr>
        <xdr:cNvPr id="34" name="Group 33">
          <a:extLst>
            <a:ext uri="{FF2B5EF4-FFF2-40B4-BE49-F238E27FC236}">
              <a16:creationId xmlns:a16="http://schemas.microsoft.com/office/drawing/2014/main" id="{9BA8D0AC-2FAE-94FC-D6AE-961C3C460901}"/>
            </a:ext>
          </a:extLst>
        </xdr:cNvPr>
        <xdr:cNvGrpSpPr/>
      </xdr:nvGrpSpPr>
      <xdr:grpSpPr>
        <a:xfrm>
          <a:off x="10540441" y="142385"/>
          <a:ext cx="1925800" cy="864394"/>
          <a:chOff x="11684623" y="364635"/>
          <a:chExt cx="1921831" cy="811213"/>
        </a:xfrm>
      </xdr:grpSpPr>
      <xdr:sp macro="" textlink="">
        <xdr:nvSpPr>
          <xdr:cNvPr id="17" name="Rectangle: Rounded Corners 16">
            <a:extLst>
              <a:ext uri="{FF2B5EF4-FFF2-40B4-BE49-F238E27FC236}">
                <a16:creationId xmlns:a16="http://schemas.microsoft.com/office/drawing/2014/main" id="{63346B7B-B8B3-6A93-67EA-2783B5FC0482}"/>
              </a:ext>
            </a:extLst>
          </xdr:cNvPr>
          <xdr:cNvSpPr/>
        </xdr:nvSpPr>
        <xdr:spPr>
          <a:xfrm>
            <a:off x="11684623" y="364635"/>
            <a:ext cx="1921831" cy="811213"/>
          </a:xfrm>
          <a:prstGeom prst="roundRect">
            <a:avLst/>
          </a:prstGeom>
          <a:solidFill>
            <a:srgbClr val="D979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200" b="1"/>
          </a:p>
        </xdr:txBody>
      </xdr:sp>
      <xdr:sp macro="" textlink="">
        <xdr:nvSpPr>
          <xdr:cNvPr id="18" name="TextBox 17">
            <a:extLst>
              <a:ext uri="{FF2B5EF4-FFF2-40B4-BE49-F238E27FC236}">
                <a16:creationId xmlns:a16="http://schemas.microsoft.com/office/drawing/2014/main" id="{3888BA42-E6AF-C7B0-1C3A-94E9C6B7B1D4}"/>
              </a:ext>
            </a:extLst>
          </xdr:cNvPr>
          <xdr:cNvSpPr txBox="1"/>
        </xdr:nvSpPr>
        <xdr:spPr>
          <a:xfrm>
            <a:off x="12063909" y="388146"/>
            <a:ext cx="1153734" cy="222766"/>
          </a:xfrm>
          <a:prstGeom prst="rect">
            <a:avLst/>
          </a:prstGeom>
          <a:no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Unit</a:t>
            </a:r>
            <a:r>
              <a:rPr lang="en-GB" sz="1200" b="1" baseline="0">
                <a:solidFill>
                  <a:schemeClr val="bg1"/>
                </a:solidFill>
              </a:rPr>
              <a:t> Sold</a:t>
            </a:r>
            <a:endParaRPr lang="en-NG" sz="1200" b="1">
              <a:solidFill>
                <a:schemeClr val="bg1"/>
              </a:solidFill>
            </a:endParaRPr>
          </a:p>
        </xdr:txBody>
      </xdr:sp>
      <xdr:sp macro="" textlink="PIVOTS!$B$4">
        <xdr:nvSpPr>
          <xdr:cNvPr id="54" name="TextBox 53">
            <a:extLst>
              <a:ext uri="{FF2B5EF4-FFF2-40B4-BE49-F238E27FC236}">
                <a16:creationId xmlns:a16="http://schemas.microsoft.com/office/drawing/2014/main" id="{B213E257-D34F-ADFC-D00B-0CA412866038}"/>
              </a:ext>
            </a:extLst>
          </xdr:cNvPr>
          <xdr:cNvSpPr txBox="1"/>
        </xdr:nvSpPr>
        <xdr:spPr>
          <a:xfrm>
            <a:off x="12063909" y="667205"/>
            <a:ext cx="1153734" cy="210569"/>
          </a:xfrm>
          <a:prstGeom prst="rect">
            <a:avLst/>
          </a:prstGeom>
          <a:solidFill>
            <a:srgbClr val="D979B7"/>
          </a:solid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787240-87D7-4FB5-B137-74807CED418C}" type="TxLink">
              <a:rPr lang="en-US" sz="1600" b="1" i="0" u="none" strike="noStrike">
                <a:solidFill>
                  <a:schemeClr val="bg1"/>
                </a:solidFill>
                <a:latin typeface="Calibri"/>
                <a:ea typeface="+mn-ea"/>
                <a:cs typeface="Calibri"/>
              </a:rPr>
              <a:pPr marL="0" indent="0" algn="ctr"/>
              <a:t>582</a:t>
            </a:fld>
            <a:endParaRPr lang="en-NG" sz="1600" b="1" i="0" u="none" strike="noStrike">
              <a:solidFill>
                <a:schemeClr val="bg1"/>
              </a:solidFill>
              <a:latin typeface="Calibri"/>
              <a:ea typeface="+mn-ea"/>
              <a:cs typeface="Calibri"/>
            </a:endParaRPr>
          </a:p>
        </xdr:txBody>
      </xdr:sp>
    </xdr:grpSp>
    <xdr:clientData/>
  </xdr:twoCellAnchor>
  <xdr:twoCellAnchor>
    <xdr:from>
      <xdr:col>12</xdr:col>
      <xdr:colOff>495932</xdr:colOff>
      <xdr:row>0</xdr:row>
      <xdr:rowOff>137623</xdr:rowOff>
    </xdr:from>
    <xdr:to>
      <xdr:col>15</xdr:col>
      <xdr:colOff>589757</xdr:colOff>
      <xdr:row>5</xdr:row>
      <xdr:rowOff>55867</xdr:rowOff>
    </xdr:to>
    <xdr:grpSp>
      <xdr:nvGrpSpPr>
        <xdr:cNvPr id="35" name="Group 34">
          <a:extLst>
            <a:ext uri="{FF2B5EF4-FFF2-40B4-BE49-F238E27FC236}">
              <a16:creationId xmlns:a16="http://schemas.microsoft.com/office/drawing/2014/main" id="{45102243-5669-D951-E214-AD7D2D64D1BD}"/>
            </a:ext>
          </a:extLst>
        </xdr:cNvPr>
        <xdr:cNvGrpSpPr/>
      </xdr:nvGrpSpPr>
      <xdr:grpSpPr>
        <a:xfrm>
          <a:off x="12675232" y="137623"/>
          <a:ext cx="1922625" cy="870744"/>
          <a:chOff x="13709836" y="367810"/>
          <a:chExt cx="1925006" cy="811213"/>
        </a:xfrm>
      </xdr:grpSpPr>
      <xdr:sp macro="" textlink="">
        <xdr:nvSpPr>
          <xdr:cNvPr id="20" name="Rectangle: Rounded Corners 19">
            <a:extLst>
              <a:ext uri="{FF2B5EF4-FFF2-40B4-BE49-F238E27FC236}">
                <a16:creationId xmlns:a16="http://schemas.microsoft.com/office/drawing/2014/main" id="{17BA9FAD-404B-66B0-8B4A-EE44DEEC364B}"/>
              </a:ext>
            </a:extLst>
          </xdr:cNvPr>
          <xdr:cNvSpPr/>
        </xdr:nvSpPr>
        <xdr:spPr>
          <a:xfrm>
            <a:off x="13709836" y="367810"/>
            <a:ext cx="1925006" cy="811213"/>
          </a:xfrm>
          <a:prstGeom prst="roundRect">
            <a:avLst/>
          </a:prstGeom>
          <a:solidFill>
            <a:srgbClr val="D979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200" b="1"/>
          </a:p>
        </xdr:txBody>
      </xdr:sp>
      <xdr:sp macro="" textlink="">
        <xdr:nvSpPr>
          <xdr:cNvPr id="21" name="TextBox 20">
            <a:extLst>
              <a:ext uri="{FF2B5EF4-FFF2-40B4-BE49-F238E27FC236}">
                <a16:creationId xmlns:a16="http://schemas.microsoft.com/office/drawing/2014/main" id="{0C0A4CCC-C11B-FF1D-CC5A-084C05C1D159}"/>
              </a:ext>
            </a:extLst>
          </xdr:cNvPr>
          <xdr:cNvSpPr txBox="1"/>
        </xdr:nvSpPr>
        <xdr:spPr>
          <a:xfrm>
            <a:off x="14092297" y="384971"/>
            <a:ext cx="1166433" cy="225941"/>
          </a:xfrm>
          <a:prstGeom prst="rect">
            <a:avLst/>
          </a:prstGeom>
          <a:no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Not</a:t>
            </a:r>
            <a:r>
              <a:rPr lang="en-GB" sz="1200" b="1" baseline="0">
                <a:solidFill>
                  <a:schemeClr val="bg1"/>
                </a:solidFill>
              </a:rPr>
              <a:t> delivered</a:t>
            </a:r>
            <a:endParaRPr lang="en-NG" sz="1200" b="1">
              <a:solidFill>
                <a:schemeClr val="bg1"/>
              </a:solidFill>
            </a:endParaRPr>
          </a:p>
        </xdr:txBody>
      </xdr:sp>
      <xdr:sp macro="" textlink="PIVOTS!E31">
        <xdr:nvSpPr>
          <xdr:cNvPr id="55" name="TextBox 54">
            <a:extLst>
              <a:ext uri="{FF2B5EF4-FFF2-40B4-BE49-F238E27FC236}">
                <a16:creationId xmlns:a16="http://schemas.microsoft.com/office/drawing/2014/main" id="{150FD810-6E13-C3D6-7C09-DCADA948AFDA}"/>
              </a:ext>
            </a:extLst>
          </xdr:cNvPr>
          <xdr:cNvSpPr txBox="1"/>
        </xdr:nvSpPr>
        <xdr:spPr>
          <a:xfrm>
            <a:off x="14092297" y="667205"/>
            <a:ext cx="1166433" cy="207394"/>
          </a:xfrm>
          <a:prstGeom prst="rect">
            <a:avLst/>
          </a:prstGeom>
          <a:solidFill>
            <a:srgbClr val="D979B7"/>
          </a:solid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D042E28-3ECC-4930-9A0F-82127F3AB0E1}" type="TxLink">
              <a:rPr lang="en-US" sz="1600" b="1" i="0" u="none" strike="noStrike">
                <a:solidFill>
                  <a:schemeClr val="bg1"/>
                </a:solidFill>
                <a:latin typeface="Calibri"/>
                <a:ea typeface="+mn-ea"/>
                <a:cs typeface="Calibri"/>
              </a:rPr>
              <a:pPr marL="0" indent="0" algn="ctr"/>
              <a:t>10</a:t>
            </a:fld>
            <a:endParaRPr lang="en-NG" sz="1600" b="1" i="0" u="none" strike="noStrike">
              <a:solidFill>
                <a:schemeClr val="bg1"/>
              </a:solidFill>
              <a:latin typeface="Calibri"/>
              <a:ea typeface="+mn-ea"/>
              <a:cs typeface="Calibri"/>
            </a:endParaRPr>
          </a:p>
        </xdr:txBody>
      </xdr:sp>
    </xdr:grpSp>
    <xdr:clientData/>
  </xdr:twoCellAnchor>
  <xdr:twoCellAnchor>
    <xdr:from>
      <xdr:col>16</xdr:col>
      <xdr:colOff>194704</xdr:colOff>
      <xdr:row>0</xdr:row>
      <xdr:rowOff>141591</xdr:rowOff>
    </xdr:from>
    <xdr:to>
      <xdr:col>19</xdr:col>
      <xdr:colOff>298054</xdr:colOff>
      <xdr:row>5</xdr:row>
      <xdr:rowOff>59835</xdr:rowOff>
    </xdr:to>
    <xdr:grpSp>
      <xdr:nvGrpSpPr>
        <xdr:cNvPr id="36" name="Group 35">
          <a:extLst>
            <a:ext uri="{FF2B5EF4-FFF2-40B4-BE49-F238E27FC236}">
              <a16:creationId xmlns:a16="http://schemas.microsoft.com/office/drawing/2014/main" id="{684D493E-E3E2-40EC-7535-DEC9EB5C0332}"/>
            </a:ext>
          </a:extLst>
        </xdr:cNvPr>
        <xdr:cNvGrpSpPr/>
      </xdr:nvGrpSpPr>
      <xdr:grpSpPr>
        <a:xfrm>
          <a:off x="14812404" y="141591"/>
          <a:ext cx="1932150" cy="870744"/>
          <a:chOff x="15744839" y="367810"/>
          <a:chExt cx="1925006" cy="811213"/>
        </a:xfrm>
      </xdr:grpSpPr>
      <xdr:sp macro="" textlink="">
        <xdr:nvSpPr>
          <xdr:cNvPr id="23" name="Rectangle: Rounded Corners 22">
            <a:extLst>
              <a:ext uri="{FF2B5EF4-FFF2-40B4-BE49-F238E27FC236}">
                <a16:creationId xmlns:a16="http://schemas.microsoft.com/office/drawing/2014/main" id="{051A3519-A5F9-FAC7-94FB-0DEAFF29958F}"/>
              </a:ext>
            </a:extLst>
          </xdr:cNvPr>
          <xdr:cNvSpPr/>
        </xdr:nvSpPr>
        <xdr:spPr>
          <a:xfrm>
            <a:off x="15744839" y="367810"/>
            <a:ext cx="1925006" cy="811213"/>
          </a:xfrm>
          <a:prstGeom prst="roundRect">
            <a:avLst/>
          </a:prstGeom>
          <a:solidFill>
            <a:srgbClr val="D979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200" b="1"/>
          </a:p>
        </xdr:txBody>
      </xdr:sp>
      <xdr:sp macro="" textlink="">
        <xdr:nvSpPr>
          <xdr:cNvPr id="24" name="TextBox 23">
            <a:extLst>
              <a:ext uri="{FF2B5EF4-FFF2-40B4-BE49-F238E27FC236}">
                <a16:creationId xmlns:a16="http://schemas.microsoft.com/office/drawing/2014/main" id="{6BEABAE6-0CCF-2A49-527C-67C5D7CCD504}"/>
              </a:ext>
            </a:extLst>
          </xdr:cNvPr>
          <xdr:cNvSpPr txBox="1"/>
        </xdr:nvSpPr>
        <xdr:spPr>
          <a:xfrm>
            <a:off x="16123993" y="384971"/>
            <a:ext cx="1166698" cy="225941"/>
          </a:xfrm>
          <a:prstGeom prst="rect">
            <a:avLst/>
          </a:prstGeom>
          <a:no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Debtors</a:t>
            </a:r>
            <a:endParaRPr lang="en-NG" sz="1200" b="1">
              <a:solidFill>
                <a:schemeClr val="bg1"/>
              </a:solidFill>
            </a:endParaRPr>
          </a:p>
        </xdr:txBody>
      </xdr:sp>
      <xdr:sp macro="" textlink="PIVOTS!$N$22">
        <xdr:nvSpPr>
          <xdr:cNvPr id="56" name="TextBox 55">
            <a:extLst>
              <a:ext uri="{FF2B5EF4-FFF2-40B4-BE49-F238E27FC236}">
                <a16:creationId xmlns:a16="http://schemas.microsoft.com/office/drawing/2014/main" id="{B2D94628-F39C-4412-2327-F4C555D5955C}"/>
              </a:ext>
            </a:extLst>
          </xdr:cNvPr>
          <xdr:cNvSpPr txBox="1"/>
        </xdr:nvSpPr>
        <xdr:spPr>
          <a:xfrm>
            <a:off x="16120818" y="667205"/>
            <a:ext cx="1166698" cy="207394"/>
          </a:xfrm>
          <a:prstGeom prst="rect">
            <a:avLst/>
          </a:prstGeom>
          <a:solidFill>
            <a:srgbClr val="D979B7"/>
          </a:solid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D4062E-835F-471C-B976-5AD9D773A35A}" type="TxLink">
              <a:rPr lang="en-US" sz="1600" b="1" i="0" u="none" strike="noStrike">
                <a:solidFill>
                  <a:schemeClr val="bg1"/>
                </a:solidFill>
                <a:latin typeface="Calibri"/>
                <a:ea typeface="+mn-ea"/>
                <a:cs typeface="Calibri"/>
              </a:rPr>
              <a:pPr marL="0" indent="0" algn="ctr"/>
              <a:t>87</a:t>
            </a:fld>
            <a:endParaRPr lang="en-NG" sz="1600" b="1" i="0" u="none" strike="noStrike">
              <a:solidFill>
                <a:schemeClr val="bg1"/>
              </a:solidFill>
              <a:latin typeface="Calibri"/>
              <a:ea typeface="+mn-ea"/>
              <a:cs typeface="Calibri"/>
            </a:endParaRPr>
          </a:p>
        </xdr:txBody>
      </xdr:sp>
    </xdr:grpSp>
    <xdr:clientData/>
  </xdr:twoCellAnchor>
  <xdr:twoCellAnchor>
    <xdr:from>
      <xdr:col>19</xdr:col>
      <xdr:colOff>497521</xdr:colOff>
      <xdr:row>0</xdr:row>
      <xdr:rowOff>143179</xdr:rowOff>
    </xdr:from>
    <xdr:to>
      <xdr:col>23</xdr:col>
      <xdr:colOff>6352</xdr:colOff>
      <xdr:row>5</xdr:row>
      <xdr:rowOff>55073</xdr:rowOff>
    </xdr:to>
    <xdr:grpSp>
      <xdr:nvGrpSpPr>
        <xdr:cNvPr id="37" name="Group 36">
          <a:extLst>
            <a:ext uri="{FF2B5EF4-FFF2-40B4-BE49-F238E27FC236}">
              <a16:creationId xmlns:a16="http://schemas.microsoft.com/office/drawing/2014/main" id="{ECC6691D-B435-A550-260D-71DF94B1EEE5}"/>
            </a:ext>
          </a:extLst>
        </xdr:cNvPr>
        <xdr:cNvGrpSpPr/>
      </xdr:nvGrpSpPr>
      <xdr:grpSpPr>
        <a:xfrm>
          <a:off x="16944021" y="143179"/>
          <a:ext cx="3509331" cy="864394"/>
          <a:chOff x="17773490" y="367810"/>
          <a:chExt cx="1937706" cy="811213"/>
        </a:xfrm>
      </xdr:grpSpPr>
      <xdr:sp macro="" textlink="">
        <xdr:nvSpPr>
          <xdr:cNvPr id="26" name="Rectangle: Rounded Corners 25">
            <a:extLst>
              <a:ext uri="{FF2B5EF4-FFF2-40B4-BE49-F238E27FC236}">
                <a16:creationId xmlns:a16="http://schemas.microsoft.com/office/drawing/2014/main" id="{4983CC97-023E-B33F-55A4-465011068C7A}"/>
              </a:ext>
            </a:extLst>
          </xdr:cNvPr>
          <xdr:cNvSpPr/>
        </xdr:nvSpPr>
        <xdr:spPr>
          <a:xfrm>
            <a:off x="17773490" y="367810"/>
            <a:ext cx="1937706" cy="811213"/>
          </a:xfrm>
          <a:prstGeom prst="roundRect">
            <a:avLst/>
          </a:prstGeom>
          <a:solidFill>
            <a:srgbClr val="D979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200" b="1"/>
          </a:p>
        </xdr:txBody>
      </xdr:sp>
      <xdr:sp macro="" textlink="">
        <xdr:nvSpPr>
          <xdr:cNvPr id="27" name="TextBox 26">
            <a:extLst>
              <a:ext uri="{FF2B5EF4-FFF2-40B4-BE49-F238E27FC236}">
                <a16:creationId xmlns:a16="http://schemas.microsoft.com/office/drawing/2014/main" id="{8DFE6C48-5F8B-ACC8-F428-D73A4438A818}"/>
              </a:ext>
            </a:extLst>
          </xdr:cNvPr>
          <xdr:cNvSpPr txBox="1"/>
        </xdr:nvSpPr>
        <xdr:spPr>
          <a:xfrm>
            <a:off x="18154364" y="367810"/>
            <a:ext cx="1175959" cy="213241"/>
          </a:xfrm>
          <a:prstGeom prst="rect">
            <a:avLst/>
          </a:prstGeom>
          <a:no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Receivables</a:t>
            </a:r>
            <a:endParaRPr lang="en-NG" sz="1200" b="1">
              <a:solidFill>
                <a:schemeClr val="bg1"/>
              </a:solidFill>
            </a:endParaRPr>
          </a:p>
        </xdr:txBody>
      </xdr:sp>
      <xdr:sp macro="" textlink="PIVOTS!$O$22">
        <xdr:nvSpPr>
          <xdr:cNvPr id="57" name="TextBox 56">
            <a:extLst>
              <a:ext uri="{FF2B5EF4-FFF2-40B4-BE49-F238E27FC236}">
                <a16:creationId xmlns:a16="http://schemas.microsoft.com/office/drawing/2014/main" id="{53B0CBA1-6C6A-8C30-C63F-42B2C6B179C8}"/>
              </a:ext>
            </a:extLst>
          </xdr:cNvPr>
          <xdr:cNvSpPr txBox="1"/>
        </xdr:nvSpPr>
        <xdr:spPr>
          <a:xfrm>
            <a:off x="17961480" y="686897"/>
            <a:ext cx="1555377" cy="227239"/>
          </a:xfrm>
          <a:prstGeom prst="rect">
            <a:avLst/>
          </a:prstGeom>
          <a:solidFill>
            <a:srgbClr val="D979B7"/>
          </a:solidFill>
          <a:ln w="9525" cmpd="sng">
            <a:solidFill>
              <a:srgbClr val="D979B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FB2991-D076-4FF1-A1CE-0C239FDA062B}" type="TxLink">
              <a:rPr lang="en-US" sz="1600" b="1" i="0" u="none" strike="noStrike">
                <a:solidFill>
                  <a:schemeClr val="bg1"/>
                </a:solidFill>
                <a:latin typeface="Calibri"/>
                <a:ea typeface="+mn-ea"/>
                <a:cs typeface="Calibri"/>
              </a:rPr>
              <a:pPr marL="0" indent="0" algn="ctr"/>
              <a:t>-₦566,814.50</a:t>
            </a:fld>
            <a:endParaRPr lang="en-NG" sz="1600" b="1" i="0" u="none" strike="noStrike">
              <a:solidFill>
                <a:schemeClr val="bg1"/>
              </a:solidFill>
              <a:latin typeface="Calibri"/>
              <a:ea typeface="+mn-ea"/>
              <a:cs typeface="Calibri"/>
            </a:endParaRPr>
          </a:p>
        </xdr:txBody>
      </xdr:sp>
    </xdr:grpSp>
    <xdr:clientData/>
  </xdr:twoCellAnchor>
  <xdr:twoCellAnchor>
    <xdr:from>
      <xdr:col>0</xdr:col>
      <xdr:colOff>0</xdr:colOff>
      <xdr:row>10</xdr:row>
      <xdr:rowOff>0</xdr:rowOff>
    </xdr:from>
    <xdr:to>
      <xdr:col>28</xdr:col>
      <xdr:colOff>238125</xdr:colOff>
      <xdr:row>10</xdr:row>
      <xdr:rowOff>0</xdr:rowOff>
    </xdr:to>
    <xdr:cxnSp macro="">
      <xdr:nvCxnSpPr>
        <xdr:cNvPr id="59" name="Straight Connector 58">
          <a:extLst>
            <a:ext uri="{FF2B5EF4-FFF2-40B4-BE49-F238E27FC236}">
              <a16:creationId xmlns:a16="http://schemas.microsoft.com/office/drawing/2014/main" id="{FDBD4CA5-4AF4-D42C-3708-C2B4D9138AD9}"/>
            </a:ext>
          </a:extLst>
        </xdr:cNvPr>
        <xdr:cNvCxnSpPr/>
      </xdr:nvCxnSpPr>
      <xdr:spPr>
        <a:xfrm>
          <a:off x="0" y="1603375"/>
          <a:ext cx="23622000" cy="0"/>
        </a:xfrm>
        <a:prstGeom prst="line">
          <a:avLst/>
        </a:prstGeom>
        <a:ln w="25400">
          <a:solidFill>
            <a:srgbClr val="D979B7"/>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421822</xdr:colOff>
      <xdr:row>11</xdr:row>
      <xdr:rowOff>231322</xdr:rowOff>
    </xdr:from>
    <xdr:to>
      <xdr:col>18</xdr:col>
      <xdr:colOff>123825</xdr:colOff>
      <xdr:row>22</xdr:row>
      <xdr:rowOff>184301</xdr:rowOff>
    </xdr:to>
    <xdr:graphicFrame macro="">
      <xdr:nvGraphicFramePr>
        <xdr:cNvPr id="7" name="Chart 6">
          <a:extLst>
            <a:ext uri="{FF2B5EF4-FFF2-40B4-BE49-F238E27FC236}">
              <a16:creationId xmlns:a16="http://schemas.microsoft.com/office/drawing/2014/main" id="{F93AB1EB-8D95-489A-B107-1A1DE325A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418826</xdr:colOff>
      <xdr:row>10</xdr:row>
      <xdr:rowOff>32960</xdr:rowOff>
    </xdr:from>
    <xdr:to>
      <xdr:col>13</xdr:col>
      <xdr:colOff>391404</xdr:colOff>
      <xdr:row>11</xdr:row>
      <xdr:rowOff>134561</xdr:rowOff>
    </xdr:to>
    <xdr:sp macro="" textlink="">
      <xdr:nvSpPr>
        <xdr:cNvPr id="10" name="TextBox 9">
          <a:extLst>
            <a:ext uri="{FF2B5EF4-FFF2-40B4-BE49-F238E27FC236}">
              <a16:creationId xmlns:a16="http://schemas.microsoft.com/office/drawing/2014/main" id="{30F11602-B441-037F-A28F-C9629558619B}"/>
            </a:ext>
          </a:extLst>
        </xdr:cNvPr>
        <xdr:cNvSpPr txBox="1"/>
      </xdr:nvSpPr>
      <xdr:spPr>
        <a:xfrm>
          <a:off x="10748159" y="1694543"/>
          <a:ext cx="2427912" cy="281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Quarterly Sales &amp; Unit Sold</a:t>
          </a:r>
          <a:endParaRPr lang="en-NG" sz="1400" b="1"/>
        </a:p>
      </xdr:txBody>
    </xdr:sp>
    <xdr:clientData/>
  </xdr:twoCellAnchor>
  <xdr:twoCellAnchor>
    <xdr:from>
      <xdr:col>1</xdr:col>
      <xdr:colOff>850350</xdr:colOff>
      <xdr:row>10</xdr:row>
      <xdr:rowOff>58208</xdr:rowOff>
    </xdr:from>
    <xdr:to>
      <xdr:col>3</xdr:col>
      <xdr:colOff>1001185</xdr:colOff>
      <xdr:row>11</xdr:row>
      <xdr:rowOff>133350</xdr:rowOff>
    </xdr:to>
    <xdr:sp macro="" textlink="">
      <xdr:nvSpPr>
        <xdr:cNvPr id="11" name="TextBox 10">
          <a:extLst>
            <a:ext uri="{FF2B5EF4-FFF2-40B4-BE49-F238E27FC236}">
              <a16:creationId xmlns:a16="http://schemas.microsoft.com/office/drawing/2014/main" id="{2C19C3ED-4E7A-4B06-9689-24E8C7964615}"/>
            </a:ext>
          </a:extLst>
        </xdr:cNvPr>
        <xdr:cNvSpPr txBox="1"/>
      </xdr:nvSpPr>
      <xdr:spPr>
        <a:xfrm>
          <a:off x="1952529" y="1827137"/>
          <a:ext cx="2191906" cy="2520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t>Sales</a:t>
          </a:r>
          <a:r>
            <a:rPr lang="en-GB" sz="1400" b="1" baseline="0"/>
            <a:t> Comparison</a:t>
          </a:r>
          <a:endParaRPr lang="en-NG" sz="1400" b="1"/>
        </a:p>
      </xdr:txBody>
    </xdr:sp>
    <xdr:clientData/>
  </xdr:twoCellAnchor>
  <xdr:twoCellAnchor>
    <xdr:from>
      <xdr:col>0</xdr:col>
      <xdr:colOff>0</xdr:colOff>
      <xdr:row>23</xdr:row>
      <xdr:rowOff>142874</xdr:rowOff>
    </xdr:from>
    <xdr:to>
      <xdr:col>28</xdr:col>
      <xdr:colOff>40821</xdr:colOff>
      <xdr:row>24</xdr:row>
      <xdr:rowOff>1928</xdr:rowOff>
    </xdr:to>
    <xdr:cxnSp macro="">
      <xdr:nvCxnSpPr>
        <xdr:cNvPr id="12" name="Straight Connector 11">
          <a:extLst>
            <a:ext uri="{FF2B5EF4-FFF2-40B4-BE49-F238E27FC236}">
              <a16:creationId xmlns:a16="http://schemas.microsoft.com/office/drawing/2014/main" id="{65CA4D5F-2257-4235-A659-7D038DDD5D97}"/>
            </a:ext>
          </a:extLst>
        </xdr:cNvPr>
        <xdr:cNvCxnSpPr/>
      </xdr:nvCxnSpPr>
      <xdr:spPr>
        <a:xfrm flipV="1">
          <a:off x="0" y="5500687"/>
          <a:ext cx="23496134" cy="37647"/>
        </a:xfrm>
        <a:prstGeom prst="line">
          <a:avLst/>
        </a:prstGeom>
        <a:ln w="25400">
          <a:solidFill>
            <a:srgbClr val="D979B7"/>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59529</xdr:colOff>
      <xdr:row>25</xdr:row>
      <xdr:rowOff>221455</xdr:rowOff>
    </xdr:from>
    <xdr:to>
      <xdr:col>24</xdr:col>
      <xdr:colOff>488156</xdr:colOff>
      <xdr:row>37</xdr:row>
      <xdr:rowOff>50799</xdr:rowOff>
    </xdr:to>
    <xdr:graphicFrame macro="">
      <xdr:nvGraphicFramePr>
        <xdr:cNvPr id="16" name="Chart 15">
          <a:extLst>
            <a:ext uri="{FF2B5EF4-FFF2-40B4-BE49-F238E27FC236}">
              <a16:creationId xmlns:a16="http://schemas.microsoft.com/office/drawing/2014/main" id="{73CB71F6-30F0-4FDB-9B92-0BC8473F7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327877</xdr:colOff>
      <xdr:row>24</xdr:row>
      <xdr:rowOff>38099</xdr:rowOff>
    </xdr:from>
    <xdr:to>
      <xdr:col>18</xdr:col>
      <xdr:colOff>207903</xdr:colOff>
      <xdr:row>25</xdr:row>
      <xdr:rowOff>207168</xdr:rowOff>
    </xdr:to>
    <xdr:sp macro="" textlink="">
      <xdr:nvSpPr>
        <xdr:cNvPr id="28" name="TextBox 27">
          <a:extLst>
            <a:ext uri="{FF2B5EF4-FFF2-40B4-BE49-F238E27FC236}">
              <a16:creationId xmlns:a16="http://schemas.microsoft.com/office/drawing/2014/main" id="{12AABB77-6BA2-481F-BA8F-68E507DFADBE}"/>
            </a:ext>
          </a:extLst>
        </xdr:cNvPr>
        <xdr:cNvSpPr txBox="1"/>
      </xdr:nvSpPr>
      <xdr:spPr>
        <a:xfrm>
          <a:off x="13103283" y="5574505"/>
          <a:ext cx="2916120" cy="34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t>Monthly</a:t>
          </a:r>
          <a:r>
            <a:rPr lang="en-GB" sz="1400" b="1" baseline="0"/>
            <a:t> Sales </a:t>
          </a:r>
        </a:p>
        <a:p>
          <a:endParaRPr lang="en-NG" sz="1400" b="1"/>
        </a:p>
      </xdr:txBody>
    </xdr:sp>
    <xdr:clientData/>
  </xdr:twoCellAnchor>
  <xdr:twoCellAnchor editAs="oneCell">
    <xdr:from>
      <xdr:col>7</xdr:col>
      <xdr:colOff>0</xdr:colOff>
      <xdr:row>5</xdr:row>
      <xdr:rowOff>133350</xdr:rowOff>
    </xdr:from>
    <xdr:to>
      <xdr:col>24</xdr:col>
      <xdr:colOff>47625</xdr:colOff>
      <xdr:row>9</xdr:row>
      <xdr:rowOff>34925</xdr:rowOff>
    </xdr:to>
    <mc:AlternateContent xmlns:mc="http://schemas.openxmlformats.org/markup-compatibility/2006" xmlns:a14="http://schemas.microsoft.com/office/drawing/2010/main">
      <mc:Choice Requires="a14">
        <xdr:graphicFrame macro="">
          <xdr:nvGraphicFramePr>
            <xdr:cNvPr id="15" name="Shoe style 2">
              <a:extLst>
                <a:ext uri="{FF2B5EF4-FFF2-40B4-BE49-F238E27FC236}">
                  <a16:creationId xmlns:a16="http://schemas.microsoft.com/office/drawing/2014/main" id="{88CFFBA9-740E-4DBA-B3B3-81653DFF7D6E}"/>
                </a:ext>
                <a:ext uri="{147F2762-F138-4A5C-976F-8EAC2B608ADB}">
                  <a16:predDERef xmlns:a16="http://schemas.microsoft.com/office/drawing/2014/main" pred="{12AABB77-6BA2-481F-BA8F-68E507DFADB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hoe style 2"/>
            </a:graphicData>
          </a:graphic>
        </xdr:graphicFrame>
      </mc:Choice>
      <mc:Fallback xmlns="">
        <xdr:sp macro="" textlink="">
          <xdr:nvSpPr>
            <xdr:cNvPr id="0" name=""/>
            <xdr:cNvSpPr>
              <a:spLocks noTextEdit="1"/>
            </xdr:cNvSpPr>
          </xdr:nvSpPr>
          <xdr:spPr>
            <a:xfrm>
              <a:off x="8416923" y="976313"/>
              <a:ext cx="12865101" cy="60721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228600</xdr:colOff>
      <xdr:row>5</xdr:row>
      <xdr:rowOff>95250</xdr:rowOff>
    </xdr:from>
    <xdr:to>
      <xdr:col>27</xdr:col>
      <xdr:colOff>533400</xdr:colOff>
      <xdr:row>10</xdr:row>
      <xdr:rowOff>19050</xdr:rowOff>
    </xdr:to>
    <mc:AlternateContent xmlns:mc="http://schemas.openxmlformats.org/markup-compatibility/2006" xmlns:a14="http://schemas.microsoft.com/office/drawing/2010/main">
      <mc:Choice Requires="a14">
        <xdr:graphicFrame macro="">
          <xdr:nvGraphicFramePr>
            <xdr:cNvPr id="19" name="Years (Date) 1">
              <a:extLst>
                <a:ext uri="{FF2B5EF4-FFF2-40B4-BE49-F238E27FC236}">
                  <a16:creationId xmlns:a16="http://schemas.microsoft.com/office/drawing/2014/main" id="{BC8FED70-AA72-4800-B8B3-8681F546D1EE}"/>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21151850" y="968375"/>
              <a:ext cx="2146300" cy="6540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menike Akachukwu" refreshedDate="45737.620802314814" createdVersion="8" refreshedVersion="8" minRefreshableVersion="3" recordCount="582" xr:uid="{8E7F2B95-7DFC-4B52-8863-B37CD319CB13}">
  <cacheSource type="worksheet">
    <worksheetSource name="Table2"/>
  </cacheSource>
  <cacheFields count="24">
    <cacheField name="Order ID" numFmtId="0">
      <sharedItems containsBlank="1" count="317">
        <s v="AUG2024-1"/>
        <s v="AUG2024-2"/>
        <s v="AUG2024-3"/>
        <s v="AUG2024-4"/>
        <s v="AUG2024-5"/>
        <s v="AUG2024-6"/>
        <s v="AUG2024-7"/>
        <s v="AUG2024-8"/>
        <s v="AUG2024-9"/>
        <s v="AUG2024-10"/>
        <s v="AUG2024-11"/>
        <s v="AUG2024-12"/>
        <s v="AUG2024-13"/>
        <s v="AUG2024-14"/>
        <s v="AUG2024-15"/>
        <s v="AUG2024-16"/>
        <s v="AUG2024-17"/>
        <s v="AUG2024-18"/>
        <s v="AUG2024-19"/>
        <s v="AUG2024-20"/>
        <s v="AUG2024-21"/>
        <s v="AUG2024-22"/>
        <s v="AUG2024-23"/>
        <s v="AUG2024-24"/>
        <s v="AUG2024-25"/>
        <s v="AUG2024-26"/>
        <s v="AUG2024-27"/>
        <s v="AUG2024-28"/>
        <s v="AUG2024-29"/>
        <s v="AUG2024-30"/>
        <s v="AUG2024-31"/>
        <s v="AUG2024-32"/>
        <s v="AUG2024-33"/>
        <s v="SEP2024-1"/>
        <s v="SEP2024-3"/>
        <s v="SEP2024-4"/>
        <s v="SEP2024-5"/>
        <s v="SEP2024-6"/>
        <s v="SEP2024-7"/>
        <s v="SEP2024-8"/>
        <s v="SEP2024-9"/>
        <s v="SEP2024-10"/>
        <s v="SEP2024-11"/>
        <s v="SEP2024-12"/>
        <s v="SEP2024-13"/>
        <s v="SEP2024-14"/>
        <s v="SEP2024-15"/>
        <s v="SEP2024-16"/>
        <s v="SEP2024-17"/>
        <s v="SEP2024-18"/>
        <s v="SEP2024-19"/>
        <s v="SEP2024-20"/>
        <s v="SEP2024-21"/>
        <s v="SEP2024-22"/>
        <s v="SEP2024-23"/>
        <s v="SEP2024-24"/>
        <s v="SEP2024-25"/>
        <s v="SEP2024-26"/>
        <s v="SEP2024-27"/>
        <s v="SEP2024-28"/>
        <s v="SEP2024-29"/>
        <s v="SEP2024-30"/>
        <s v="SEP2024-31"/>
        <s v="SEP2024-32"/>
        <s v="SEP2024-33"/>
        <s v="SEP2024-34"/>
        <s v="SEP2024-35"/>
        <s v="SEP2024-36"/>
        <s v="SEP2024-37"/>
        <s v="SEP2024-38"/>
        <s v="SEP2024-39"/>
        <s v="SEP2024-40"/>
        <s v="SEP2024-41"/>
        <s v="SEP2024-42"/>
        <s v="SEP2024-43"/>
        <s v="SEP2024-44"/>
        <s v="SEP2024-45"/>
        <s v="SEP2024-46"/>
        <s v="SEP2024-47"/>
        <s v="SEP2024-48"/>
        <s v="SEP2024-49"/>
        <s v="SEP2024-50"/>
        <s v="SEP2024-51"/>
        <s v="SEP2024-52"/>
        <s v="SEP2024-53"/>
        <s v="SEP2024-54"/>
        <s v="SEP2024-55"/>
        <s v="SEP2024-56"/>
        <s v="SEP2024-57"/>
        <s v="SEP2024-58"/>
        <s v="SEP2024-59"/>
        <s v="SEP2024-60"/>
        <s v="OCT2024-0"/>
        <s v="OCT2024-1"/>
        <s v="OCT2024-2"/>
        <s v="OCT2024-3"/>
        <s v="OCT2024-4"/>
        <s v="OCT2024-5"/>
        <s v="OCT2024-6"/>
        <s v="OCT2024-7"/>
        <s v="OCT2024-8"/>
        <s v="OCT2024-9"/>
        <s v="OCT2024-10"/>
        <s v="OCT2024-11"/>
        <s v="OCT2024-12"/>
        <s v="OCT2024-13"/>
        <s v="OCT2024-14"/>
        <s v="OCT2024-15"/>
        <s v="OCT2024-16"/>
        <s v="OCT2024-17"/>
        <s v="OCT2024-18"/>
        <s v="OCT2024-19"/>
        <s v="OCT2024-20"/>
        <s v="OCT2024-21"/>
        <s v="OCT2024-22"/>
        <s v="OCT2024-23"/>
        <s v="OCT2024-24"/>
        <s v="OCT2024-25"/>
        <s v="OCT2024-26"/>
        <s v="OCT2024-27"/>
        <s v="OCT2024-28"/>
        <s v="OCT2024-29"/>
        <s v="OCT2024-30"/>
        <s v="OCT2024-31"/>
        <s v="OCT2024-32"/>
        <s v="OCT2024-33"/>
        <s v="OCT2024-34"/>
        <s v="OCT2024-35"/>
        <s v="OCT2024-36"/>
        <s v="OCT2024-37"/>
        <s v="OCT2024-38"/>
        <s v="OCT2024-39"/>
        <s v="OCT2024-40"/>
        <s v="OCT2024-41"/>
        <s v="OCT2024-42"/>
        <s v="OCT2024-43"/>
        <s v="OCT2024-44"/>
        <s v="OCT2024-45"/>
        <s v="OCT2024-46"/>
        <s v="OCT2024-47"/>
        <s v="OCT2024-48"/>
        <s v="OCT2024-49"/>
        <s v="OCT2024-50"/>
        <s v="OCT2024-51"/>
        <s v="OCT2024-52"/>
        <s v="OCT2024-53"/>
        <s v="OCT2024-54"/>
        <s v="OCT2024-55"/>
        <s v="OCT2024-56"/>
        <s v="OCT2024-57"/>
        <s v="OCT2024-58"/>
        <s v="OCT2024-59"/>
        <s v="OCT2024-60"/>
        <s v="OCT2024-61"/>
        <s v="OCT2024-62"/>
        <s v="OCT2024-63"/>
        <s v="OCT2024-64"/>
        <s v="OCT2024-65"/>
        <s v="OCT2024-66"/>
        <s v="OCT2024-67"/>
        <s v="OCT2024-68"/>
        <s v="OCT2024-69"/>
        <s v="NOV2024-1"/>
        <s v="NOV2024-2"/>
        <s v="NOV2024-3"/>
        <s v="NOV2024-4"/>
        <s v="NOV2024-5"/>
        <s v="NOV2024-6"/>
        <s v="NOV2024-7"/>
        <s v="NOV2024-8"/>
        <s v="NOV2024-9"/>
        <s v="NOV2024-10"/>
        <s v="NOV2024-11"/>
        <s v="NOV2024-12"/>
        <s v="NOV2024-13"/>
        <s v="NOV2024-14"/>
        <s v="NOV2024-15"/>
        <s v="NOV2024-16"/>
        <s v="NOV2024-17"/>
        <s v="NOV2024-18"/>
        <s v="NOV2024-19"/>
        <s v="NOV2024-20"/>
        <s v="NOV2024-21"/>
        <s v="NOV2024-22"/>
        <s v="NOV2024-23"/>
        <s v="NOV2024-24"/>
        <s v="NOV2024-25"/>
        <s v="NOV2024-26"/>
        <s v="NOV2024-27"/>
        <s v="NOV2024-28"/>
        <s v="NOV2024-29"/>
        <s v="NOV2024-30"/>
        <s v="NOV2024-31"/>
        <s v="NOV2024-32"/>
        <s v="NOV2024-33"/>
        <s v="NOV2024-34"/>
        <s v="NOV2024-35"/>
        <s v="NOV2024-36"/>
        <s v="NOV2024-37"/>
        <s v="NOV2024-38"/>
        <s v="NOV2024-39"/>
        <s v="NOV2024-40"/>
        <s v="NOV2024-41"/>
        <s v="NOV2024-42"/>
        <s v="NOV2024-43"/>
        <s v="NOV2024-44"/>
        <s v="NOV2024-45"/>
        <s v="DEC2024-2"/>
        <s v="DEC2024-3"/>
        <s v="DEC2024-4"/>
        <s v="DEC2024-5"/>
        <s v="DEC2024-6"/>
        <s v="DEC2024-7"/>
        <s v="DEC2024-8"/>
        <s v="DEC2024-9"/>
        <s v="DEC2024-10"/>
        <s v="DEC2024-11"/>
        <s v="DEC2024-12"/>
        <s v="DEC2024-13"/>
        <s v="DEC2024-14"/>
        <s v="DEC2024-15"/>
        <s v="DEC2024-16"/>
        <s v="DEC2024-17"/>
        <s v="DEC2024-18"/>
        <s v="DEC2024-19"/>
        <s v="DEC2024-20"/>
        <s v="DEC2024-21"/>
        <s v="DEC2024-22"/>
        <s v="DEC2024-23"/>
        <s v="DEC2024-24"/>
        <s v="DEC2024-25"/>
        <s v="DEC2024-26"/>
        <s v="DEC2024-27"/>
        <s v="DEC2024-28"/>
        <s v="DEC2024-29"/>
        <s v="DEC2024-30"/>
        <s v="DEC2024-31"/>
        <s v="DEC2024-32"/>
        <s v="DEC2024-33"/>
        <s v="DEC2024-34"/>
        <s v="DEC2024-35"/>
        <s v="DEC2024-36"/>
        <s v="JAN2025-1"/>
        <s v="JAN2025-2"/>
        <s v="JAN2025-3"/>
        <s v="JAN2025-4"/>
        <s v="JAN2025-5"/>
        <s v="JAN2025-6"/>
        <s v="JAN2025-7"/>
        <s v="JAN2025-8"/>
        <s v="JAN2025-9"/>
        <s v="JAN2025-10"/>
        <s v="JAN2025-11"/>
        <s v="JAN2025-12"/>
        <s v="JAN2025-13"/>
        <s v="JAN2025-14"/>
        <s v="JAN2025-15"/>
        <s v="JAN2025-16"/>
        <s v="JAN2025-17"/>
        <s v="JAN2025-18"/>
        <s v="JAN2025-19"/>
        <s v="JAN2025-20"/>
        <s v="JAN2025-21"/>
        <s v="JAN2025-22"/>
        <s v="JAN2025-23"/>
        <s v="JAN2025-24"/>
        <s v="JAN2025-25"/>
        <s v="JAN2025-26"/>
        <s v="JAN2025-27"/>
        <s v="JAN2025-28"/>
        <s v="JAN2025-29"/>
        <s v="JAN2025-30"/>
        <s v="JAN2025-31"/>
        <s v="JAN2025-32"/>
        <s v="JAN2025-33"/>
        <s v="JAN2025-34"/>
        <s v="JAN2025-35"/>
        <s v="JAN2025-36"/>
        <s v="JAN2025-37"/>
        <s v="JAN2025-38"/>
        <s v="JAN2025-39"/>
        <s v="JAN2025-40"/>
        <s v="JAN2025-41"/>
        <s v="JAN2025-42"/>
        <s v="JAN2025-43"/>
        <s v="JAN2025-44"/>
        <s v="JAN2025-45"/>
        <s v="JAN2025-46"/>
        <s v="JAN2025-47"/>
        <s v="JAN2025-48"/>
        <s v="FEB2025-1"/>
        <s v="FEB2025-2"/>
        <s v="FEB2025-3"/>
        <s v="FEB2025-4"/>
        <s v="FEB2025-5"/>
        <s v="FEB2025-6"/>
        <s v="FEB2025-7"/>
        <s v="FEB2025-8"/>
        <s v="FEB2025-9"/>
        <s v="FEB2025-10"/>
        <s v="FEB2025-11"/>
        <s v="FEB2025-12"/>
        <s v="FEB2025-13"/>
        <s v="FEB2025-14"/>
        <s v="FEB2025-15"/>
        <s v="FEB2025-16"/>
        <s v="FEB2025-17"/>
        <s v="FEB2025-18"/>
        <s v="FEB2025-19"/>
        <s v="FEB2025-20"/>
        <s v="FEB2025-21"/>
        <s v="FEB2025-22"/>
        <s v="FEB2025-23"/>
        <s v="FEB2025-24"/>
        <s v="SEP2024-2" u="1"/>
        <s v="fj" u="1"/>
        <m u="1"/>
      </sharedItems>
    </cacheField>
    <cacheField name="Date" numFmtId="14">
      <sharedItems containsSemiMixedTypes="0" containsNonDate="0" containsDate="1" containsString="0" minDate="2024-08-01T00:00:00" maxDate="2025-02-18T00:00:00" count="127">
        <d v="2024-08-01T00:00:00"/>
        <d v="2024-08-03T00:00:00"/>
        <d v="2024-08-04T00:00:00"/>
        <d v="2024-08-06T00:00:00"/>
        <d v="2024-08-08T00:00:00"/>
        <d v="2024-08-09T00:00:00"/>
        <d v="2024-08-10T00:00:00"/>
        <d v="2024-08-11T00:00:00"/>
        <d v="2024-08-12T00:00:00"/>
        <d v="2024-08-13T00:00:00"/>
        <d v="2024-08-23T00:00:00"/>
        <d v="2024-08-24T00:00:00"/>
        <d v="2024-08-25T00:00:00"/>
        <d v="2024-08-31T00:00:00"/>
        <d v="2024-09-01T00:00:00"/>
        <d v="2024-09-03T00:00:00"/>
        <d v="2024-09-05T00:00:00"/>
        <d v="2024-09-06T00:00:00"/>
        <d v="2024-09-07T00:00:00"/>
        <d v="2024-09-08T00:00:00"/>
        <d v="2024-09-09T00:00:00"/>
        <d v="2024-09-10T00:00:00"/>
        <d v="2024-09-11T00:00:00"/>
        <d v="2024-09-12T00:00:00"/>
        <d v="2024-09-13T00:00:00"/>
        <d v="2024-09-14T00:00:00"/>
        <d v="2024-09-16T00:00:00"/>
        <d v="2024-09-18T00:00:00"/>
        <d v="2024-09-20T00:00:00"/>
        <d v="2024-09-19T00:00:00"/>
        <d v="2024-09-21T00:00:00"/>
        <d v="2024-09-23T00:00:00"/>
        <d v="2024-09-24T00:00:00"/>
        <d v="2024-09-25T00:00:00"/>
        <d v="2024-09-27T00:00:00"/>
        <d v="2024-09-28T00:00:00"/>
        <d v="2024-09-29T00:00:00"/>
        <d v="2024-09-30T00:00:00"/>
        <d v="2024-10-01T00:00:00"/>
        <d v="2024-10-02T00:00:00"/>
        <d v="2024-10-03T00:00:00"/>
        <d v="2024-10-04T00:00:00"/>
        <d v="2024-10-06T00:00:00"/>
        <d v="2024-10-07T00:00:00"/>
        <d v="2024-10-16T00:00:00"/>
        <d v="2024-10-08T00:00:00"/>
        <d v="2024-10-09T00:00:00"/>
        <d v="2024-10-10T00:00:00"/>
        <d v="2024-10-14T00:00:00"/>
        <d v="2024-10-15T00:00:00"/>
        <d v="2024-10-18T00:00:00"/>
        <d v="2024-10-19T00:00:00"/>
        <d v="2024-10-21T00:00:00"/>
        <d v="2024-10-22T00:00:00"/>
        <d v="2024-10-23T00:00:00"/>
        <d v="2024-10-24T00:00:00"/>
        <d v="2024-10-25T00:00:00"/>
        <d v="2024-10-26T00:00:00"/>
        <d v="2024-10-27T00:00:00"/>
        <d v="2024-10-28T00:00:00"/>
        <d v="2024-10-29T00:00:00"/>
        <d v="2024-10-31T00:00:00"/>
        <d v="2024-11-01T00:00:00"/>
        <d v="2024-11-02T00:00:00"/>
        <d v="2024-11-03T00:00:00"/>
        <d v="2024-11-04T00:00:00"/>
        <d v="2024-11-05T00:00:00"/>
        <d v="2024-11-10T00:00:00"/>
        <d v="2024-11-08T00:00:00"/>
        <d v="2024-11-12T00:00:00"/>
        <d v="2024-11-13T00:00:00"/>
        <d v="2024-11-14T00:00:00"/>
        <d v="2024-11-16T00:00:00"/>
        <d v="2024-11-11T00:00:00"/>
        <d v="2024-11-15T00:00:00"/>
        <d v="2024-11-18T00:00:00"/>
        <d v="2024-11-19T00:00:00"/>
        <d v="2024-11-20T00:00:00"/>
        <d v="2024-11-21T00:00:00"/>
        <d v="2024-11-25T00:00:00"/>
        <d v="2024-11-22T00:00:00"/>
        <d v="2024-11-23T00:00:00"/>
        <d v="2024-11-26T00:00:00"/>
        <d v="2024-11-27T00:00:00"/>
        <d v="2024-11-28T00:00:00"/>
        <d v="2024-12-03T00:00:00"/>
        <d v="2024-12-10T00:00:00"/>
        <d v="2024-12-13T00:00:00"/>
        <d v="2024-12-14T00:00:00"/>
        <d v="2024-12-15T00:00:00"/>
        <d v="2024-12-18T00:00:00"/>
        <d v="2024-12-20T00:00:00"/>
        <d v="2024-12-21T00:00:00"/>
        <d v="2024-12-23T00:00:00"/>
        <d v="2024-12-25T00:00:00"/>
        <d v="2024-12-27T00:00:00"/>
        <d v="2024-12-28T00:00:00"/>
        <d v="2024-12-29T00:00:00"/>
        <d v="2024-12-30T00:00:00"/>
        <d v="2024-12-31T00:00:00"/>
        <d v="2025-01-03T00:00:00"/>
        <d v="2025-01-04T00:00:00"/>
        <d v="2025-01-07T00:00:00"/>
        <d v="2025-01-08T00:00:00"/>
        <d v="2025-01-09T00:00:00"/>
        <d v="2025-01-10T00:00:00"/>
        <d v="2025-01-13T00:00:00"/>
        <d v="2025-01-15T00:00:00"/>
        <d v="2025-01-16T00:00:00"/>
        <d v="2025-01-19T00:00:00"/>
        <d v="2025-01-22T00:00:00"/>
        <d v="2025-01-23T00:00:00"/>
        <d v="2025-01-24T00:00:00"/>
        <d v="2025-01-25T00:00:00"/>
        <d v="2025-01-28T00:00:00"/>
        <d v="2025-01-29T00:00:00"/>
        <d v="2025-02-01T00:00:00"/>
        <d v="2025-02-02T00:00:00"/>
        <d v="2025-02-04T00:00:00"/>
        <d v="2025-02-06T00:00:00"/>
        <d v="2025-02-08T00:00:00"/>
        <d v="2025-02-09T00:00:00"/>
        <d v="2025-02-11T00:00:00"/>
        <d v="2025-02-13T00:00:00"/>
        <d v="2025-02-15T00:00:00"/>
        <d v="2025-02-16T00:00:00"/>
        <d v="2025-02-17T00:00:00"/>
      </sharedItems>
      <fieldGroup par="23"/>
    </cacheField>
    <cacheField name="STATE" numFmtId="0">
      <sharedItems containsBlank="1" count="18">
        <s v="LA|Lagos"/>
        <s v="KN|Kano"/>
        <s v="OS|Osun"/>
        <s v="IM|Imo"/>
        <s v="OY|Oyo"/>
        <s v="OG|Ogun"/>
        <s v="EN|Enugu"/>
        <s v="FC|Abuja"/>
        <s v="CR|Cross River"/>
        <s v="RI|Rivers"/>
        <s v="ED|Edo"/>
        <s v="EK|Ekiti"/>
        <s v="DE|Delta"/>
        <s v="AK|Akwa Ibom"/>
        <s v="STATE"/>
        <s v="AB|Abia"/>
        <s v="KW|Kwara"/>
        <m u="1"/>
      </sharedItems>
    </cacheField>
    <cacheField name="Shoe style" numFmtId="0">
      <sharedItems containsBlank="1" count="33">
        <s v="Delight sandal"/>
        <s v="Rose"/>
        <s v="Lily sandal"/>
        <s v="The Queens Gladiator"/>
        <s v="Sapphire"/>
        <s v="Crystal"/>
        <s v="Jade Sandal"/>
        <s v="Garnet sandal"/>
        <s v="Diamond"/>
        <s v="Prestige collection"/>
        <s v="Amber sandal"/>
        <s v="Pearl slippers"/>
        <s v="Ruby Sandal"/>
        <s v="Violet slippers"/>
        <s v="Spinel slippers"/>
        <s v="Beryl Sandal"/>
        <s v="Ruby slippers"/>
        <s v="opal slippers"/>
        <s v="Peridot slippers"/>
        <s v="Coral Sandal"/>
        <s v="Onyx slippers"/>
        <s v="Daisy sandal"/>
        <s v="Iris slippers"/>
        <s v="Marigold sandal"/>
        <s v="Iris Xtra Grip"/>
        <s v="Emerald Sandal " u="1"/>
        <s v="Topaz " u="1"/>
        <s v="Ebony slippers" u="1"/>
        <s v="Iris slippers " u="1"/>
        <s v="Jasmin tie-up " u="1"/>
        <m u="1"/>
        <s v=" Crystal" u="1"/>
        <s v="Crystal " u="1"/>
      </sharedItems>
    </cacheField>
    <cacheField name="Shoe Colour" numFmtId="0">
      <sharedItems/>
    </cacheField>
    <cacheField name="UNIT PRICE" numFmtId="43">
      <sharedItems containsSemiMixedTypes="0" containsString="0" containsNumber="1" containsInteger="1" minValue="9838" maxValue="22728"/>
    </cacheField>
    <cacheField name="Discount" numFmtId="43">
      <sharedItems containsNonDate="0" containsString="0" containsBlank="1"/>
    </cacheField>
    <cacheField name="Quantity sold" numFmtId="164">
      <sharedItems containsSemiMixedTypes="0" containsString="0" containsNumber="1" containsInteger="1" minValue="1" maxValue="1"/>
    </cacheField>
    <cacheField name="TOTAL SALES" numFmtId="164">
      <sharedItems containsSemiMixedTypes="0" containsString="0" containsNumber="1" containsInteger="1" minValue="9838" maxValue="22728"/>
    </cacheField>
    <cacheField name="Amount Paid" numFmtId="43">
      <sharedItems containsString="0" containsBlank="1" containsNumber="1" minValue="9000" maxValue="1000000"/>
    </cacheField>
    <cacheField name="COST PRICE" numFmtId="43">
      <sharedItems containsSemiMixedTypes="0" containsString="0" containsNumber="1" containsInteger="1" minValue="6687" maxValue="20451"/>
    </cacheField>
    <cacheField name="TOTAL COST PRICE" numFmtId="43">
      <sharedItems containsSemiMixedTypes="0" containsString="0" containsNumber="1" containsInteger="1" minValue="6687" maxValue="20451"/>
    </cacheField>
    <cacheField name="Total Profit" numFmtId="43">
      <sharedItems containsSemiMixedTypes="0" containsString="0" containsNumber="1" containsInteger="1" minValue="2033" maxValue="4739"/>
    </cacheField>
    <cacheField name="DEFICIT /SURPLUS" numFmtId="43">
      <sharedItems containsSemiMixedTypes="0" containsString="0" containsNumber="1" minValue="-25058" maxValue="987605"/>
    </cacheField>
    <cacheField name="Size " numFmtId="0">
      <sharedItems containsSemiMixedTypes="0" containsString="0" containsNumber="1" containsInteger="1" minValue="36" maxValue="46"/>
    </cacheField>
    <cacheField name="Gender " numFmtId="0">
      <sharedItems/>
    </cacheField>
    <cacheField name="Channel" numFmtId="0">
      <sharedItems/>
    </cacheField>
    <cacheField name="Bank" numFmtId="0">
      <sharedItems/>
    </cacheField>
    <cacheField name="Delivery status " numFmtId="0">
      <sharedItems/>
    </cacheField>
    <cacheField name="Not delivered" numFmtId="0">
      <sharedItems containsSemiMixedTypes="0" containsString="0" containsNumber="1" containsInteger="1" minValue="0" maxValue="1"/>
    </cacheField>
    <cacheField name="Deficit or surplus" numFmtId="0">
      <sharedItems count="3">
        <s v="surplus"/>
        <s v="-"/>
        <s v="Deficit"/>
      </sharedItems>
    </cacheField>
    <cacheField name="Months (Date)" numFmtId="0" databaseField="0">
      <fieldGroup base="1">
        <rangePr groupBy="months" startDate="2024-08-01T00:00:00" endDate="2025-02-18T00:00:00"/>
        <groupItems count="14">
          <s v="&lt;01/08/2024"/>
          <s v="Jan"/>
          <s v="Feb"/>
          <s v="Mar"/>
          <s v="Apr"/>
          <s v="May"/>
          <s v="Jun"/>
          <s v="Jul"/>
          <s v="Aug"/>
          <s v="Sep"/>
          <s v="Oct"/>
          <s v="Nov"/>
          <s v="Dec"/>
          <s v="&gt;18/02/2025"/>
        </groupItems>
      </fieldGroup>
    </cacheField>
    <cacheField name="Quarters (Date)" numFmtId="0" databaseField="0">
      <fieldGroup base="1">
        <rangePr groupBy="quarters" startDate="2024-08-01T00:00:00" endDate="2025-02-18T00:00:00"/>
        <groupItems count="6">
          <s v="&lt;01/08/2024"/>
          <s v="Qtr1"/>
          <s v="Qtr2"/>
          <s v="Qtr3"/>
          <s v="Qtr4"/>
          <s v="&gt;18/02/2025"/>
        </groupItems>
      </fieldGroup>
    </cacheField>
    <cacheField name="Years (Date)" numFmtId="0" databaseField="0">
      <fieldGroup base="1">
        <rangePr groupBy="years" startDate="2024-08-01T00:00:00" endDate="2025-02-18T00:00:00"/>
        <groupItems count="4">
          <s v="&lt;01/08/2024"/>
          <s v="2024"/>
          <s v="2025"/>
          <s v="&gt;18/02/2025"/>
        </groupItems>
      </fieldGroup>
    </cacheField>
  </cacheFields>
  <extLst>
    <ext xmlns:x14="http://schemas.microsoft.com/office/spreadsheetml/2009/9/main" uri="{725AE2AE-9491-48be-B2B4-4EB974FC3084}">
      <x14:pivotCacheDefinition pivotCacheId="651523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2">
  <r>
    <x v="0"/>
    <x v="0"/>
    <x v="0"/>
    <x v="0"/>
    <s v="Black"/>
    <n v="14975"/>
    <m/>
    <n v="1"/>
    <n v="14975"/>
    <n v="44000"/>
    <n v="10813"/>
    <n v="10813"/>
    <n v="4162"/>
    <n v="1655"/>
    <n v="40"/>
    <s v="Female"/>
    <s v="Instagram"/>
    <s v="Polaris"/>
    <s v="YES"/>
    <n v="0"/>
    <x v="0"/>
  </r>
  <r>
    <x v="0"/>
    <x v="0"/>
    <x v="0"/>
    <x v="0"/>
    <s v="Black"/>
    <n v="14975"/>
    <m/>
    <n v="1"/>
    <n v="14975"/>
    <m/>
    <n v="10813"/>
    <n v="10813"/>
    <n v="4162"/>
    <n v="0"/>
    <n v="40"/>
    <s v="Female"/>
    <s v="Instagram"/>
    <s v="Polaris"/>
    <s v="YES"/>
    <n v="0"/>
    <x v="1"/>
  </r>
  <r>
    <x v="0"/>
    <x v="0"/>
    <x v="0"/>
    <x v="1"/>
    <s v="Dark pink"/>
    <n v="12395"/>
    <m/>
    <n v="1"/>
    <n v="12395"/>
    <m/>
    <n v="7909"/>
    <n v="7909"/>
    <n v="4486"/>
    <n v="0"/>
    <n v="40"/>
    <s v="Female"/>
    <s v="Instagram"/>
    <s v="Polaris"/>
    <s v="YES"/>
    <n v="0"/>
    <x v="1"/>
  </r>
  <r>
    <x v="1"/>
    <x v="0"/>
    <x v="0"/>
    <x v="2"/>
    <s v="Silver Metallic"/>
    <n v="19295"/>
    <m/>
    <n v="1"/>
    <n v="19295"/>
    <n v="15000"/>
    <n v="16705"/>
    <n v="16705"/>
    <n v="2590"/>
    <n v="-4295"/>
    <n v="41"/>
    <s v="Female"/>
    <s v="Instagram"/>
    <s v="Polaris"/>
    <s v="YES"/>
    <n v="0"/>
    <x v="2"/>
  </r>
  <r>
    <x v="2"/>
    <x v="0"/>
    <x v="0"/>
    <x v="3"/>
    <s v="Black"/>
    <n v="16646"/>
    <m/>
    <n v="1"/>
    <n v="16646"/>
    <n v="21000"/>
    <n v="13546"/>
    <n v="13546"/>
    <n v="3100"/>
    <n v="4354"/>
    <n v="40"/>
    <s v="Female"/>
    <s v="Instagram"/>
    <s v="Polaris"/>
    <s v="YES"/>
    <n v="0"/>
    <x v="0"/>
  </r>
  <r>
    <x v="3"/>
    <x v="1"/>
    <x v="0"/>
    <x v="4"/>
    <s v="Yellow"/>
    <n v="22728"/>
    <m/>
    <n v="1"/>
    <n v="22728"/>
    <n v="13500"/>
    <n v="20451"/>
    <n v="20451"/>
    <n v="2277"/>
    <n v="-9228"/>
    <n v="40"/>
    <s v="Female"/>
    <s v="Instagram"/>
    <s v="Polaris"/>
    <s v="YES"/>
    <n v="0"/>
    <x v="2"/>
  </r>
  <r>
    <x v="4"/>
    <x v="1"/>
    <x v="0"/>
    <x v="4"/>
    <s v="Royal blue"/>
    <n v="22728"/>
    <m/>
    <n v="1"/>
    <n v="22728"/>
    <n v="16000"/>
    <n v="20451"/>
    <n v="20451"/>
    <n v="2277"/>
    <n v="-6728"/>
    <n v="38"/>
    <s v="Female"/>
    <s v="Instagram"/>
    <s v="Polaris"/>
    <s v="YES"/>
    <n v="0"/>
    <x v="2"/>
  </r>
  <r>
    <x v="5"/>
    <x v="2"/>
    <x v="0"/>
    <x v="5"/>
    <s v="Wine"/>
    <n v="17614"/>
    <m/>
    <n v="1"/>
    <n v="17614"/>
    <n v="22500"/>
    <n v="14912"/>
    <n v="14912"/>
    <n v="2702"/>
    <n v="-12728"/>
    <n v="40"/>
    <s v="Female"/>
    <s v="Instagram"/>
    <s v="Providus"/>
    <s v="YES"/>
    <n v="0"/>
    <x v="2"/>
  </r>
  <r>
    <x v="5"/>
    <x v="2"/>
    <x v="0"/>
    <x v="5"/>
    <s v="Wine"/>
    <n v="17614"/>
    <m/>
    <n v="1"/>
    <n v="17614"/>
    <m/>
    <n v="14912"/>
    <n v="14912"/>
    <n v="2702"/>
    <n v="0"/>
    <n v="40"/>
    <s v="Female"/>
    <s v="Instagram"/>
    <s v="Providus"/>
    <s v="YES"/>
    <n v="0"/>
    <x v="1"/>
  </r>
  <r>
    <x v="6"/>
    <x v="3"/>
    <x v="0"/>
    <x v="5"/>
    <s v="Black"/>
    <n v="17614"/>
    <m/>
    <n v="1"/>
    <n v="17614"/>
    <n v="14500"/>
    <n v="14912"/>
    <n v="14912"/>
    <n v="2702"/>
    <n v="-3114"/>
    <n v="42"/>
    <s v="Female"/>
    <s v="Instagram"/>
    <s v="Polaris"/>
    <s v="YES"/>
    <n v="0"/>
    <x v="2"/>
  </r>
  <r>
    <x v="7"/>
    <x v="3"/>
    <x v="0"/>
    <x v="5"/>
    <s v="Black"/>
    <n v="17614"/>
    <m/>
    <n v="1"/>
    <n v="17614"/>
    <n v="32500"/>
    <n v="14912"/>
    <n v="14912"/>
    <n v="2702"/>
    <n v="14886"/>
    <n v="43"/>
    <s v="Female"/>
    <s v="Instagram"/>
    <s v="Polaris"/>
    <s v="NO"/>
    <n v="1"/>
    <x v="0"/>
  </r>
  <r>
    <x v="8"/>
    <x v="4"/>
    <x v="0"/>
    <x v="1"/>
    <s v="Dark pink"/>
    <n v="12395"/>
    <m/>
    <n v="1"/>
    <n v="12395"/>
    <n v="10000"/>
    <n v="7909"/>
    <n v="7909"/>
    <n v="4486"/>
    <n v="-2395"/>
    <n v="37"/>
    <s v="Female"/>
    <s v="Instagram"/>
    <s v="Polaris"/>
    <s v="YES"/>
    <n v="0"/>
    <x v="2"/>
  </r>
  <r>
    <x v="9"/>
    <x v="5"/>
    <x v="0"/>
    <x v="6"/>
    <s v="Light brown"/>
    <n v="20500"/>
    <m/>
    <n v="1"/>
    <n v="20500"/>
    <n v="31000"/>
    <n v="17339"/>
    <n v="17339"/>
    <n v="3161"/>
    <n v="-507"/>
    <n v="40"/>
    <s v="Female"/>
    <s v="Instagram"/>
    <s v="Polaris"/>
    <s v="YES"/>
    <n v="0"/>
    <x v="2"/>
  </r>
  <r>
    <x v="9"/>
    <x v="5"/>
    <x v="0"/>
    <x v="7"/>
    <s v="Dark pink"/>
    <n v="11007"/>
    <m/>
    <n v="1"/>
    <n v="11007"/>
    <m/>
    <n v="8327"/>
    <n v="8327"/>
    <n v="2680"/>
    <n v="0"/>
    <n v="40"/>
    <s v="Female"/>
    <s v="Instagram"/>
    <s v="Polaris"/>
    <s v="YES"/>
    <n v="0"/>
    <x v="1"/>
  </r>
  <r>
    <x v="10"/>
    <x v="5"/>
    <x v="0"/>
    <x v="8"/>
    <s v="Dark pink"/>
    <n v="9838"/>
    <m/>
    <n v="1"/>
    <n v="9838"/>
    <n v="34400"/>
    <n v="6687"/>
    <n v="6687"/>
    <n v="3151"/>
    <n v="1834"/>
    <n v="38"/>
    <s v="Female"/>
    <s v="Website"/>
    <s v="Polaris"/>
    <s v="YES"/>
    <n v="0"/>
    <x v="0"/>
  </r>
  <r>
    <x v="10"/>
    <x v="5"/>
    <x v="0"/>
    <x v="4"/>
    <s v="Sky blue"/>
    <n v="22728"/>
    <m/>
    <n v="1"/>
    <n v="22728"/>
    <m/>
    <n v="20451"/>
    <n v="20451"/>
    <n v="2277"/>
    <n v="0"/>
    <n v="38"/>
    <s v="Female"/>
    <s v="Website"/>
    <s v="Polaris"/>
    <s v="YES"/>
    <n v="0"/>
    <x v="1"/>
  </r>
  <r>
    <x v="11"/>
    <x v="6"/>
    <x v="0"/>
    <x v="9"/>
    <s v="Wine"/>
    <n v="10196"/>
    <m/>
    <n v="1"/>
    <n v="10196"/>
    <n v="50000"/>
    <n v="7050"/>
    <n v="7050"/>
    <n v="3146"/>
    <n v="19412"/>
    <n v="45"/>
    <s v="Female"/>
    <s v="Instagram"/>
    <s v="Polaris"/>
    <s v="YES"/>
    <n v="0"/>
    <x v="0"/>
  </r>
  <r>
    <x v="11"/>
    <x v="6"/>
    <x v="0"/>
    <x v="9"/>
    <s v="Light brown"/>
    <n v="10196"/>
    <m/>
    <n v="1"/>
    <n v="10196"/>
    <m/>
    <n v="7050"/>
    <n v="7050"/>
    <n v="3146"/>
    <n v="0"/>
    <n v="45"/>
    <s v="Female"/>
    <s v="Instagram"/>
    <s v="Polaris"/>
    <s v="YES"/>
    <n v="0"/>
    <x v="1"/>
  </r>
  <r>
    <x v="11"/>
    <x v="6"/>
    <x v="0"/>
    <x v="9"/>
    <s v="Wine"/>
    <n v="10196"/>
    <m/>
    <n v="1"/>
    <n v="10196"/>
    <m/>
    <n v="7050"/>
    <n v="7050"/>
    <n v="3146"/>
    <n v="0"/>
    <n v="45"/>
    <s v="Female"/>
    <s v="Instagram"/>
    <s v="Polaris"/>
    <s v="YES"/>
    <n v="0"/>
    <x v="1"/>
  </r>
  <r>
    <x v="12"/>
    <x v="6"/>
    <x v="0"/>
    <x v="1"/>
    <s v="Dark pink"/>
    <n v="12395"/>
    <m/>
    <n v="1"/>
    <n v="12395"/>
    <n v="29500"/>
    <n v="7909"/>
    <n v="7909"/>
    <n v="4486"/>
    <n v="4710"/>
    <n v="43"/>
    <s v="Female"/>
    <s v="Instagram"/>
    <s v="Polaris"/>
    <s v="YES"/>
    <n v="0"/>
    <x v="0"/>
  </r>
  <r>
    <x v="12"/>
    <x v="6"/>
    <x v="0"/>
    <x v="1"/>
    <s v="Royal blue"/>
    <n v="12395"/>
    <m/>
    <n v="1"/>
    <n v="12395"/>
    <m/>
    <n v="7909"/>
    <n v="7909"/>
    <n v="4486"/>
    <n v="0"/>
    <n v="43"/>
    <s v="Female"/>
    <s v="Instagram"/>
    <s v="Polaris"/>
    <s v="YES"/>
    <n v="0"/>
    <x v="1"/>
  </r>
  <r>
    <x v="13"/>
    <x v="7"/>
    <x v="0"/>
    <x v="8"/>
    <s v="Royal blue"/>
    <n v="9838"/>
    <m/>
    <n v="1"/>
    <n v="9838"/>
    <n v="13500"/>
    <n v="6687"/>
    <n v="6687"/>
    <n v="3151"/>
    <n v="3662"/>
    <n v="42"/>
    <s v="Female"/>
    <s v="Instagram"/>
    <s v="Polaris"/>
    <s v="YES"/>
    <n v="0"/>
    <x v="0"/>
  </r>
  <r>
    <x v="14"/>
    <x v="8"/>
    <x v="0"/>
    <x v="1"/>
    <s v="Green"/>
    <n v="12395"/>
    <m/>
    <n v="1"/>
    <n v="12395"/>
    <n v="106500"/>
    <n v="7909"/>
    <n v="7909"/>
    <n v="4486"/>
    <n v="7340"/>
    <n v="40"/>
    <s v="Female"/>
    <s v="Instagram"/>
    <s v="Polaris"/>
    <s v="YES"/>
    <n v="0"/>
    <x v="0"/>
  </r>
  <r>
    <x v="14"/>
    <x v="8"/>
    <x v="0"/>
    <x v="1"/>
    <s v="Dark pink"/>
    <n v="12395"/>
    <m/>
    <n v="1"/>
    <n v="12395"/>
    <m/>
    <n v="7909"/>
    <n v="7909"/>
    <n v="4486"/>
    <n v="0"/>
    <n v="40"/>
    <s v="Female"/>
    <s v="Instagram"/>
    <s v="Polaris"/>
    <s v="YES"/>
    <n v="0"/>
    <x v="1"/>
  </r>
  <r>
    <x v="14"/>
    <x v="8"/>
    <x v="0"/>
    <x v="1"/>
    <s v="Light brown"/>
    <n v="12395"/>
    <m/>
    <n v="1"/>
    <n v="12395"/>
    <m/>
    <n v="7909"/>
    <n v="7909"/>
    <n v="4486"/>
    <n v="0"/>
    <n v="40"/>
    <s v="Female"/>
    <s v="Instagram"/>
    <s v="Polaris"/>
    <s v="YES"/>
    <n v="0"/>
    <x v="1"/>
  </r>
  <r>
    <x v="14"/>
    <x v="8"/>
    <x v="0"/>
    <x v="1"/>
    <s v="Yellow"/>
    <n v="12395"/>
    <m/>
    <n v="1"/>
    <n v="12395"/>
    <m/>
    <n v="7909"/>
    <n v="7909"/>
    <n v="4486"/>
    <n v="0"/>
    <n v="40"/>
    <s v="Female"/>
    <s v="Instagram"/>
    <s v="Polaris"/>
    <s v="YES"/>
    <n v="0"/>
    <x v="1"/>
  </r>
  <r>
    <x v="14"/>
    <x v="8"/>
    <x v="0"/>
    <x v="1"/>
    <s v="Navy blue"/>
    <n v="12395"/>
    <m/>
    <n v="1"/>
    <n v="12395"/>
    <m/>
    <n v="7909"/>
    <n v="7909"/>
    <n v="4486"/>
    <n v="0"/>
    <n v="40"/>
    <s v="Female"/>
    <s v="Instagram"/>
    <s v="Polaris"/>
    <s v="YES"/>
    <n v="0"/>
    <x v="1"/>
  </r>
  <r>
    <x v="14"/>
    <x v="8"/>
    <x v="0"/>
    <x v="1"/>
    <s v="Royal blue"/>
    <n v="12395"/>
    <m/>
    <n v="1"/>
    <n v="12395"/>
    <m/>
    <n v="7909"/>
    <n v="7909"/>
    <n v="4486"/>
    <n v="0"/>
    <n v="40"/>
    <s v="Female"/>
    <s v="Instagram"/>
    <s v="Polaris"/>
    <s v="YES"/>
    <n v="0"/>
    <x v="1"/>
  </r>
  <r>
    <x v="14"/>
    <x v="8"/>
    <x v="0"/>
    <x v="1"/>
    <s v="Red"/>
    <n v="12395"/>
    <m/>
    <n v="1"/>
    <n v="12395"/>
    <m/>
    <n v="7909"/>
    <n v="7909"/>
    <n v="4486"/>
    <n v="0"/>
    <n v="40"/>
    <s v="Female"/>
    <s v="Instagram"/>
    <s v="Polaris"/>
    <s v="YES"/>
    <n v="0"/>
    <x v="1"/>
  </r>
  <r>
    <x v="14"/>
    <x v="8"/>
    <x v="0"/>
    <x v="1"/>
    <s v="Black"/>
    <n v="12395"/>
    <m/>
    <n v="1"/>
    <n v="12395"/>
    <m/>
    <n v="7909"/>
    <n v="7909"/>
    <n v="4486"/>
    <n v="0"/>
    <n v="40"/>
    <s v="Female"/>
    <s v="Instagram"/>
    <s v="Polaris"/>
    <s v="YES"/>
    <n v="0"/>
    <x v="1"/>
  </r>
  <r>
    <x v="15"/>
    <x v="8"/>
    <x v="0"/>
    <x v="1"/>
    <s v="Black"/>
    <n v="12395"/>
    <m/>
    <n v="1"/>
    <n v="12395"/>
    <n v="1000000"/>
    <n v="7909"/>
    <n v="7909"/>
    <n v="4486"/>
    <n v="987605"/>
    <n v="40"/>
    <s v="Female"/>
    <s v="Instagram"/>
    <s v="Polaris"/>
    <s v="YES"/>
    <n v="0"/>
    <x v="0"/>
  </r>
  <r>
    <x v="16"/>
    <x v="8"/>
    <x v="0"/>
    <x v="1"/>
    <s v="Light brown"/>
    <n v="12395"/>
    <m/>
    <n v="1"/>
    <n v="12395"/>
    <n v="13500"/>
    <n v="7909"/>
    <n v="7909"/>
    <n v="4486"/>
    <n v="1105"/>
    <n v="39"/>
    <s v="Female"/>
    <s v="Instagram"/>
    <s v="Polaris"/>
    <s v="YES"/>
    <n v="0"/>
    <x v="0"/>
  </r>
  <r>
    <x v="17"/>
    <x v="8"/>
    <x v="0"/>
    <x v="1"/>
    <s v="Light brown"/>
    <n v="12395"/>
    <m/>
    <n v="1"/>
    <n v="12395"/>
    <n v="27000"/>
    <n v="7909"/>
    <n v="7909"/>
    <n v="4486"/>
    <n v="14605"/>
    <n v="38"/>
    <s v="Female"/>
    <s v="Instagram"/>
    <s v="Polaris"/>
    <s v="YES"/>
    <n v="0"/>
    <x v="0"/>
  </r>
  <r>
    <x v="18"/>
    <x v="8"/>
    <x v="0"/>
    <x v="5"/>
    <s v="Yellow"/>
    <n v="17614"/>
    <m/>
    <n v="1"/>
    <n v="17614"/>
    <n v="100032"/>
    <n v="14912"/>
    <n v="14912"/>
    <n v="2702"/>
    <n v="-15075"/>
    <n v="41"/>
    <s v="Female"/>
    <s v="Instagram"/>
    <s v="Polaris"/>
    <s v="YES"/>
    <n v="0"/>
    <x v="2"/>
  </r>
  <r>
    <x v="18"/>
    <x v="8"/>
    <x v="0"/>
    <x v="6"/>
    <s v="Wine"/>
    <n v="20500"/>
    <m/>
    <n v="1"/>
    <n v="20500"/>
    <m/>
    <n v="17339"/>
    <n v="17339"/>
    <n v="3161"/>
    <n v="0"/>
    <n v="41"/>
    <s v="Female"/>
    <s v="Instagram"/>
    <s v="Polaris"/>
    <s v="YES"/>
    <n v="0"/>
    <x v="1"/>
  </r>
  <r>
    <x v="18"/>
    <x v="8"/>
    <x v="0"/>
    <x v="10"/>
    <s v="Green"/>
    <n v="10509"/>
    <m/>
    <n v="1"/>
    <n v="10509"/>
    <m/>
    <n v="7573"/>
    <n v="7573"/>
    <n v="2936"/>
    <n v="0"/>
    <n v="41"/>
    <s v="Female"/>
    <s v="Instagram"/>
    <s v="Polaris"/>
    <s v="YES"/>
    <n v="0"/>
    <x v="1"/>
  </r>
  <r>
    <x v="18"/>
    <x v="8"/>
    <x v="0"/>
    <x v="10"/>
    <s v="Yellow"/>
    <n v="10509"/>
    <m/>
    <n v="1"/>
    <n v="10509"/>
    <m/>
    <n v="7573"/>
    <n v="7573"/>
    <n v="2936"/>
    <n v="0"/>
    <n v="41"/>
    <s v="Female"/>
    <s v="Instagram"/>
    <s v="Polaris"/>
    <s v="YES"/>
    <n v="0"/>
    <x v="1"/>
  </r>
  <r>
    <x v="18"/>
    <x v="8"/>
    <x v="0"/>
    <x v="6"/>
    <s v="Wine"/>
    <n v="20500"/>
    <m/>
    <n v="1"/>
    <n v="20500"/>
    <m/>
    <n v="17339"/>
    <n v="17339"/>
    <n v="3161"/>
    <n v="0"/>
    <n v="41"/>
    <s v="Female"/>
    <s v="Instagram"/>
    <s v="Polaris"/>
    <s v="YES"/>
    <n v="0"/>
    <x v="1"/>
  </r>
  <r>
    <x v="18"/>
    <x v="8"/>
    <x v="0"/>
    <x v="6"/>
    <s v="Green"/>
    <n v="20500"/>
    <m/>
    <n v="1"/>
    <n v="20500"/>
    <m/>
    <n v="17339"/>
    <n v="17339"/>
    <n v="3161"/>
    <n v="0"/>
    <n v="41"/>
    <s v="Female"/>
    <s v="Instagram"/>
    <s v="Polaris"/>
    <s v="YES"/>
    <n v="0"/>
    <x v="1"/>
  </r>
  <r>
    <x v="18"/>
    <x v="8"/>
    <x v="0"/>
    <x v="0"/>
    <s v="Dark pink"/>
    <n v="14975"/>
    <m/>
    <n v="1"/>
    <n v="14975"/>
    <m/>
    <n v="10813"/>
    <n v="10813"/>
    <n v="4162"/>
    <n v="0"/>
    <n v="41"/>
    <s v="Female"/>
    <s v="Instagram"/>
    <s v="Polaris"/>
    <s v="YES"/>
    <n v="0"/>
    <x v="1"/>
  </r>
  <r>
    <x v="19"/>
    <x v="8"/>
    <x v="0"/>
    <x v="0"/>
    <s v="Yellow"/>
    <n v="14975"/>
    <m/>
    <n v="1"/>
    <n v="14975"/>
    <n v="15630"/>
    <n v="10813"/>
    <n v="10813"/>
    <n v="4162"/>
    <n v="655"/>
    <n v="41"/>
    <s v="Female"/>
    <s v="Instagram"/>
    <s v="Polaris"/>
    <s v="YES"/>
    <n v="0"/>
    <x v="0"/>
  </r>
  <r>
    <x v="20"/>
    <x v="8"/>
    <x v="0"/>
    <x v="1"/>
    <s v="Light brown"/>
    <n v="12395"/>
    <m/>
    <n v="1"/>
    <n v="12395"/>
    <n v="27000"/>
    <n v="7909"/>
    <n v="7909"/>
    <n v="4486"/>
    <n v="-25058"/>
    <n v="38"/>
    <s v="Female"/>
    <s v="Instagram"/>
    <s v="Polaris"/>
    <s v="YES"/>
    <n v="0"/>
    <x v="2"/>
  </r>
  <r>
    <x v="20"/>
    <x v="8"/>
    <x v="0"/>
    <x v="1"/>
    <s v="Light brown"/>
    <n v="12395"/>
    <m/>
    <n v="1"/>
    <n v="12395"/>
    <m/>
    <n v="7909"/>
    <n v="7909"/>
    <n v="4486"/>
    <n v="0"/>
    <n v="38"/>
    <s v="Female"/>
    <s v="Instagram"/>
    <s v="Polaris"/>
    <s v="YES"/>
    <n v="0"/>
    <x v="1"/>
  </r>
  <r>
    <x v="20"/>
    <x v="8"/>
    <x v="0"/>
    <x v="1"/>
    <s v="Light brown"/>
    <n v="12395"/>
    <m/>
    <n v="1"/>
    <n v="12395"/>
    <m/>
    <n v="7909"/>
    <n v="7909"/>
    <n v="4486"/>
    <n v="0"/>
    <n v="38"/>
    <s v="Female"/>
    <s v="Instagram"/>
    <s v="Polaris"/>
    <s v="YES"/>
    <n v="0"/>
    <x v="1"/>
  </r>
  <r>
    <x v="20"/>
    <x v="8"/>
    <x v="0"/>
    <x v="11"/>
    <s v="Black"/>
    <n v="14873"/>
    <m/>
    <n v="1"/>
    <n v="14873"/>
    <m/>
    <n v="11503"/>
    <n v="11503"/>
    <n v="3370"/>
    <n v="0"/>
    <n v="39"/>
    <s v="Female"/>
    <s v="Instagram"/>
    <s v="Polaris"/>
    <s v="YES"/>
    <n v="0"/>
    <x v="1"/>
  </r>
  <r>
    <x v="21"/>
    <x v="8"/>
    <x v="0"/>
    <x v="11"/>
    <s v="Black"/>
    <n v="14873"/>
    <m/>
    <n v="1"/>
    <n v="14873"/>
    <n v="29000"/>
    <n v="11503"/>
    <n v="11503"/>
    <n v="3370"/>
    <n v="-746"/>
    <n v="38"/>
    <s v="Female"/>
    <s v="Instagram"/>
    <s v="Polaris"/>
    <s v="YES"/>
    <n v="0"/>
    <x v="2"/>
  </r>
  <r>
    <x v="21"/>
    <x v="8"/>
    <x v="0"/>
    <x v="11"/>
    <s v="Black"/>
    <n v="14873"/>
    <m/>
    <n v="1"/>
    <n v="14873"/>
    <m/>
    <n v="11503"/>
    <n v="11503"/>
    <n v="3370"/>
    <n v="0"/>
    <n v="40"/>
    <s v="Female"/>
    <s v="Instagram"/>
    <s v="Polaris"/>
    <s v="YES"/>
    <n v="0"/>
    <x v="1"/>
  </r>
  <r>
    <x v="22"/>
    <x v="9"/>
    <x v="0"/>
    <x v="8"/>
    <s v="Black"/>
    <n v="9838"/>
    <m/>
    <n v="1"/>
    <n v="9838"/>
    <n v="13000"/>
    <n v="6687"/>
    <n v="6687"/>
    <n v="3151"/>
    <n v="3162"/>
    <n v="40"/>
    <s v="Female"/>
    <s v="Instagram"/>
    <s v="Polaris"/>
    <s v="YES"/>
    <n v="0"/>
    <x v="0"/>
  </r>
  <r>
    <x v="23"/>
    <x v="10"/>
    <x v="0"/>
    <x v="1"/>
    <s v="Royal blue"/>
    <n v="12395"/>
    <m/>
    <n v="1"/>
    <n v="12395"/>
    <n v="66500"/>
    <n v="7909"/>
    <n v="7909"/>
    <n v="4486"/>
    <n v="54105"/>
    <n v="40"/>
    <s v="Female"/>
    <s v="Website"/>
    <s v="Polaris"/>
    <s v="YES"/>
    <n v="0"/>
    <x v="0"/>
  </r>
  <r>
    <x v="24"/>
    <x v="11"/>
    <x v="0"/>
    <x v="8"/>
    <s v="Light brown"/>
    <n v="9838"/>
    <m/>
    <n v="1"/>
    <n v="9838"/>
    <n v="15500"/>
    <n v="6687"/>
    <n v="6687"/>
    <n v="3151"/>
    <n v="5662"/>
    <n v="39"/>
    <s v="Female"/>
    <s v="Instagram"/>
    <s v="Polaris"/>
    <s v="YES"/>
    <n v="0"/>
    <x v="0"/>
  </r>
  <r>
    <x v="25"/>
    <x v="12"/>
    <x v="0"/>
    <x v="10"/>
    <s v="Black"/>
    <n v="10509"/>
    <m/>
    <n v="1"/>
    <n v="10509"/>
    <n v="14000"/>
    <n v="7573"/>
    <n v="7573"/>
    <n v="2936"/>
    <n v="3491"/>
    <n v="40"/>
    <s v="Female"/>
    <s v="Instagram"/>
    <s v="Polaris"/>
    <s v="YES"/>
    <n v="0"/>
    <x v="0"/>
  </r>
  <r>
    <x v="26"/>
    <x v="12"/>
    <x v="0"/>
    <x v="4"/>
    <s v="Dark brown"/>
    <n v="22728"/>
    <m/>
    <n v="1"/>
    <n v="22728"/>
    <n v="30000"/>
    <n v="20451"/>
    <n v="20451"/>
    <n v="2277"/>
    <n v="-3237"/>
    <n v="40"/>
    <s v="Female"/>
    <s v="Instagram"/>
    <s v="Polaris"/>
    <s v="YES"/>
    <n v="0"/>
    <x v="2"/>
  </r>
  <r>
    <x v="26"/>
    <x v="12"/>
    <x v="0"/>
    <x v="10"/>
    <s v="Dark brown"/>
    <n v="10509"/>
    <m/>
    <n v="1"/>
    <n v="10509"/>
    <m/>
    <n v="7573"/>
    <n v="7573"/>
    <n v="2936"/>
    <n v="0"/>
    <n v="40"/>
    <s v="Female"/>
    <s v="Instagram"/>
    <s v="Polaris"/>
    <s v="YES"/>
    <n v="0"/>
    <x v="1"/>
  </r>
  <r>
    <x v="27"/>
    <x v="12"/>
    <x v="0"/>
    <x v="5"/>
    <s v="Black"/>
    <n v="17614"/>
    <m/>
    <n v="1"/>
    <n v="17614"/>
    <n v="17500"/>
    <n v="14912"/>
    <n v="14912"/>
    <n v="2702"/>
    <n v="-114"/>
    <n v="40"/>
    <s v="Female"/>
    <s v="Instagram"/>
    <s v="Polaris"/>
    <s v="YES"/>
    <n v="0"/>
    <x v="2"/>
  </r>
  <r>
    <x v="28"/>
    <x v="12"/>
    <x v="0"/>
    <x v="8"/>
    <s v="Dark pink"/>
    <n v="9838"/>
    <m/>
    <n v="1"/>
    <n v="9838"/>
    <n v="13500"/>
    <n v="6687"/>
    <n v="6687"/>
    <n v="3151"/>
    <n v="3662"/>
    <n v="40"/>
    <s v="Female"/>
    <s v="Instagram"/>
    <s v="Providus"/>
    <s v="YES"/>
    <n v="0"/>
    <x v="0"/>
  </r>
  <r>
    <x v="29"/>
    <x v="12"/>
    <x v="0"/>
    <x v="8"/>
    <s v="Dark pink"/>
    <n v="9838"/>
    <m/>
    <n v="1"/>
    <n v="9838"/>
    <n v="27000"/>
    <n v="6687"/>
    <n v="6687"/>
    <n v="3151"/>
    <n v="17162"/>
    <n v="40"/>
    <s v="Female"/>
    <s v="Instagram"/>
    <s v="Providus"/>
    <s v="YES"/>
    <n v="0"/>
    <x v="0"/>
  </r>
  <r>
    <x v="30"/>
    <x v="13"/>
    <x v="1"/>
    <x v="8"/>
    <s v="Dark pink"/>
    <n v="9838"/>
    <m/>
    <n v="1"/>
    <n v="9838"/>
    <n v="34606"/>
    <n v="6687"/>
    <n v="6687"/>
    <n v="3151"/>
    <n v="24768"/>
    <n v="40"/>
    <s v="Female"/>
    <s v="Instagram"/>
    <s v="Polaris"/>
    <s v="YES"/>
    <n v="0"/>
    <x v="0"/>
  </r>
  <r>
    <x v="31"/>
    <x v="13"/>
    <x v="2"/>
    <x v="11"/>
    <s v="Black"/>
    <n v="14873"/>
    <m/>
    <n v="1"/>
    <n v="14873"/>
    <n v="36012.5"/>
    <n v="11503"/>
    <n v="11503"/>
    <n v="3370"/>
    <n v="2600.5"/>
    <n v="42"/>
    <s v="Female"/>
    <s v="Website"/>
    <s v="Polaris"/>
    <s v="YES"/>
    <n v="0"/>
    <x v="0"/>
  </r>
  <r>
    <x v="31"/>
    <x v="13"/>
    <x v="2"/>
    <x v="12"/>
    <s v="Light Grey "/>
    <n v="18539"/>
    <m/>
    <n v="1"/>
    <n v="18539"/>
    <m/>
    <n v="15497"/>
    <n v="15497"/>
    <n v="3042"/>
    <n v="0"/>
    <n v="42"/>
    <s v="Female"/>
    <s v="Website"/>
    <s v="Polaris"/>
    <s v="YES"/>
    <n v="0"/>
    <x v="1"/>
  </r>
  <r>
    <x v="32"/>
    <x v="13"/>
    <x v="0"/>
    <x v="1"/>
    <s v="Orange"/>
    <n v="12395"/>
    <m/>
    <n v="1"/>
    <n v="12395"/>
    <n v="40500"/>
    <n v="7909"/>
    <n v="7909"/>
    <n v="4486"/>
    <n v="28105"/>
    <n v="42"/>
    <s v="Female"/>
    <s v="Website"/>
    <s v="Polaris"/>
    <s v="YES"/>
    <n v="0"/>
    <x v="0"/>
  </r>
  <r>
    <x v="33"/>
    <x v="14"/>
    <x v="3"/>
    <x v="13"/>
    <s v="Light brown"/>
    <n v="12107"/>
    <m/>
    <n v="1"/>
    <n v="12107"/>
    <n v="41000"/>
    <n v="9752"/>
    <n v="9752"/>
    <n v="2355"/>
    <n v="5989"/>
    <n v="42"/>
    <s v="Male"/>
    <s v="Instagram"/>
    <s v="Polaris"/>
    <s v="YES"/>
    <n v="0"/>
    <x v="0"/>
  </r>
  <r>
    <x v="33"/>
    <x v="14"/>
    <x v="3"/>
    <x v="10"/>
    <s v="Green"/>
    <n v="10509"/>
    <m/>
    <n v="1"/>
    <n v="10509"/>
    <m/>
    <n v="7573"/>
    <n v="7573"/>
    <n v="2936"/>
    <n v="0"/>
    <n v="42"/>
    <s v="Male"/>
    <s v="Instagram"/>
    <s v="Polaris"/>
    <s v="YES"/>
    <n v="0"/>
    <x v="1"/>
  </r>
  <r>
    <x v="33"/>
    <x v="14"/>
    <x v="3"/>
    <x v="1"/>
    <s v="Black"/>
    <n v="12395"/>
    <m/>
    <n v="1"/>
    <n v="12395"/>
    <m/>
    <n v="7909"/>
    <n v="7909"/>
    <n v="4486"/>
    <n v="0"/>
    <n v="42"/>
    <s v="Male"/>
    <s v="Instagram"/>
    <s v="Polaris"/>
    <s v="YES"/>
    <n v="0"/>
    <x v="1"/>
  </r>
  <r>
    <x v="34"/>
    <x v="14"/>
    <x v="4"/>
    <x v="6"/>
    <s v="Grey "/>
    <n v="20500"/>
    <m/>
    <n v="1"/>
    <n v="20500"/>
    <n v="14500"/>
    <n v="17339"/>
    <n v="17339"/>
    <n v="3161"/>
    <n v="-6000"/>
    <n v="37"/>
    <s v="Female"/>
    <s v="Instagram"/>
    <s v="Polaris"/>
    <s v="YES"/>
    <n v="0"/>
    <x v="2"/>
  </r>
  <r>
    <x v="35"/>
    <x v="15"/>
    <x v="5"/>
    <x v="10"/>
    <s v="Wine"/>
    <n v="10509"/>
    <m/>
    <n v="1"/>
    <n v="10509"/>
    <n v="19000"/>
    <n v="7573"/>
    <n v="7573"/>
    <n v="2936"/>
    <n v="8491"/>
    <n v="39"/>
    <s v="Female"/>
    <s v="Website"/>
    <s v="Providus"/>
    <s v="YES"/>
    <n v="0"/>
    <x v="0"/>
  </r>
  <r>
    <x v="36"/>
    <x v="16"/>
    <x v="0"/>
    <x v="8"/>
    <s v="Dark brown"/>
    <n v="9838"/>
    <m/>
    <n v="1"/>
    <n v="9838"/>
    <n v="13500"/>
    <n v="6687"/>
    <n v="6687"/>
    <n v="3151"/>
    <n v="3662"/>
    <n v="39"/>
    <s v="Female"/>
    <s v="Instagram"/>
    <s v="Polaris"/>
    <s v="YES"/>
    <n v="0"/>
    <x v="0"/>
  </r>
  <r>
    <x v="37"/>
    <x v="15"/>
    <x v="0"/>
    <x v="4"/>
    <s v="Orange"/>
    <n v="22728"/>
    <m/>
    <n v="1"/>
    <n v="22728"/>
    <n v="16500"/>
    <n v="20451"/>
    <n v="20451"/>
    <n v="2277"/>
    <n v="-6228"/>
    <n v="38"/>
    <s v="Female"/>
    <s v="Instagram"/>
    <s v="Providus"/>
    <s v="YES"/>
    <n v="0"/>
    <x v="2"/>
  </r>
  <r>
    <x v="38"/>
    <x v="15"/>
    <x v="5"/>
    <x v="1"/>
    <s v="Light brown"/>
    <n v="12395"/>
    <m/>
    <n v="1"/>
    <n v="12395"/>
    <n v="14500"/>
    <n v="7909"/>
    <n v="7909"/>
    <n v="4486"/>
    <n v="2105"/>
    <n v="39"/>
    <s v="Female"/>
    <s v="Website"/>
    <s v="Providus"/>
    <s v="YES"/>
    <n v="0"/>
    <x v="0"/>
  </r>
  <r>
    <x v="39"/>
    <x v="17"/>
    <x v="0"/>
    <x v="7"/>
    <s v="Light pink"/>
    <n v="11007"/>
    <m/>
    <n v="1"/>
    <n v="11007"/>
    <n v="100000"/>
    <n v="8327"/>
    <n v="8327"/>
    <n v="2680"/>
    <n v="-4372"/>
    <n v="38"/>
    <s v="Female"/>
    <s v="Instagram"/>
    <s v="Providus"/>
    <s v="YES"/>
    <n v="0"/>
    <x v="2"/>
  </r>
  <r>
    <x v="39"/>
    <x v="17"/>
    <x v="0"/>
    <x v="7"/>
    <s v="Royal blue"/>
    <n v="11007"/>
    <m/>
    <n v="1"/>
    <n v="11007"/>
    <m/>
    <n v="8327"/>
    <n v="8327"/>
    <n v="2680"/>
    <n v="0"/>
    <n v="41"/>
    <s v="Female"/>
    <s v="Instagram"/>
    <s v="Providus"/>
    <s v="YES"/>
    <n v="0"/>
    <x v="1"/>
  </r>
  <r>
    <x v="39"/>
    <x v="17"/>
    <x v="0"/>
    <x v="7"/>
    <s v="Black"/>
    <n v="11007"/>
    <m/>
    <n v="1"/>
    <n v="11007"/>
    <m/>
    <n v="8327"/>
    <n v="8327"/>
    <n v="2680"/>
    <n v="0"/>
    <n v="39"/>
    <s v="Female"/>
    <s v="Instagram"/>
    <s v="Providus"/>
    <s v="YES"/>
    <n v="0"/>
    <x v="1"/>
  </r>
  <r>
    <x v="39"/>
    <x v="17"/>
    <x v="0"/>
    <x v="4"/>
    <s v="Orange"/>
    <n v="22728"/>
    <m/>
    <n v="1"/>
    <n v="22728"/>
    <m/>
    <n v="20451"/>
    <n v="20451"/>
    <n v="2277"/>
    <n v="0"/>
    <n v="38"/>
    <s v="Female"/>
    <s v="Instagram"/>
    <s v="Providus"/>
    <s v="YES"/>
    <n v="0"/>
    <x v="1"/>
  </r>
  <r>
    <x v="39"/>
    <x v="17"/>
    <x v="6"/>
    <x v="6"/>
    <s v="Yellow"/>
    <n v="20500"/>
    <m/>
    <n v="1"/>
    <n v="20500"/>
    <m/>
    <n v="17339"/>
    <n v="17339"/>
    <n v="3161"/>
    <n v="0"/>
    <n v="38"/>
    <s v="Female"/>
    <s v="Instagram"/>
    <s v="Providus"/>
    <s v="YES"/>
    <n v="0"/>
    <x v="1"/>
  </r>
  <r>
    <x v="39"/>
    <x v="17"/>
    <x v="6"/>
    <x v="5"/>
    <s v="Royal blue"/>
    <n v="17614"/>
    <m/>
    <n v="1"/>
    <n v="17614"/>
    <m/>
    <n v="14912"/>
    <n v="14912"/>
    <n v="2702"/>
    <n v="0"/>
    <n v="38"/>
    <s v="Female"/>
    <s v="Instagram"/>
    <s v="Providus"/>
    <s v="YES"/>
    <n v="0"/>
    <x v="1"/>
  </r>
  <r>
    <x v="39"/>
    <x v="17"/>
    <x v="6"/>
    <x v="10"/>
    <s v="Green"/>
    <n v="10509"/>
    <m/>
    <n v="1"/>
    <n v="10509"/>
    <m/>
    <n v="7573"/>
    <n v="7573"/>
    <n v="2936"/>
    <n v="0"/>
    <n v="38"/>
    <s v="Female"/>
    <s v="Instagram"/>
    <s v="Providus"/>
    <s v="YES"/>
    <n v="0"/>
    <x v="1"/>
  </r>
  <r>
    <x v="40"/>
    <x v="17"/>
    <x v="4"/>
    <x v="1"/>
    <s v="Dark pink"/>
    <n v="12395"/>
    <m/>
    <n v="1"/>
    <n v="12395"/>
    <n v="33000"/>
    <n v="7909"/>
    <n v="7909"/>
    <n v="4486"/>
    <n v="2991"/>
    <n v="40"/>
    <s v="Female"/>
    <s v="Instagram"/>
    <s v="Providus"/>
    <s v="YES"/>
    <n v="0"/>
    <x v="0"/>
  </r>
  <r>
    <x v="40"/>
    <x v="17"/>
    <x v="4"/>
    <x v="5"/>
    <s v="Yellow"/>
    <n v="17614"/>
    <m/>
    <n v="1"/>
    <n v="17614"/>
    <m/>
    <n v="14912"/>
    <n v="14912"/>
    <n v="2702"/>
    <n v="0"/>
    <n v="40"/>
    <s v="Female"/>
    <s v="Instagram"/>
    <s v="Providus"/>
    <s v="YES"/>
    <n v="0"/>
    <x v="1"/>
  </r>
  <r>
    <x v="41"/>
    <x v="17"/>
    <x v="0"/>
    <x v="14"/>
    <s v="Orange"/>
    <n v="19170"/>
    <m/>
    <n v="1"/>
    <n v="19170"/>
    <n v="63962.5"/>
    <n v="17137"/>
    <n v="17137"/>
    <n v="2033"/>
    <n v="23276.5"/>
    <n v="39"/>
    <s v="Female"/>
    <s v="Website"/>
    <s v="Providus"/>
    <s v="YES"/>
    <n v="0"/>
    <x v="0"/>
  </r>
  <r>
    <x v="41"/>
    <x v="17"/>
    <x v="0"/>
    <x v="10"/>
    <s v="Red"/>
    <n v="10509"/>
    <m/>
    <n v="1"/>
    <n v="10509"/>
    <m/>
    <n v="7573"/>
    <n v="7573"/>
    <n v="2936"/>
    <n v="0"/>
    <n v="39"/>
    <s v="Female"/>
    <s v="Website"/>
    <s v="Providus"/>
    <s v="YES"/>
    <n v="0"/>
    <x v="1"/>
  </r>
  <r>
    <x v="41"/>
    <x v="17"/>
    <x v="0"/>
    <x v="7"/>
    <s v="Green"/>
    <n v="11007"/>
    <m/>
    <n v="1"/>
    <n v="11007"/>
    <m/>
    <n v="8327"/>
    <n v="8327"/>
    <n v="2680"/>
    <n v="0"/>
    <n v="39"/>
    <s v="Female"/>
    <s v="Website"/>
    <s v="Providus"/>
    <s v="YES"/>
    <n v="0"/>
    <x v="1"/>
  </r>
  <r>
    <x v="42"/>
    <x v="18"/>
    <x v="0"/>
    <x v="6"/>
    <s v="Combo colors"/>
    <n v="20500"/>
    <m/>
    <n v="1"/>
    <n v="20500"/>
    <n v="30500"/>
    <n v="17339"/>
    <n v="17339"/>
    <n v="3161"/>
    <n v="-10500"/>
    <n v="40"/>
    <s v="Female"/>
    <s v="Instagram"/>
    <s v="Polaris"/>
    <s v="YES"/>
    <n v="0"/>
    <x v="2"/>
  </r>
  <r>
    <x v="42"/>
    <x v="18"/>
    <x v="0"/>
    <x v="6"/>
    <s v="Wine"/>
    <n v="20500"/>
    <m/>
    <n v="1"/>
    <n v="20500"/>
    <m/>
    <n v="17339"/>
    <n v="17339"/>
    <n v="3161"/>
    <n v="0"/>
    <n v="40"/>
    <s v="Female"/>
    <s v="Instagram"/>
    <s v="Polaris"/>
    <s v="YES"/>
    <n v="0"/>
    <x v="1"/>
  </r>
  <r>
    <x v="43"/>
    <x v="18"/>
    <x v="0"/>
    <x v="5"/>
    <s v="Yellow"/>
    <n v="17614"/>
    <m/>
    <n v="1"/>
    <n v="17614"/>
    <n v="28000"/>
    <n v="14912"/>
    <n v="14912"/>
    <n v="2702"/>
    <n v="-2009"/>
    <n v="41"/>
    <s v="Female"/>
    <s v="Instagram"/>
    <s v="Polaris"/>
    <s v="YES"/>
    <n v="0"/>
    <x v="2"/>
  </r>
  <r>
    <x v="43"/>
    <x v="18"/>
    <x v="0"/>
    <x v="1"/>
    <s v="Yellow"/>
    <n v="12395"/>
    <m/>
    <n v="1"/>
    <n v="12395"/>
    <m/>
    <n v="7909"/>
    <n v="7909"/>
    <n v="4486"/>
    <n v="0"/>
    <n v="41"/>
    <s v="Female"/>
    <s v="Instagram"/>
    <s v="Polaris"/>
    <s v="YES"/>
    <n v="0"/>
    <x v="1"/>
  </r>
  <r>
    <x v="44"/>
    <x v="19"/>
    <x v="7"/>
    <x v="8"/>
    <s v="Black"/>
    <n v="9838"/>
    <m/>
    <n v="1"/>
    <n v="9838"/>
    <n v="40500"/>
    <n v="6687"/>
    <n v="6687"/>
    <n v="3151"/>
    <n v="8429"/>
    <n v="43"/>
    <s v="Female"/>
    <s v="Physical"/>
    <s v="Providus"/>
    <s v="YES"/>
    <n v="0"/>
    <x v="0"/>
  </r>
  <r>
    <x v="44"/>
    <x v="19"/>
    <x v="7"/>
    <x v="1"/>
    <s v="Orange"/>
    <n v="12395"/>
    <m/>
    <n v="1"/>
    <n v="12395"/>
    <m/>
    <n v="7909"/>
    <n v="7909"/>
    <n v="4486"/>
    <n v="0"/>
    <n v="43"/>
    <s v="Female"/>
    <s v="Physical"/>
    <s v="Providus"/>
    <s v="YES"/>
    <n v="0"/>
    <x v="1"/>
  </r>
  <r>
    <x v="44"/>
    <x v="19"/>
    <x v="0"/>
    <x v="8"/>
    <s v="Light brown"/>
    <n v="9838"/>
    <m/>
    <n v="1"/>
    <n v="9838"/>
    <m/>
    <n v="6687"/>
    <n v="6687"/>
    <n v="3151"/>
    <n v="0"/>
    <n v="43"/>
    <s v="Female"/>
    <s v="Physical"/>
    <s v="Providus"/>
    <s v="YES"/>
    <n v="0"/>
    <x v="1"/>
  </r>
  <r>
    <x v="45"/>
    <x v="19"/>
    <x v="0"/>
    <x v="6"/>
    <s v="Wine"/>
    <n v="20500"/>
    <m/>
    <n v="1"/>
    <n v="20500"/>
    <n v="31500"/>
    <n v="17339"/>
    <n v="17339"/>
    <n v="3161"/>
    <n v="-6614"/>
    <n v="39"/>
    <s v="Female"/>
    <s v="Physical"/>
    <s v="Polaris"/>
    <s v="YES"/>
    <n v="0"/>
    <x v="2"/>
  </r>
  <r>
    <x v="45"/>
    <x v="19"/>
    <x v="8"/>
    <x v="5"/>
    <s v="Black"/>
    <n v="17614"/>
    <m/>
    <n v="1"/>
    <n v="17614"/>
    <m/>
    <n v="14912"/>
    <n v="14912"/>
    <n v="2702"/>
    <n v="0"/>
    <n v="39"/>
    <s v="Female"/>
    <s v="Physical"/>
    <s v="Polaris"/>
    <s v="YES"/>
    <n v="0"/>
    <x v="1"/>
  </r>
  <r>
    <x v="46"/>
    <x v="20"/>
    <x v="8"/>
    <x v="1"/>
    <s v="Light brown"/>
    <n v="12395"/>
    <m/>
    <n v="1"/>
    <n v="12395"/>
    <n v="24537.5"/>
    <n v="7909"/>
    <n v="7909"/>
    <n v="4486"/>
    <n v="-252.5"/>
    <n v="40"/>
    <s v="Female"/>
    <s v="Instagram"/>
    <s v="Providus"/>
    <s v="YES"/>
    <n v="0"/>
    <x v="2"/>
  </r>
  <r>
    <x v="46"/>
    <x v="20"/>
    <x v="0"/>
    <x v="1"/>
    <s v="Orange"/>
    <n v="12395"/>
    <m/>
    <n v="1"/>
    <n v="12395"/>
    <m/>
    <n v="7909"/>
    <n v="7909"/>
    <n v="4486"/>
    <n v="0"/>
    <n v="40"/>
    <s v="Female"/>
    <s v="Instagram"/>
    <s v="Providus"/>
    <s v="YES"/>
    <n v="0"/>
    <x v="1"/>
  </r>
  <r>
    <x v="47"/>
    <x v="20"/>
    <x v="0"/>
    <x v="10"/>
    <s v="Green"/>
    <n v="10509"/>
    <m/>
    <n v="1"/>
    <n v="10509"/>
    <n v="27000"/>
    <n v="7573"/>
    <n v="7573"/>
    <n v="2936"/>
    <n v="4096"/>
    <n v="44"/>
    <s v="Female"/>
    <s v="Instagram"/>
    <s v="Polaris"/>
    <s v="YES"/>
    <n v="0"/>
    <x v="0"/>
  </r>
  <r>
    <x v="47"/>
    <x v="20"/>
    <x v="0"/>
    <x v="1"/>
    <s v="Royal blue"/>
    <n v="12395"/>
    <m/>
    <n v="1"/>
    <n v="12395"/>
    <m/>
    <n v="7909"/>
    <n v="7909"/>
    <n v="4486"/>
    <n v="0"/>
    <n v="44"/>
    <s v="Female"/>
    <s v="Instagram"/>
    <s v="Polaris"/>
    <s v="YES"/>
    <n v="0"/>
    <x v="1"/>
  </r>
  <r>
    <x v="48"/>
    <x v="21"/>
    <x v="7"/>
    <x v="6"/>
    <s v="Yellow"/>
    <n v="20500"/>
    <m/>
    <n v="1"/>
    <n v="20500"/>
    <n v="33500"/>
    <n v="17339"/>
    <n v="17339"/>
    <n v="3161"/>
    <n v="605"/>
    <n v="41"/>
    <s v="Female"/>
    <s v="Instagram"/>
    <s v="Polaris"/>
    <s v="YES"/>
    <n v="0"/>
    <x v="0"/>
  </r>
  <r>
    <x v="48"/>
    <x v="21"/>
    <x v="7"/>
    <x v="1"/>
    <s v="Navy blue"/>
    <n v="12395"/>
    <m/>
    <n v="1"/>
    <n v="12395"/>
    <m/>
    <n v="7909"/>
    <n v="7909"/>
    <n v="4486"/>
    <n v="0"/>
    <n v="41"/>
    <s v="Female"/>
    <s v="Instagram"/>
    <s v="Polaris"/>
    <s v="YES"/>
    <n v="0"/>
    <x v="1"/>
  </r>
  <r>
    <x v="49"/>
    <x v="21"/>
    <x v="0"/>
    <x v="10"/>
    <s v="Combo colors"/>
    <n v="10509"/>
    <m/>
    <n v="1"/>
    <n v="10509"/>
    <n v="31000"/>
    <n v="7573"/>
    <n v="7573"/>
    <n v="2936"/>
    <n v="-9"/>
    <n v="39"/>
    <s v="Female"/>
    <s v="Instagram"/>
    <s v="Polaris"/>
    <s v="YES"/>
    <n v="0"/>
    <x v="2"/>
  </r>
  <r>
    <x v="49"/>
    <x v="21"/>
    <x v="0"/>
    <x v="6"/>
    <s v="Combo colors"/>
    <n v="20500"/>
    <m/>
    <n v="1"/>
    <n v="20500"/>
    <m/>
    <n v="17339"/>
    <n v="17339"/>
    <n v="3161"/>
    <n v="0"/>
    <n v="39"/>
    <s v="Female"/>
    <s v="Instagram"/>
    <s v="Polaris"/>
    <s v="YES"/>
    <n v="0"/>
    <x v="1"/>
  </r>
  <r>
    <x v="50"/>
    <x v="21"/>
    <x v="0"/>
    <x v="4"/>
    <s v="Light brown, Yellow"/>
    <n v="22728"/>
    <m/>
    <n v="1"/>
    <n v="22728"/>
    <n v="28000"/>
    <n v="20451"/>
    <n v="20451"/>
    <n v="2277"/>
    <n v="-7123"/>
    <n v="39"/>
    <s v="Female"/>
    <s v="Instagram"/>
    <s v="Polaris"/>
    <s v="YES"/>
    <n v="0"/>
    <x v="2"/>
  </r>
  <r>
    <x v="50"/>
    <x v="21"/>
    <x v="0"/>
    <x v="1"/>
    <s v="White"/>
    <n v="12395"/>
    <m/>
    <n v="1"/>
    <n v="12395"/>
    <m/>
    <n v="7909"/>
    <n v="7909"/>
    <n v="4486"/>
    <n v="0"/>
    <n v="39"/>
    <s v="Female"/>
    <s v="Instagram"/>
    <s v="Polaris"/>
    <s v="YES"/>
    <n v="0"/>
    <x v="1"/>
  </r>
  <r>
    <x v="51"/>
    <x v="22"/>
    <x v="0"/>
    <x v="15"/>
    <s v="Wine"/>
    <n v="15204"/>
    <m/>
    <n v="1"/>
    <n v="15204"/>
    <n v="28000"/>
    <n v="12537"/>
    <n v="12537"/>
    <n v="2667"/>
    <n v="401"/>
    <n v="41"/>
    <s v="Female"/>
    <s v="Instagram"/>
    <s v="Providus"/>
    <s v="YES"/>
    <n v="0"/>
    <x v="0"/>
  </r>
  <r>
    <x v="51"/>
    <x v="22"/>
    <x v="0"/>
    <x v="1"/>
    <s v="Black"/>
    <n v="12395"/>
    <m/>
    <n v="1"/>
    <n v="12395"/>
    <m/>
    <n v="7909"/>
    <n v="7909"/>
    <n v="4486"/>
    <n v="0"/>
    <n v="41"/>
    <s v="Female"/>
    <s v="Instagram"/>
    <s v="Providus"/>
    <s v="YES"/>
    <n v="0"/>
    <x v="1"/>
  </r>
  <r>
    <x v="52"/>
    <x v="22"/>
    <x v="0"/>
    <x v="1"/>
    <s v="Light brown, Black"/>
    <n v="12395"/>
    <m/>
    <n v="1"/>
    <n v="12395"/>
    <n v="16500"/>
    <n v="7909"/>
    <n v="7909"/>
    <n v="4486"/>
    <n v="4105"/>
    <n v="41"/>
    <s v="Female"/>
    <s v="Instagram"/>
    <s v="Providus"/>
    <s v="YES"/>
    <n v="0"/>
    <x v="0"/>
  </r>
  <r>
    <x v="53"/>
    <x v="22"/>
    <x v="7"/>
    <x v="5"/>
    <s v="Wine"/>
    <n v="17614"/>
    <m/>
    <n v="1"/>
    <n v="17614"/>
    <n v="17000"/>
    <n v="14912"/>
    <n v="14912"/>
    <n v="2702"/>
    <n v="-614"/>
    <n v="40"/>
    <s v="Female"/>
    <s v="Instagram"/>
    <s v="Providus"/>
    <s v="YES"/>
    <n v="0"/>
    <x v="2"/>
  </r>
  <r>
    <x v="54"/>
    <x v="23"/>
    <x v="7"/>
    <x v="6"/>
    <s v="Light brown"/>
    <n v="20500"/>
    <m/>
    <n v="1"/>
    <n v="20500"/>
    <n v="17500"/>
    <n v="17339"/>
    <n v="17339"/>
    <n v="3161"/>
    <n v="-3000"/>
    <n v="40"/>
    <s v="Female"/>
    <s v="Instagram"/>
    <s v="Polaris"/>
    <s v="YES"/>
    <n v="0"/>
    <x v="2"/>
  </r>
  <r>
    <x v="55"/>
    <x v="23"/>
    <x v="0"/>
    <x v="1"/>
    <s v="Light brown"/>
    <n v="12395"/>
    <m/>
    <n v="1"/>
    <n v="12395"/>
    <n v="13500"/>
    <n v="7909"/>
    <n v="7909"/>
    <n v="4486"/>
    <n v="1105"/>
    <n v="41"/>
    <s v="Female"/>
    <s v="Instagram"/>
    <s v="Polaris"/>
    <s v="YES"/>
    <n v="0"/>
    <x v="0"/>
  </r>
  <r>
    <x v="56"/>
    <x v="23"/>
    <x v="0"/>
    <x v="1"/>
    <s v="Light pink"/>
    <n v="12395"/>
    <m/>
    <n v="1"/>
    <n v="12395"/>
    <n v="32600"/>
    <n v="7909"/>
    <n v="7909"/>
    <n v="4486"/>
    <n v="910"/>
    <n v="39"/>
    <s v="Female"/>
    <s v="Website"/>
    <s v="Polaris"/>
    <s v="YES"/>
    <n v="0"/>
    <x v="0"/>
  </r>
  <r>
    <x v="56"/>
    <x v="23"/>
    <x v="0"/>
    <x v="2"/>
    <s v="Red"/>
    <n v="19295"/>
    <m/>
    <n v="1"/>
    <n v="19295"/>
    <m/>
    <n v="16705"/>
    <n v="16705"/>
    <n v="2590"/>
    <n v="0"/>
    <n v="39"/>
    <s v="Female"/>
    <s v="Website"/>
    <s v="Polaris"/>
    <s v="YES"/>
    <n v="0"/>
    <x v="1"/>
  </r>
  <r>
    <x v="57"/>
    <x v="23"/>
    <x v="3"/>
    <x v="1"/>
    <s v="Light brown"/>
    <n v="12395"/>
    <m/>
    <n v="1"/>
    <n v="12395"/>
    <n v="32000"/>
    <n v="7909"/>
    <n v="7909"/>
    <n v="4486"/>
    <n v="7210"/>
    <n v="42"/>
    <s v="Female"/>
    <s v="Instagram"/>
    <s v="Polaris"/>
    <s v="YES"/>
    <n v="0"/>
    <x v="0"/>
  </r>
  <r>
    <x v="57"/>
    <x v="24"/>
    <x v="3"/>
    <x v="1"/>
    <s v="Dark pink"/>
    <n v="12395"/>
    <m/>
    <n v="1"/>
    <n v="12395"/>
    <m/>
    <n v="7909"/>
    <n v="7909"/>
    <n v="4486"/>
    <n v="0"/>
    <n v="42"/>
    <s v="Female"/>
    <s v="Instagram"/>
    <s v="Polaris"/>
    <s v="YES"/>
    <n v="0"/>
    <x v="1"/>
  </r>
  <r>
    <x v="58"/>
    <x v="25"/>
    <x v="4"/>
    <x v="1"/>
    <s v="Light brown"/>
    <n v="12395"/>
    <m/>
    <n v="1"/>
    <n v="12395"/>
    <n v="13500"/>
    <n v="7909"/>
    <n v="7909"/>
    <n v="4486"/>
    <n v="1105"/>
    <n v="40"/>
    <s v="Female"/>
    <s v="Instagram"/>
    <s v="Polaris"/>
    <s v="YES"/>
    <n v="0"/>
    <x v="0"/>
  </r>
  <r>
    <x v="59"/>
    <x v="26"/>
    <x v="0"/>
    <x v="6"/>
    <s v="Black"/>
    <n v="20500"/>
    <m/>
    <n v="1"/>
    <n v="20500"/>
    <n v="14500"/>
    <n v="17339"/>
    <n v="17339"/>
    <n v="3161"/>
    <n v="-6000"/>
    <n v="41"/>
    <s v="Female"/>
    <s v="Instagram"/>
    <s v="Providus"/>
    <s v="YES"/>
    <n v="0"/>
    <x v="2"/>
  </r>
  <r>
    <x v="60"/>
    <x v="26"/>
    <x v="0"/>
    <x v="4"/>
    <s v="Combo colors"/>
    <n v="22728"/>
    <m/>
    <n v="1"/>
    <n v="22728"/>
    <n v="14500"/>
    <n v="20451"/>
    <n v="20451"/>
    <n v="2277"/>
    <n v="-8228"/>
    <n v="40"/>
    <s v="Female"/>
    <s v="Instagram"/>
    <s v="Polaris"/>
    <s v="YES"/>
    <n v="0"/>
    <x v="2"/>
  </r>
  <r>
    <x v="61"/>
    <x v="26"/>
    <x v="0"/>
    <x v="8"/>
    <s v="Combo colors"/>
    <n v="9838"/>
    <m/>
    <n v="1"/>
    <n v="9838"/>
    <m/>
    <n v="6687"/>
    <n v="6687"/>
    <n v="3151"/>
    <n v="0"/>
    <n v="40"/>
    <s v="Female"/>
    <s v="Instagram"/>
    <s v="Polaris"/>
    <s v="YES"/>
    <n v="0"/>
    <x v="1"/>
  </r>
  <r>
    <x v="61"/>
    <x v="26"/>
    <x v="0"/>
    <x v="8"/>
    <s v="White"/>
    <n v="9838"/>
    <m/>
    <n v="1"/>
    <n v="9838"/>
    <m/>
    <n v="6687"/>
    <n v="6687"/>
    <n v="3151"/>
    <n v="0"/>
    <n v="40"/>
    <s v="Female"/>
    <s v="Instagram"/>
    <s v="Polaris"/>
    <s v="YES"/>
    <n v="0"/>
    <x v="1"/>
  </r>
  <r>
    <x v="61"/>
    <x v="26"/>
    <x v="0"/>
    <x v="4"/>
    <s v="Navy blue"/>
    <n v="22728"/>
    <m/>
    <n v="1"/>
    <n v="22728"/>
    <m/>
    <n v="20451"/>
    <n v="20451"/>
    <n v="2277"/>
    <n v="0"/>
    <n v="40"/>
    <s v="Female"/>
    <s v="Instagram"/>
    <s v="Polaris"/>
    <s v="YES"/>
    <n v="0"/>
    <x v="1"/>
  </r>
  <r>
    <x v="61"/>
    <x v="26"/>
    <x v="0"/>
    <x v="6"/>
    <s v="Black"/>
    <n v="20500"/>
    <m/>
    <n v="1"/>
    <n v="20500"/>
    <m/>
    <n v="17339"/>
    <n v="17339"/>
    <n v="3161"/>
    <n v="0"/>
    <n v="40"/>
    <s v="Female"/>
    <s v="Instagram"/>
    <s v="Polaris"/>
    <s v="YES"/>
    <n v="0"/>
    <x v="1"/>
  </r>
  <r>
    <x v="61"/>
    <x v="26"/>
    <x v="0"/>
    <x v="1"/>
    <s v="Sky blue"/>
    <n v="12395"/>
    <m/>
    <n v="1"/>
    <n v="12395"/>
    <m/>
    <n v="7909"/>
    <n v="7909"/>
    <n v="4486"/>
    <n v="0"/>
    <n v="40"/>
    <s v="Female"/>
    <s v="Instagram"/>
    <s v="Polaris"/>
    <s v="YES"/>
    <n v="0"/>
    <x v="1"/>
  </r>
  <r>
    <x v="61"/>
    <x v="26"/>
    <x v="0"/>
    <x v="0"/>
    <s v="Royal blue"/>
    <n v="14975"/>
    <m/>
    <n v="1"/>
    <n v="14975"/>
    <m/>
    <n v="10813"/>
    <n v="10813"/>
    <n v="4162"/>
    <n v="0"/>
    <n v="40"/>
    <s v="Female"/>
    <s v="Instagram"/>
    <s v="Polaris"/>
    <s v="YES"/>
    <n v="0"/>
    <x v="1"/>
  </r>
  <r>
    <x v="61"/>
    <x v="26"/>
    <x v="0"/>
    <x v="5"/>
    <s v="Red"/>
    <n v="17614"/>
    <m/>
    <n v="1"/>
    <n v="17614"/>
    <m/>
    <n v="14912"/>
    <n v="14912"/>
    <n v="2702"/>
    <n v="0"/>
    <n v="40"/>
    <s v="Female"/>
    <s v="Instagram"/>
    <s v="Polaris"/>
    <s v="YES"/>
    <n v="0"/>
    <x v="1"/>
  </r>
  <r>
    <x v="61"/>
    <x v="26"/>
    <x v="0"/>
    <x v="13"/>
    <s v="Red"/>
    <n v="12107"/>
    <m/>
    <n v="1"/>
    <n v="12107"/>
    <m/>
    <n v="9752"/>
    <n v="9752"/>
    <n v="2355"/>
    <n v="0"/>
    <n v="40"/>
    <s v="Female"/>
    <s v="Instagram"/>
    <s v="Polaris"/>
    <s v="YES"/>
    <n v="0"/>
    <x v="1"/>
  </r>
  <r>
    <x v="61"/>
    <x v="26"/>
    <x v="0"/>
    <x v="16"/>
    <s v="Black"/>
    <n v="20502"/>
    <m/>
    <n v="1"/>
    <n v="20502"/>
    <m/>
    <n v="18239"/>
    <n v="18239"/>
    <n v="2263"/>
    <n v="0"/>
    <n v="40"/>
    <s v="Female"/>
    <s v="Instagram"/>
    <s v="Polaris"/>
    <s v="YES"/>
    <n v="0"/>
    <x v="1"/>
  </r>
  <r>
    <x v="62"/>
    <x v="27"/>
    <x v="0"/>
    <x v="6"/>
    <s v="Red"/>
    <n v="20500"/>
    <m/>
    <n v="1"/>
    <n v="20500"/>
    <n v="18000"/>
    <n v="17339"/>
    <n v="17339"/>
    <n v="3161"/>
    <n v="-2500"/>
    <n v="42"/>
    <s v="Female"/>
    <s v="Instagram"/>
    <s v="Providus"/>
    <s v="YES"/>
    <n v="0"/>
    <x v="2"/>
  </r>
  <r>
    <x v="63"/>
    <x v="28"/>
    <x v="9"/>
    <x v="17"/>
    <s v="Dark brown"/>
    <n v="22517"/>
    <m/>
    <n v="1"/>
    <n v="22517"/>
    <n v="67187"/>
    <n v="18931"/>
    <n v="18931"/>
    <n v="3586"/>
    <n v="-21075"/>
    <n v="42"/>
    <s v="Female"/>
    <s v="Website"/>
    <s v="Providus"/>
    <s v="YES"/>
    <n v="0"/>
    <x v="2"/>
  </r>
  <r>
    <x v="63"/>
    <x v="29"/>
    <x v="9"/>
    <x v="4"/>
    <s v="Sky blue"/>
    <n v="22728"/>
    <m/>
    <n v="1"/>
    <n v="22728"/>
    <m/>
    <n v="20451"/>
    <n v="20451"/>
    <n v="2277"/>
    <n v="0"/>
    <n v="42"/>
    <s v="Female"/>
    <s v="Website"/>
    <s v="Providus"/>
    <s v="YES"/>
    <n v="0"/>
    <x v="1"/>
  </r>
  <r>
    <x v="63"/>
    <x v="29"/>
    <x v="9"/>
    <x v="6"/>
    <s v="Orange"/>
    <n v="20500"/>
    <m/>
    <n v="1"/>
    <n v="20500"/>
    <m/>
    <n v="17339"/>
    <n v="17339"/>
    <n v="3161"/>
    <n v="0"/>
    <n v="42"/>
    <s v="Female"/>
    <s v="Website"/>
    <s v="Providus"/>
    <s v="YES"/>
    <n v="0"/>
    <x v="1"/>
  </r>
  <r>
    <x v="63"/>
    <x v="29"/>
    <x v="9"/>
    <x v="17"/>
    <s v="Dark brown"/>
    <n v="22517"/>
    <m/>
    <n v="1"/>
    <n v="22517"/>
    <m/>
    <n v="18931"/>
    <n v="18931"/>
    <n v="3586"/>
    <n v="0"/>
    <n v="42"/>
    <s v="Female"/>
    <s v="Website"/>
    <s v="Providus"/>
    <s v="YES"/>
    <n v="0"/>
    <x v="1"/>
  </r>
  <r>
    <x v="64"/>
    <x v="28"/>
    <x v="0"/>
    <x v="10"/>
    <s v="Black Metallic"/>
    <n v="10509"/>
    <m/>
    <n v="1"/>
    <n v="10509"/>
    <n v="32250"/>
    <n v="7573"/>
    <n v="7573"/>
    <n v="2936"/>
    <n v="21741"/>
    <n v="38"/>
    <s v="Female"/>
    <s v="Website"/>
    <s v="Providus"/>
    <s v="YES"/>
    <n v="0"/>
    <x v="0"/>
  </r>
  <r>
    <x v="65"/>
    <x v="26"/>
    <x v="6"/>
    <x v="1"/>
    <s v="Combo colors"/>
    <n v="12395"/>
    <m/>
    <n v="1"/>
    <n v="12395"/>
    <n v="19000"/>
    <n v="7909"/>
    <n v="7909"/>
    <n v="4486"/>
    <n v="6605"/>
    <n v="40"/>
    <s v="Female"/>
    <s v="Instagram"/>
    <s v="Providus"/>
    <s v="YES"/>
    <n v="0"/>
    <x v="0"/>
  </r>
  <r>
    <x v="66"/>
    <x v="29"/>
    <x v="0"/>
    <x v="1"/>
    <s v="Light brown"/>
    <n v="12395"/>
    <m/>
    <n v="1"/>
    <n v="12395"/>
    <n v="33000"/>
    <n v="7909"/>
    <n v="7909"/>
    <n v="4486"/>
    <n v="2991"/>
    <n v="42"/>
    <s v="Female"/>
    <s v="Instagram"/>
    <s v="Polaris"/>
    <s v="YES"/>
    <n v="0"/>
    <x v="0"/>
  </r>
  <r>
    <x v="66"/>
    <x v="29"/>
    <x v="0"/>
    <x v="5"/>
    <s v="Yellow"/>
    <n v="17614"/>
    <m/>
    <n v="1"/>
    <n v="17614"/>
    <m/>
    <n v="14912"/>
    <n v="14912"/>
    <n v="2702"/>
    <n v="0"/>
    <n v="42"/>
    <s v="Female"/>
    <s v="Instagram"/>
    <s v="Polaris"/>
    <s v="YES"/>
    <n v="0"/>
    <x v="1"/>
  </r>
  <r>
    <x v="67"/>
    <x v="28"/>
    <x v="0"/>
    <x v="6"/>
    <s v="Combo colors"/>
    <n v="20500"/>
    <m/>
    <n v="1"/>
    <n v="20500"/>
    <n v="32500"/>
    <n v="17339"/>
    <n v="17339"/>
    <n v="3161"/>
    <n v="-5614"/>
    <n v="42"/>
    <s v="Female"/>
    <s v="Instagram"/>
    <s v="Providus"/>
    <s v="YES"/>
    <n v="0"/>
    <x v="2"/>
  </r>
  <r>
    <x v="67"/>
    <x v="28"/>
    <x v="0"/>
    <x v="5"/>
    <s v="Black"/>
    <n v="17614"/>
    <m/>
    <n v="1"/>
    <n v="17614"/>
    <m/>
    <n v="14912"/>
    <n v="14912"/>
    <n v="2702"/>
    <n v="0"/>
    <n v="42"/>
    <s v="Female"/>
    <s v="Instagram"/>
    <s v="Providus"/>
    <s v="YES"/>
    <n v="0"/>
    <x v="1"/>
  </r>
  <r>
    <x v="68"/>
    <x v="28"/>
    <x v="0"/>
    <x v="4"/>
    <s v="Dark brown"/>
    <n v="22728"/>
    <m/>
    <n v="1"/>
    <n v="22728"/>
    <n v="32000"/>
    <n v="20451"/>
    <n v="20451"/>
    <n v="2277"/>
    <n v="-5932"/>
    <n v="43"/>
    <s v="Female"/>
    <s v="Instagram"/>
    <s v="Polaris"/>
    <s v="YES"/>
    <n v="0"/>
    <x v="2"/>
  </r>
  <r>
    <x v="68"/>
    <x v="28"/>
    <x v="0"/>
    <x v="15"/>
    <s v="Red"/>
    <n v="15204"/>
    <m/>
    <n v="1"/>
    <n v="15204"/>
    <m/>
    <n v="12537"/>
    <n v="12537"/>
    <n v="2667"/>
    <n v="0"/>
    <n v="43"/>
    <s v="Female"/>
    <s v="Instagram"/>
    <s v="Polaris"/>
    <s v="YES"/>
    <n v="0"/>
    <x v="1"/>
  </r>
  <r>
    <x v="69"/>
    <x v="30"/>
    <x v="0"/>
    <x v="1"/>
    <s v="Combo colors"/>
    <n v="12395"/>
    <m/>
    <n v="1"/>
    <n v="12395"/>
    <n v="16000"/>
    <n v="7909"/>
    <n v="7909"/>
    <n v="4486"/>
    <n v="3605"/>
    <n v="40"/>
    <s v="Female"/>
    <s v="Instagram"/>
    <s v="Polaris"/>
    <s v="YES"/>
    <n v="0"/>
    <x v="0"/>
  </r>
  <r>
    <x v="70"/>
    <x v="30"/>
    <x v="0"/>
    <x v="6"/>
    <s v="Wine"/>
    <n v="20500"/>
    <m/>
    <n v="1"/>
    <n v="20500"/>
    <n v="14500"/>
    <n v="17339"/>
    <n v="17339"/>
    <n v="3161"/>
    <n v="-6000"/>
    <n v="40"/>
    <s v="Female"/>
    <s v="Instagram"/>
    <s v="Providus"/>
    <s v="YES"/>
    <n v="0"/>
    <x v="2"/>
  </r>
  <r>
    <x v="71"/>
    <x v="30"/>
    <x v="0"/>
    <x v="11"/>
    <s v="Navy blue"/>
    <n v="14873"/>
    <m/>
    <n v="1"/>
    <n v="14873"/>
    <n v="51062.5"/>
    <n v="11503"/>
    <n v="11503"/>
    <n v="3370"/>
    <n v="5887.5"/>
    <n v="41"/>
    <s v="Female"/>
    <s v="Website"/>
    <s v="Providus"/>
    <s v="YES"/>
    <n v="0"/>
    <x v="0"/>
  </r>
  <r>
    <x v="71"/>
    <x v="30"/>
    <x v="0"/>
    <x v="7"/>
    <s v="Dark brown"/>
    <n v="11007"/>
    <m/>
    <n v="1"/>
    <n v="11007"/>
    <m/>
    <n v="8327"/>
    <n v="8327"/>
    <n v="2680"/>
    <n v="0"/>
    <n v="41"/>
    <s v="Female"/>
    <s v="Website"/>
    <s v="Providus"/>
    <s v="YES"/>
    <n v="0"/>
    <x v="1"/>
  </r>
  <r>
    <x v="71"/>
    <x v="30"/>
    <x v="0"/>
    <x v="2"/>
    <s v="Green"/>
    <n v="19295"/>
    <m/>
    <n v="1"/>
    <n v="19295"/>
    <m/>
    <n v="16705"/>
    <n v="16705"/>
    <n v="2590"/>
    <n v="0"/>
    <n v="41"/>
    <s v="Female"/>
    <s v="Website"/>
    <s v="Providus"/>
    <s v="YES"/>
    <n v="0"/>
    <x v="1"/>
  </r>
  <r>
    <x v="72"/>
    <x v="30"/>
    <x v="0"/>
    <x v="1"/>
    <s v="Red"/>
    <n v="12395"/>
    <m/>
    <n v="1"/>
    <n v="12395"/>
    <n v="13500"/>
    <n v="7909"/>
    <n v="7909"/>
    <n v="4486"/>
    <n v="1105"/>
    <n v="38"/>
    <s v="Female"/>
    <s v="Instagram"/>
    <s v="Providus"/>
    <s v="YES"/>
    <n v="0"/>
    <x v="0"/>
  </r>
  <r>
    <x v="73"/>
    <x v="30"/>
    <x v="0"/>
    <x v="6"/>
    <s v="Wine"/>
    <n v="20500"/>
    <m/>
    <n v="1"/>
    <n v="20500"/>
    <n v="31000"/>
    <n v="17339"/>
    <n v="17339"/>
    <n v="3161"/>
    <n v="-10000"/>
    <n v="45"/>
    <s v="Female"/>
    <s v="Instagram"/>
    <s v="Providus"/>
    <s v="YES"/>
    <n v="0"/>
    <x v="2"/>
  </r>
  <r>
    <x v="73"/>
    <x v="30"/>
    <x v="0"/>
    <x v="6"/>
    <s v="Wine"/>
    <n v="20500"/>
    <m/>
    <n v="1"/>
    <n v="20500"/>
    <m/>
    <n v="17339"/>
    <n v="17339"/>
    <n v="3161"/>
    <n v="0"/>
    <n v="45"/>
    <s v="Female"/>
    <s v="Instagram"/>
    <s v="Providus"/>
    <s v="YES"/>
    <n v="0"/>
    <x v="1"/>
  </r>
  <r>
    <x v="74"/>
    <x v="30"/>
    <x v="0"/>
    <x v="1"/>
    <s v="Orange"/>
    <n v="12395"/>
    <m/>
    <n v="1"/>
    <n v="12395"/>
    <n v="14000"/>
    <n v="7909"/>
    <n v="7909"/>
    <n v="4486"/>
    <n v="1605"/>
    <n v="43"/>
    <s v="Female"/>
    <s v="Instagram"/>
    <s v="Polaris"/>
    <s v="YES"/>
    <n v="0"/>
    <x v="0"/>
  </r>
  <r>
    <x v="75"/>
    <x v="31"/>
    <x v="0"/>
    <x v="1"/>
    <s v="Combo colors"/>
    <n v="12395"/>
    <m/>
    <n v="1"/>
    <n v="12395"/>
    <n v="33000"/>
    <n v="7909"/>
    <n v="7909"/>
    <n v="4486"/>
    <n v="8210"/>
    <n v="39"/>
    <s v="Female"/>
    <s v="Instagram"/>
    <s v="Providus"/>
    <s v="YES"/>
    <n v="0"/>
    <x v="0"/>
  </r>
  <r>
    <x v="75"/>
    <x v="31"/>
    <x v="0"/>
    <x v="1"/>
    <s v="Combo colors"/>
    <n v="12395"/>
    <m/>
    <n v="1"/>
    <n v="12395"/>
    <m/>
    <n v="7909"/>
    <n v="7909"/>
    <n v="4486"/>
    <n v="0"/>
    <n v="40"/>
    <s v="Female"/>
    <s v="Instagram"/>
    <s v="Providus"/>
    <s v="YES"/>
    <n v="0"/>
    <x v="1"/>
  </r>
  <r>
    <x v="76"/>
    <x v="31"/>
    <x v="0"/>
    <x v="10"/>
    <s v="Combo colors"/>
    <n v="10509"/>
    <m/>
    <n v="1"/>
    <n v="10509"/>
    <n v="17550"/>
    <n v="7573"/>
    <n v="7573"/>
    <n v="2936"/>
    <n v="7041"/>
    <n v="40"/>
    <s v="Female"/>
    <s v="Website"/>
    <s v="Providus"/>
    <s v="YES"/>
    <n v="0"/>
    <x v="0"/>
  </r>
  <r>
    <x v="77"/>
    <x v="32"/>
    <x v="0"/>
    <x v="1"/>
    <s v="Combo colors"/>
    <n v="12395"/>
    <m/>
    <n v="1"/>
    <n v="12395"/>
    <n v="17500"/>
    <n v="7909"/>
    <n v="7909"/>
    <n v="4486"/>
    <n v="5105"/>
    <n v="39"/>
    <s v="Female"/>
    <s v="Instagram"/>
    <s v="Providus"/>
    <s v="YES"/>
    <n v="0"/>
    <x v="0"/>
  </r>
  <r>
    <x v="78"/>
    <x v="32"/>
    <x v="10"/>
    <x v="1"/>
    <s v="Combo colors"/>
    <n v="12395"/>
    <m/>
    <n v="1"/>
    <n v="12395"/>
    <n v="18500"/>
    <n v="7909"/>
    <n v="7909"/>
    <n v="4486"/>
    <n v="6105"/>
    <n v="39"/>
    <s v="Female"/>
    <s v="Instagram"/>
    <s v="Providus"/>
    <s v="YES"/>
    <n v="0"/>
    <x v="0"/>
  </r>
  <r>
    <x v="79"/>
    <x v="33"/>
    <x v="0"/>
    <x v="10"/>
    <s v="Combo colors"/>
    <n v="10509"/>
    <m/>
    <n v="1"/>
    <n v="10509"/>
    <n v="15050"/>
    <n v="7573"/>
    <n v="7573"/>
    <n v="2936"/>
    <n v="4541"/>
    <n v="40"/>
    <s v="Female"/>
    <s v="Website"/>
    <s v="Providus"/>
    <s v="YES"/>
    <n v="0"/>
    <x v="0"/>
  </r>
  <r>
    <x v="80"/>
    <x v="34"/>
    <x v="0"/>
    <x v="10"/>
    <s v="Combo colors"/>
    <n v="10509"/>
    <m/>
    <n v="1"/>
    <n v="10509"/>
    <n v="17550"/>
    <n v="7573"/>
    <n v="7573"/>
    <n v="2936"/>
    <n v="7041"/>
    <n v="40"/>
    <s v="Female"/>
    <s v="Website"/>
    <s v="Providus"/>
    <s v="YES"/>
    <n v="0"/>
    <x v="0"/>
  </r>
  <r>
    <x v="81"/>
    <x v="34"/>
    <x v="11"/>
    <x v="6"/>
    <s v="Wine"/>
    <n v="20500"/>
    <m/>
    <n v="1"/>
    <n v="20500"/>
    <n v="19000"/>
    <n v="17339"/>
    <n v="17339"/>
    <n v="3161"/>
    <n v="-1500"/>
    <n v="39"/>
    <s v="Female"/>
    <s v="Instagram"/>
    <s v="Wema"/>
    <s v="YES"/>
    <n v="0"/>
    <x v="2"/>
  </r>
  <r>
    <x v="82"/>
    <x v="34"/>
    <x v="7"/>
    <x v="1"/>
    <s v="Combo colors"/>
    <n v="12395"/>
    <m/>
    <n v="1"/>
    <n v="12395"/>
    <n v="82000"/>
    <n v="7909"/>
    <n v="7909"/>
    <n v="4486"/>
    <n v="730"/>
    <n v="39"/>
    <s v="Female"/>
    <s v="Instagram"/>
    <s v="Polaris"/>
    <s v="YES"/>
    <n v="0"/>
    <x v="0"/>
  </r>
  <r>
    <x v="82"/>
    <x v="34"/>
    <x v="7"/>
    <x v="1"/>
    <s v="Combo colors"/>
    <n v="12395"/>
    <m/>
    <n v="1"/>
    <n v="12395"/>
    <m/>
    <n v="7909"/>
    <n v="7909"/>
    <n v="4486"/>
    <n v="0"/>
    <n v="39"/>
    <s v="Female"/>
    <s v="Instagram"/>
    <s v="Polaris"/>
    <s v="YES"/>
    <n v="0"/>
    <x v="1"/>
  </r>
  <r>
    <x v="82"/>
    <x v="34"/>
    <x v="7"/>
    <x v="2"/>
    <s v="Combo colors"/>
    <n v="19295"/>
    <m/>
    <n v="1"/>
    <n v="19295"/>
    <m/>
    <n v="16705"/>
    <n v="16705"/>
    <n v="2590"/>
    <n v="0"/>
    <n v="39"/>
    <s v="Female"/>
    <s v="Instagram"/>
    <s v="Polaris"/>
    <s v="YES"/>
    <n v="0"/>
    <x v="1"/>
  </r>
  <r>
    <x v="82"/>
    <x v="34"/>
    <x v="7"/>
    <x v="1"/>
    <s v="Combo colors"/>
    <n v="12395"/>
    <m/>
    <n v="1"/>
    <n v="12395"/>
    <m/>
    <n v="7909"/>
    <n v="7909"/>
    <n v="4486"/>
    <n v="0"/>
    <n v="41"/>
    <s v="Female"/>
    <s v="Instagram"/>
    <s v="Polaris"/>
    <s v="YES"/>
    <n v="0"/>
    <x v="1"/>
  </r>
  <r>
    <x v="82"/>
    <x v="34"/>
    <x v="7"/>
    <x v="1"/>
    <s v="Navy blue"/>
    <n v="12395"/>
    <m/>
    <n v="1"/>
    <n v="12395"/>
    <m/>
    <n v="7909"/>
    <n v="7909"/>
    <n v="4486"/>
    <n v="0"/>
    <n v="39"/>
    <s v="Female"/>
    <s v="Instagram"/>
    <s v="Polaris"/>
    <s v="YES"/>
    <n v="0"/>
    <x v="1"/>
  </r>
  <r>
    <x v="82"/>
    <x v="34"/>
    <x v="7"/>
    <x v="1"/>
    <s v="Sky blue"/>
    <n v="12395"/>
    <m/>
    <n v="1"/>
    <n v="12395"/>
    <m/>
    <n v="7909"/>
    <n v="7909"/>
    <n v="4486"/>
    <n v="0"/>
    <n v="39"/>
    <s v="Female"/>
    <s v="Instagram"/>
    <s v="Polaris"/>
    <s v="YES"/>
    <n v="0"/>
    <x v="1"/>
  </r>
  <r>
    <x v="83"/>
    <x v="35"/>
    <x v="5"/>
    <x v="4"/>
    <s v="Black"/>
    <n v="22728"/>
    <m/>
    <n v="1"/>
    <n v="22728"/>
    <n v="28500"/>
    <n v="20451"/>
    <n v="20451"/>
    <n v="2277"/>
    <n v="-4737"/>
    <n v="39"/>
    <s v="Female"/>
    <s v="Instagram"/>
    <s v="Polaris"/>
    <s v="YES"/>
    <n v="0"/>
    <x v="2"/>
  </r>
  <r>
    <x v="83"/>
    <x v="35"/>
    <x v="5"/>
    <x v="10"/>
    <s v="Combo colors"/>
    <n v="10509"/>
    <m/>
    <n v="1"/>
    <n v="10509"/>
    <m/>
    <n v="7573"/>
    <n v="7573"/>
    <n v="2936"/>
    <n v="0"/>
    <n v="39"/>
    <s v="Female"/>
    <s v="Instagram"/>
    <s v="Polaris"/>
    <s v="YES"/>
    <n v="0"/>
    <x v="1"/>
  </r>
  <r>
    <x v="84"/>
    <x v="35"/>
    <x v="0"/>
    <x v="6"/>
    <s v="Wine"/>
    <n v="20500"/>
    <m/>
    <n v="1"/>
    <n v="20500"/>
    <n v="17500"/>
    <n v="17339"/>
    <n v="17339"/>
    <n v="3161"/>
    <n v="-3000"/>
    <n v="39"/>
    <s v="Female"/>
    <s v="Instagram"/>
    <s v="Polaris"/>
    <s v="YES"/>
    <n v="0"/>
    <x v="2"/>
  </r>
  <r>
    <x v="85"/>
    <x v="35"/>
    <x v="0"/>
    <x v="1"/>
    <s v="Combo colors"/>
    <n v="12395"/>
    <m/>
    <n v="1"/>
    <n v="12395"/>
    <n v="17000"/>
    <n v="7909"/>
    <n v="7909"/>
    <n v="4486"/>
    <n v="4605"/>
    <n v="40"/>
    <s v="Female"/>
    <s v="Instagram"/>
    <s v="Polaris"/>
    <s v="YES"/>
    <n v="0"/>
    <x v="0"/>
  </r>
  <r>
    <x v="86"/>
    <x v="36"/>
    <x v="1"/>
    <x v="18"/>
    <s v="Combo colors"/>
    <n v="18661"/>
    <m/>
    <n v="1"/>
    <n v="18661"/>
    <n v="34606"/>
    <n v="13922"/>
    <n v="13922"/>
    <n v="4739"/>
    <n v="15945"/>
    <n v="39"/>
    <s v="Female"/>
    <s v="Instagram"/>
    <s v="Providus"/>
    <s v="YES"/>
    <n v="0"/>
    <x v="0"/>
  </r>
  <r>
    <x v="87"/>
    <x v="36"/>
    <x v="1"/>
    <x v="19"/>
    <s v="Combo colors"/>
    <n v="22433"/>
    <m/>
    <n v="1"/>
    <n v="22433"/>
    <n v="34606"/>
    <n v="17880"/>
    <n v="17880"/>
    <n v="4553"/>
    <n v="12173"/>
    <n v="39"/>
    <s v="Female"/>
    <s v="Instagram"/>
    <s v="Providus"/>
    <s v="YES"/>
    <n v="0"/>
    <x v="0"/>
  </r>
  <r>
    <x v="88"/>
    <x v="37"/>
    <x v="0"/>
    <x v="12"/>
    <s v="Green"/>
    <n v="18539"/>
    <m/>
    <n v="1"/>
    <n v="18539"/>
    <n v="29025"/>
    <n v="15497"/>
    <n v="15497"/>
    <n v="3042"/>
    <n v="10486"/>
    <n v="41"/>
    <s v="Female"/>
    <s v="Website"/>
    <s v="Providus"/>
    <s v="YES"/>
    <n v="0"/>
    <x v="0"/>
  </r>
  <r>
    <x v="89"/>
    <x v="37"/>
    <x v="0"/>
    <x v="10"/>
    <s v="Combo colors"/>
    <n v="10509"/>
    <m/>
    <n v="1"/>
    <n v="10509"/>
    <n v="29025"/>
    <n v="7573"/>
    <n v="7573"/>
    <n v="2936"/>
    <n v="18516"/>
    <n v="41"/>
    <s v="Female"/>
    <s v="Website"/>
    <s v="Providus"/>
    <s v="YES"/>
    <n v="0"/>
    <x v="0"/>
  </r>
  <r>
    <x v="90"/>
    <x v="37"/>
    <x v="0"/>
    <x v="1"/>
    <s v="Combo colors"/>
    <n v="12395"/>
    <m/>
    <n v="1"/>
    <n v="12395"/>
    <n v="16500"/>
    <n v="7909"/>
    <n v="7909"/>
    <n v="4486"/>
    <n v="4105"/>
    <n v="40"/>
    <s v="Female"/>
    <s v="Instagram"/>
    <s v="Polaris"/>
    <s v="YES"/>
    <n v="0"/>
    <x v="0"/>
  </r>
  <r>
    <x v="91"/>
    <x v="37"/>
    <x v="0"/>
    <x v="1"/>
    <s v="Combo colors"/>
    <n v="12395"/>
    <m/>
    <n v="1"/>
    <n v="12395"/>
    <n v="105000"/>
    <n v="7909"/>
    <n v="7909"/>
    <n v="4486"/>
    <n v="92605"/>
    <n v="40"/>
    <s v="Female"/>
    <s v="Instagram"/>
    <s v="Polaris"/>
    <s v="YES"/>
    <n v="0"/>
    <x v="0"/>
  </r>
  <r>
    <x v="92"/>
    <x v="38"/>
    <x v="0"/>
    <x v="1"/>
    <s v="Combo"/>
    <n v="12395"/>
    <m/>
    <n v="1"/>
    <n v="12395"/>
    <m/>
    <n v="7909"/>
    <n v="7909"/>
    <n v="4486"/>
    <n v="0"/>
    <n v="41"/>
    <s v="Female"/>
    <s v="Instagram"/>
    <s v="Polaris"/>
    <s v="YES"/>
    <n v="0"/>
    <x v="1"/>
  </r>
  <r>
    <x v="93"/>
    <x v="38"/>
    <x v="0"/>
    <x v="1"/>
    <s v="Combo colors"/>
    <n v="12395"/>
    <m/>
    <n v="1"/>
    <n v="12395"/>
    <n v="16500"/>
    <n v="7909"/>
    <n v="7909"/>
    <n v="4486"/>
    <n v="4105"/>
    <n v="40"/>
    <s v="Female"/>
    <s v="Instagram"/>
    <s v="Providus"/>
    <s v="YES"/>
    <n v="0"/>
    <x v="0"/>
  </r>
  <r>
    <x v="94"/>
    <x v="39"/>
    <x v="0"/>
    <x v="1"/>
    <s v="Combo colors"/>
    <n v="12395"/>
    <m/>
    <n v="1"/>
    <n v="12395"/>
    <n v="16000"/>
    <n v="7909"/>
    <n v="7909"/>
    <n v="4486"/>
    <n v="3605"/>
    <n v="40"/>
    <s v="Female"/>
    <s v="Instagram"/>
    <s v="Polaris"/>
    <s v="YES"/>
    <n v="0"/>
    <x v="0"/>
  </r>
  <r>
    <x v="95"/>
    <x v="40"/>
    <x v="0"/>
    <x v="1"/>
    <s v="Combo colors"/>
    <n v="12395"/>
    <m/>
    <n v="1"/>
    <n v="12395"/>
    <n v="16500"/>
    <n v="7909"/>
    <n v="7909"/>
    <n v="4486"/>
    <n v="4105"/>
    <n v="40"/>
    <s v="Female"/>
    <s v="Instagram"/>
    <s v="Providus"/>
    <s v="YES"/>
    <n v="0"/>
    <x v="0"/>
  </r>
  <r>
    <x v="96"/>
    <x v="40"/>
    <x v="0"/>
    <x v="17"/>
    <s v="Orange"/>
    <n v="22517"/>
    <m/>
    <n v="1"/>
    <n v="22517"/>
    <n v="30000"/>
    <n v="18931"/>
    <n v="18931"/>
    <n v="3586"/>
    <n v="-7390"/>
    <n v="41"/>
    <s v="Female"/>
    <s v="Instagram"/>
    <s v="Providus"/>
    <s v="YES"/>
    <n v="0"/>
    <x v="2"/>
  </r>
  <r>
    <x v="96"/>
    <x v="40"/>
    <x v="0"/>
    <x v="11"/>
    <s v="Orange"/>
    <n v="14873"/>
    <m/>
    <n v="1"/>
    <n v="14873"/>
    <m/>
    <n v="11503"/>
    <n v="11503"/>
    <n v="3370"/>
    <n v="0"/>
    <n v="41"/>
    <s v="Female"/>
    <s v="Instagram"/>
    <s v="Providus"/>
    <s v="YES"/>
    <n v="0"/>
    <x v="1"/>
  </r>
  <r>
    <x v="97"/>
    <x v="40"/>
    <x v="0"/>
    <x v="1"/>
    <s v="Light Grey "/>
    <n v="12395"/>
    <m/>
    <n v="1"/>
    <n v="12395"/>
    <n v="14000"/>
    <n v="7909"/>
    <n v="7909"/>
    <n v="4486"/>
    <n v="1605"/>
    <n v="41"/>
    <s v="Female"/>
    <s v="Instagram"/>
    <s v="Providus"/>
    <s v="YES"/>
    <n v="0"/>
    <x v="0"/>
  </r>
  <r>
    <x v="98"/>
    <x v="40"/>
    <x v="0"/>
    <x v="13"/>
    <s v="Light Grey "/>
    <n v="12107"/>
    <m/>
    <n v="1"/>
    <n v="12107"/>
    <n v="32000"/>
    <n v="9752"/>
    <n v="9752"/>
    <n v="2355"/>
    <n v="7498"/>
    <n v="40"/>
    <s v="Female"/>
    <s v="Instagram"/>
    <s v="Providus"/>
    <s v="YES"/>
    <n v="0"/>
    <x v="0"/>
  </r>
  <r>
    <x v="98"/>
    <x v="40"/>
    <x v="0"/>
    <x v="1"/>
    <s v="Green"/>
    <n v="12395"/>
    <m/>
    <n v="1"/>
    <n v="12395"/>
    <m/>
    <n v="7909"/>
    <n v="7909"/>
    <n v="4486"/>
    <n v="0"/>
    <n v="40"/>
    <s v="Female"/>
    <s v="Instagram"/>
    <s v="Providus"/>
    <s v="YES"/>
    <n v="0"/>
    <x v="1"/>
  </r>
  <r>
    <x v="99"/>
    <x v="40"/>
    <x v="0"/>
    <x v="8"/>
    <s v="Dark pink"/>
    <n v="9838"/>
    <m/>
    <n v="1"/>
    <n v="9838"/>
    <n v="17500"/>
    <n v="6687"/>
    <n v="6687"/>
    <n v="3151"/>
    <n v="7662"/>
    <n v="39"/>
    <s v="Female"/>
    <s v="Instagram"/>
    <s v="Providus"/>
    <s v="YES"/>
    <n v="0"/>
    <x v="0"/>
  </r>
  <r>
    <x v="100"/>
    <x v="41"/>
    <x v="0"/>
    <x v="1"/>
    <s v="Black"/>
    <n v="12395"/>
    <m/>
    <n v="1"/>
    <n v="12395"/>
    <n v="32500"/>
    <n v="7909"/>
    <n v="7909"/>
    <n v="4486"/>
    <n v="7710"/>
    <n v="42"/>
    <s v="Female"/>
    <s v="Instagram"/>
    <s v="Providus"/>
    <s v="YES"/>
    <n v="0"/>
    <x v="0"/>
  </r>
  <r>
    <x v="100"/>
    <x v="41"/>
    <x v="0"/>
    <x v="1"/>
    <s v="Navy blue"/>
    <n v="12395"/>
    <m/>
    <n v="1"/>
    <n v="12395"/>
    <m/>
    <n v="7909"/>
    <n v="7909"/>
    <n v="4486"/>
    <n v="0"/>
    <n v="42"/>
    <s v="Female"/>
    <s v="Instagram"/>
    <s v="Providus"/>
    <s v="YES"/>
    <n v="0"/>
    <x v="1"/>
  </r>
  <r>
    <x v="101"/>
    <x v="41"/>
    <x v="6"/>
    <x v="4"/>
    <s v="Navy blue"/>
    <n v="22728"/>
    <m/>
    <n v="1"/>
    <n v="22728"/>
    <n v="48950"/>
    <n v="20451"/>
    <n v="20451"/>
    <n v="2277"/>
    <n v="-4787"/>
    <n v="39"/>
    <s v="Female"/>
    <s v="Instagram"/>
    <s v="Providus"/>
    <s v="YES"/>
    <n v="0"/>
    <x v="2"/>
  </r>
  <r>
    <x v="101"/>
    <x v="41"/>
    <x v="6"/>
    <x v="6"/>
    <s v="Wine"/>
    <n v="20500"/>
    <m/>
    <n v="1"/>
    <n v="20500"/>
    <m/>
    <n v="17339"/>
    <n v="17339"/>
    <n v="3161"/>
    <n v="0"/>
    <n v="39"/>
    <s v="Female"/>
    <s v="Instagram"/>
    <s v="Providus"/>
    <s v="YES"/>
    <n v="0"/>
    <x v="1"/>
  </r>
  <r>
    <x v="101"/>
    <x v="41"/>
    <x v="6"/>
    <x v="10"/>
    <s v="Black"/>
    <n v="10509"/>
    <m/>
    <n v="1"/>
    <n v="10509"/>
    <m/>
    <n v="7573"/>
    <n v="7573"/>
    <n v="2936"/>
    <n v="0"/>
    <n v="39"/>
    <s v="Female"/>
    <s v="Instagram"/>
    <s v="Providus"/>
    <s v="YES"/>
    <n v="0"/>
    <x v="1"/>
  </r>
  <r>
    <x v="102"/>
    <x v="41"/>
    <x v="9"/>
    <x v="8"/>
    <s v="Dark pink"/>
    <n v="9838"/>
    <m/>
    <n v="1"/>
    <n v="9838"/>
    <n v="19450"/>
    <n v="6687"/>
    <n v="6687"/>
    <n v="3151"/>
    <n v="9612"/>
    <n v="41"/>
    <s v="Female"/>
    <s v="Instagram"/>
    <s v="Providus"/>
    <s v="YES"/>
    <n v="0"/>
    <x v="0"/>
  </r>
  <r>
    <x v="103"/>
    <x v="41"/>
    <x v="9"/>
    <x v="6"/>
    <s v="Combo colors"/>
    <n v="20500"/>
    <m/>
    <n v="1"/>
    <n v="20500"/>
    <n v="29000"/>
    <n v="17339"/>
    <n v="17339"/>
    <n v="3161"/>
    <n v="-2507"/>
    <n v="42"/>
    <s v="Female"/>
    <s v="Instagram"/>
    <s v="Wema"/>
    <s v="YES"/>
    <n v="0"/>
    <x v="2"/>
  </r>
  <r>
    <x v="103"/>
    <x v="41"/>
    <x v="9"/>
    <x v="7"/>
    <s v="Orange"/>
    <n v="11007"/>
    <m/>
    <n v="1"/>
    <n v="11007"/>
    <m/>
    <n v="8327"/>
    <n v="8327"/>
    <n v="2680"/>
    <n v="0"/>
    <n v="42"/>
    <s v="Female"/>
    <s v="Instagram"/>
    <s v="Wema"/>
    <s v="YES"/>
    <n v="0"/>
    <x v="1"/>
  </r>
  <r>
    <x v="104"/>
    <x v="41"/>
    <x v="0"/>
    <x v="1"/>
    <s v="Combo colors"/>
    <n v="12395"/>
    <m/>
    <n v="1"/>
    <n v="12395"/>
    <n v="18000"/>
    <n v="7909"/>
    <n v="7909"/>
    <n v="4486"/>
    <n v="5605"/>
    <n v="40"/>
    <s v="Female"/>
    <s v="Instagram"/>
    <s v="Polaris"/>
    <s v="YES"/>
    <n v="0"/>
    <x v="0"/>
  </r>
  <r>
    <x v="105"/>
    <x v="41"/>
    <x v="0"/>
    <x v="8"/>
    <s v="Dark pink"/>
    <n v="9838"/>
    <m/>
    <n v="1"/>
    <n v="9838"/>
    <n v="17500"/>
    <n v="6687"/>
    <n v="6687"/>
    <n v="3151"/>
    <n v="7662"/>
    <n v="41"/>
    <s v="Female"/>
    <s v="Instagram"/>
    <s v="Providus"/>
    <s v="YES"/>
    <n v="0"/>
    <x v="0"/>
  </r>
  <r>
    <x v="106"/>
    <x v="42"/>
    <x v="0"/>
    <x v="8"/>
    <s v="Light Grey "/>
    <n v="9838"/>
    <m/>
    <n v="1"/>
    <n v="9838"/>
    <n v="28000"/>
    <n v="6687"/>
    <n v="6687"/>
    <n v="3151"/>
    <n v="-2338"/>
    <n v="39"/>
    <s v="Female"/>
    <s v="Instagram"/>
    <s v="Providus"/>
    <s v="YES"/>
    <n v="0"/>
    <x v="2"/>
  </r>
  <r>
    <x v="106"/>
    <x v="42"/>
    <x v="0"/>
    <x v="6"/>
    <s v="Wine"/>
    <n v="20500"/>
    <m/>
    <n v="1"/>
    <n v="20500"/>
    <m/>
    <n v="17339"/>
    <n v="17339"/>
    <n v="3161"/>
    <n v="0"/>
    <n v="39"/>
    <s v="Female"/>
    <s v="Instagram"/>
    <s v="Providus"/>
    <s v="YES"/>
    <n v="0"/>
    <x v="1"/>
  </r>
  <r>
    <x v="107"/>
    <x v="43"/>
    <x v="0"/>
    <x v="13"/>
    <s v="Light brown"/>
    <n v="12107"/>
    <m/>
    <n v="1"/>
    <n v="12107"/>
    <n v="43000"/>
    <n v="9752"/>
    <n v="9752"/>
    <n v="2355"/>
    <n v="-4582"/>
    <n v="40"/>
    <s v="Female"/>
    <s v="Instagram"/>
    <s v="Providus"/>
    <s v="YES"/>
    <n v="0"/>
    <x v="2"/>
  </r>
  <r>
    <x v="107"/>
    <x v="43"/>
    <x v="0"/>
    <x v="6"/>
    <s v="Wine"/>
    <n v="20500"/>
    <m/>
    <n v="1"/>
    <n v="20500"/>
    <m/>
    <n v="17339"/>
    <n v="17339"/>
    <n v="3161"/>
    <n v="0"/>
    <n v="40"/>
    <s v="Female"/>
    <s v="Instagram"/>
    <s v="Providus"/>
    <s v="YES"/>
    <n v="0"/>
    <x v="1"/>
  </r>
  <r>
    <x v="107"/>
    <x v="43"/>
    <x v="0"/>
    <x v="0"/>
    <s v="Light brown"/>
    <n v="14975"/>
    <m/>
    <n v="1"/>
    <n v="14975"/>
    <m/>
    <n v="10813"/>
    <n v="10813"/>
    <n v="4162"/>
    <n v="0"/>
    <n v="40"/>
    <s v="Female"/>
    <s v="Instagram"/>
    <s v="Providus"/>
    <s v="YES"/>
    <n v="0"/>
    <x v="1"/>
  </r>
  <r>
    <x v="108"/>
    <x v="43"/>
    <x v="7"/>
    <x v="10"/>
    <s v="Green"/>
    <n v="10509"/>
    <m/>
    <n v="1"/>
    <n v="10509"/>
    <n v="36012"/>
    <n v="7573"/>
    <n v="7573"/>
    <n v="2936"/>
    <n v="13108"/>
    <n v="39"/>
    <s v="Female"/>
    <s v="Instagram"/>
    <s v="Polaris"/>
    <s v="YES"/>
    <n v="0"/>
    <x v="0"/>
  </r>
  <r>
    <x v="108"/>
    <x v="43"/>
    <x v="7"/>
    <x v="1"/>
    <s v="Black"/>
    <n v="12395"/>
    <m/>
    <n v="1"/>
    <n v="12395"/>
    <m/>
    <n v="7909"/>
    <n v="7909"/>
    <n v="4486"/>
    <n v="0"/>
    <n v="39"/>
    <s v="Female"/>
    <s v="Instagram"/>
    <s v="Polaris"/>
    <s v="YES"/>
    <n v="0"/>
    <x v="1"/>
  </r>
  <r>
    <x v="109"/>
    <x v="43"/>
    <x v="0"/>
    <x v="1"/>
    <s v="Dark brown"/>
    <n v="12395"/>
    <m/>
    <n v="1"/>
    <n v="12395"/>
    <n v="33137.5"/>
    <n v="7909"/>
    <n v="7909"/>
    <n v="4486"/>
    <n v="8347.5"/>
    <n v="39"/>
    <s v="Female"/>
    <s v="Instagram"/>
    <s v="Polaris"/>
    <s v="YES"/>
    <n v="0"/>
    <x v="0"/>
  </r>
  <r>
    <x v="109"/>
    <x v="43"/>
    <x v="0"/>
    <x v="1"/>
    <s v="Dark brown"/>
    <n v="12395"/>
    <m/>
    <n v="1"/>
    <n v="12395"/>
    <m/>
    <n v="7909"/>
    <n v="7909"/>
    <n v="4486"/>
    <n v="0"/>
    <n v="39"/>
    <s v="Female"/>
    <s v="Instagram"/>
    <s v="Polaris"/>
    <s v="YES"/>
    <n v="0"/>
    <x v="1"/>
  </r>
  <r>
    <x v="110"/>
    <x v="43"/>
    <x v="8"/>
    <x v="17"/>
    <s v="Dark brown"/>
    <n v="22517"/>
    <m/>
    <n v="1"/>
    <n v="22517"/>
    <n v="28000"/>
    <n v="18931"/>
    <n v="18931"/>
    <n v="3586"/>
    <n v="5483"/>
    <n v="44"/>
    <s v="Female"/>
    <s v="Whatsapp"/>
    <s v="Providus"/>
    <s v="YES"/>
    <n v="0"/>
    <x v="0"/>
  </r>
  <r>
    <x v="111"/>
    <x v="43"/>
    <x v="0"/>
    <x v="7"/>
    <s v="Red"/>
    <n v="11007"/>
    <m/>
    <n v="1"/>
    <n v="11007"/>
    <n v="17000"/>
    <n v="8327"/>
    <n v="8327"/>
    <n v="2680"/>
    <n v="5993"/>
    <n v="41"/>
    <s v="Female"/>
    <s v="Instagram"/>
    <s v="Providus"/>
    <s v="YES"/>
    <n v="0"/>
    <x v="0"/>
  </r>
  <r>
    <x v="112"/>
    <x v="43"/>
    <x v="0"/>
    <x v="4"/>
    <s v="Black"/>
    <n v="22728"/>
    <m/>
    <n v="1"/>
    <n v="22728"/>
    <n v="14500"/>
    <n v="20451"/>
    <n v="20451"/>
    <n v="2277"/>
    <n v="-8228"/>
    <n v="39"/>
    <s v="Female"/>
    <s v="Whatsapp"/>
    <s v="Providus"/>
    <s v="YES"/>
    <n v="0"/>
    <x v="2"/>
  </r>
  <r>
    <x v="113"/>
    <x v="43"/>
    <x v="0"/>
    <x v="6"/>
    <s v="Light Grey "/>
    <n v="20500"/>
    <m/>
    <n v="1"/>
    <n v="20500"/>
    <n v="40000"/>
    <n v="17339"/>
    <n v="17339"/>
    <n v="3161"/>
    <n v="-2733"/>
    <n v="38"/>
    <s v="Female"/>
    <s v="Instagram"/>
    <s v="Polaris"/>
    <s v="YES"/>
    <n v="0"/>
    <x v="2"/>
  </r>
  <r>
    <x v="113"/>
    <x v="43"/>
    <x v="0"/>
    <x v="8"/>
    <s v="Light pink"/>
    <n v="9838"/>
    <m/>
    <n v="1"/>
    <n v="9838"/>
    <m/>
    <n v="6687"/>
    <n v="6687"/>
    <n v="3151"/>
    <n v="0"/>
    <n v="38"/>
    <s v="Female"/>
    <s v="Instagram"/>
    <s v="Polaris"/>
    <s v="YES"/>
    <n v="0"/>
    <x v="1"/>
  </r>
  <r>
    <x v="113"/>
    <x v="43"/>
    <x v="0"/>
    <x v="1"/>
    <s v="Army green"/>
    <n v="12395"/>
    <m/>
    <n v="1"/>
    <n v="12395"/>
    <m/>
    <n v="7909"/>
    <n v="7909"/>
    <n v="4486"/>
    <n v="0"/>
    <n v="38"/>
    <s v="Female"/>
    <s v="Instagram"/>
    <s v="Polaris"/>
    <s v="YES"/>
    <n v="0"/>
    <x v="1"/>
  </r>
  <r>
    <x v="114"/>
    <x v="44"/>
    <x v="0"/>
    <x v="4"/>
    <s v="Combo colors"/>
    <n v="22728"/>
    <m/>
    <n v="1"/>
    <n v="22728"/>
    <n v="17500"/>
    <n v="20451"/>
    <n v="20451"/>
    <n v="2277"/>
    <n v="-5228"/>
    <n v="40"/>
    <s v="Female"/>
    <s v="Instagram"/>
    <s v="Polaris"/>
    <s v="YES"/>
    <n v="0"/>
    <x v="2"/>
  </r>
  <r>
    <x v="115"/>
    <x v="45"/>
    <x v="0"/>
    <x v="6"/>
    <s v="Silver Metallic"/>
    <n v="20500"/>
    <m/>
    <n v="1"/>
    <n v="20500"/>
    <n v="19000"/>
    <n v="17339"/>
    <n v="17339"/>
    <n v="3161"/>
    <n v="-1500"/>
    <n v="43"/>
    <s v="Female"/>
    <s v="Physical"/>
    <s v="Providus"/>
    <s v="YES"/>
    <n v="0"/>
    <x v="2"/>
  </r>
  <r>
    <x v="116"/>
    <x v="45"/>
    <x v="0"/>
    <x v="6"/>
    <s v="Red"/>
    <n v="20500"/>
    <m/>
    <n v="1"/>
    <n v="20500"/>
    <n v="29500"/>
    <n v="17339"/>
    <n v="17339"/>
    <n v="3161"/>
    <n v="-13728"/>
    <n v="40"/>
    <s v="Female"/>
    <s v="Instagram"/>
    <s v="Polaris"/>
    <s v="YES"/>
    <n v="0"/>
    <x v="2"/>
  </r>
  <r>
    <x v="116"/>
    <x v="45"/>
    <x v="0"/>
    <x v="4"/>
    <s v="Dark brown"/>
    <n v="22728"/>
    <m/>
    <n v="1"/>
    <n v="22728"/>
    <m/>
    <n v="20451"/>
    <n v="20451"/>
    <n v="2277"/>
    <n v="0"/>
    <n v="40"/>
    <s v="Female"/>
    <s v="Instagram"/>
    <s v="Polaris"/>
    <s v="YES"/>
    <n v="0"/>
    <x v="1"/>
  </r>
  <r>
    <x v="117"/>
    <x v="46"/>
    <x v="0"/>
    <x v="1"/>
    <s v="Combo colors"/>
    <n v="12395"/>
    <m/>
    <n v="1"/>
    <n v="12395"/>
    <n v="33137"/>
    <n v="7909"/>
    <n v="7909"/>
    <n v="4486"/>
    <n v="8347"/>
    <n v="40"/>
    <s v="Female"/>
    <s v="Instagram"/>
    <s v="Providus"/>
    <s v="YES"/>
    <n v="0"/>
    <x v="0"/>
  </r>
  <r>
    <x v="117"/>
    <x v="46"/>
    <x v="0"/>
    <x v="1"/>
    <s v="Combo colors"/>
    <n v="12395"/>
    <m/>
    <n v="1"/>
    <n v="12395"/>
    <m/>
    <n v="7909"/>
    <n v="7909"/>
    <n v="4486"/>
    <n v="0"/>
    <n v="40"/>
    <s v="Female"/>
    <s v="Instagram"/>
    <s v="Providus"/>
    <s v="YES"/>
    <n v="0"/>
    <x v="1"/>
  </r>
  <r>
    <x v="118"/>
    <x v="43"/>
    <x v="0"/>
    <x v="1"/>
    <s v="Combo colors"/>
    <n v="12395"/>
    <m/>
    <n v="1"/>
    <n v="12395"/>
    <n v="14500"/>
    <n v="7909"/>
    <n v="7909"/>
    <n v="4486"/>
    <n v="2105"/>
    <n v="39"/>
    <s v="Female"/>
    <s v="Website"/>
    <s v="Providus"/>
    <s v="YES"/>
    <n v="0"/>
    <x v="0"/>
  </r>
  <r>
    <x v="119"/>
    <x v="47"/>
    <x v="7"/>
    <x v="7"/>
    <s v="Royal blue"/>
    <n v="11007"/>
    <m/>
    <n v="1"/>
    <n v="11007"/>
    <n v="34500"/>
    <n v="8327"/>
    <n v="8327"/>
    <n v="2680"/>
    <n v="12486"/>
    <n v="41"/>
    <s v="Female"/>
    <s v="Instagram"/>
    <s v="Providus"/>
    <s v="YES"/>
    <n v="0"/>
    <x v="0"/>
  </r>
  <r>
    <x v="119"/>
    <x v="47"/>
    <x v="7"/>
    <x v="7"/>
    <s v="Royal blue"/>
    <n v="11007"/>
    <m/>
    <n v="1"/>
    <n v="11007"/>
    <m/>
    <n v="8327"/>
    <n v="8327"/>
    <n v="2680"/>
    <n v="0"/>
    <n v="41"/>
    <s v="Female"/>
    <s v="Instagram"/>
    <s v="Providus"/>
    <s v="YES"/>
    <n v="0"/>
    <x v="1"/>
  </r>
  <r>
    <x v="120"/>
    <x v="47"/>
    <x v="0"/>
    <x v="6"/>
    <s v="Wine"/>
    <n v="20500"/>
    <m/>
    <n v="1"/>
    <n v="20500"/>
    <n v="15500"/>
    <n v="17339"/>
    <n v="17339"/>
    <n v="3161"/>
    <n v="-5000"/>
    <n v="39"/>
    <s v="Female"/>
    <s v="Instagram"/>
    <s v="Providus"/>
    <s v="YES"/>
    <n v="0"/>
    <x v="2"/>
  </r>
  <r>
    <x v="121"/>
    <x v="47"/>
    <x v="0"/>
    <x v="10"/>
    <s v="Combo colors"/>
    <n v="10509"/>
    <m/>
    <n v="1"/>
    <n v="10509"/>
    <n v="17550"/>
    <n v="7573"/>
    <n v="7573"/>
    <n v="2936"/>
    <n v="7041"/>
    <n v="41"/>
    <s v="Female"/>
    <s v="Website"/>
    <s v="Providus"/>
    <s v="YES"/>
    <n v="0"/>
    <x v="0"/>
  </r>
  <r>
    <x v="122"/>
    <x v="48"/>
    <x v="0"/>
    <x v="20"/>
    <s v="Combo colors"/>
    <n v="21405"/>
    <m/>
    <n v="1"/>
    <n v="21405"/>
    <n v="14500"/>
    <n v="17426"/>
    <n v="17426"/>
    <n v="3979"/>
    <n v="-6905"/>
    <n v="43"/>
    <s v="Female"/>
    <s v="Website"/>
    <s v="Providus"/>
    <s v="YES"/>
    <n v="0"/>
    <x v="2"/>
  </r>
  <r>
    <x v="123"/>
    <x v="49"/>
    <x v="0"/>
    <x v="2"/>
    <s v="Royal blue"/>
    <n v="19295"/>
    <m/>
    <n v="1"/>
    <n v="19295"/>
    <n v="29000"/>
    <n v="16705"/>
    <n v="16705"/>
    <n v="2590"/>
    <n v="-9590"/>
    <n v="41"/>
    <s v="Female"/>
    <s v="Instagram"/>
    <s v="Polaris"/>
    <s v="YES"/>
    <n v="0"/>
    <x v="2"/>
  </r>
  <r>
    <x v="123"/>
    <x v="49"/>
    <x v="0"/>
    <x v="2"/>
    <s v="Royal blue"/>
    <n v="19295"/>
    <m/>
    <n v="1"/>
    <n v="19295"/>
    <m/>
    <n v="16705"/>
    <n v="16705"/>
    <n v="2590"/>
    <n v="0"/>
    <n v="41"/>
    <s v="Female"/>
    <s v="Instagram"/>
    <s v="Polaris"/>
    <s v="YES"/>
    <n v="0"/>
    <x v="1"/>
  </r>
  <r>
    <x v="124"/>
    <x v="49"/>
    <x v="0"/>
    <x v="4"/>
    <s v="Green"/>
    <n v="22728"/>
    <m/>
    <n v="1"/>
    <n v="22728"/>
    <n v="32500"/>
    <n v="20451"/>
    <n v="20451"/>
    <n v="2277"/>
    <n v="-12956"/>
    <n v="39"/>
    <s v="Female"/>
    <s v="Instagram"/>
    <s v="Polaris"/>
    <s v="YES"/>
    <n v="0"/>
    <x v="2"/>
  </r>
  <r>
    <x v="124"/>
    <x v="49"/>
    <x v="0"/>
    <x v="4"/>
    <s v="Green"/>
    <n v="22728"/>
    <m/>
    <n v="1"/>
    <n v="22728"/>
    <m/>
    <n v="20451"/>
    <n v="20451"/>
    <n v="2277"/>
    <n v="0"/>
    <n v="39"/>
    <s v="Female"/>
    <s v="Instagram"/>
    <s v="Polaris"/>
    <s v="YES"/>
    <n v="0"/>
    <x v="1"/>
  </r>
  <r>
    <x v="125"/>
    <x v="49"/>
    <x v="0"/>
    <x v="4"/>
    <s v="Red"/>
    <n v="22728"/>
    <m/>
    <n v="1"/>
    <n v="22728"/>
    <n v="28000"/>
    <n v="20451"/>
    <n v="20451"/>
    <n v="2277"/>
    <n v="-17456"/>
    <n v="43"/>
    <s v="Female"/>
    <s v="Instagram"/>
    <s v="Providus"/>
    <s v="YES"/>
    <n v="0"/>
    <x v="2"/>
  </r>
  <r>
    <x v="125"/>
    <x v="49"/>
    <x v="0"/>
    <x v="4"/>
    <s v="Red"/>
    <n v="22728"/>
    <m/>
    <n v="1"/>
    <n v="22728"/>
    <m/>
    <n v="20451"/>
    <n v="20451"/>
    <n v="2277"/>
    <n v="0"/>
    <n v="43"/>
    <s v="Female"/>
    <s v="Instagram"/>
    <s v="Providus"/>
    <s v="YES"/>
    <n v="0"/>
    <x v="1"/>
  </r>
  <r>
    <x v="126"/>
    <x v="50"/>
    <x v="0"/>
    <x v="5"/>
    <s v="Red"/>
    <n v="17614"/>
    <m/>
    <n v="1"/>
    <n v="17614"/>
    <n v="46225"/>
    <n v="14912"/>
    <n v="14912"/>
    <n v="2702"/>
    <n v="-16845"/>
    <n v="43"/>
    <s v="Female"/>
    <s v="Website"/>
    <s v="Providus"/>
    <s v="YES"/>
    <n v="0"/>
    <x v="2"/>
  </r>
  <r>
    <x v="126"/>
    <x v="50"/>
    <x v="0"/>
    <x v="4"/>
    <s v="Combo colors"/>
    <n v="22728"/>
    <m/>
    <n v="1"/>
    <n v="22728"/>
    <m/>
    <n v="20451"/>
    <n v="20451"/>
    <n v="2277"/>
    <n v="0"/>
    <n v="43"/>
    <s v="Female"/>
    <s v="Website"/>
    <s v="Providus"/>
    <s v="YES"/>
    <n v="0"/>
    <x v="1"/>
  </r>
  <r>
    <x v="126"/>
    <x v="50"/>
    <x v="0"/>
    <x v="4"/>
    <s v="Combo colors"/>
    <n v="22728"/>
    <m/>
    <n v="1"/>
    <n v="22728"/>
    <m/>
    <n v="20451"/>
    <n v="20451"/>
    <n v="2277"/>
    <n v="0"/>
    <n v="43"/>
    <s v="Female"/>
    <s v="Website"/>
    <s v="Providus"/>
    <s v="YES"/>
    <n v="0"/>
    <x v="1"/>
  </r>
  <r>
    <x v="127"/>
    <x v="51"/>
    <x v="0"/>
    <x v="9"/>
    <s v="Light brown"/>
    <n v="10196"/>
    <m/>
    <n v="1"/>
    <n v="10196"/>
    <n v="19350"/>
    <n v="7050"/>
    <n v="7050"/>
    <n v="3146"/>
    <n v="9154"/>
    <n v="43"/>
    <s v="Female"/>
    <s v="Website"/>
    <s v="Providus"/>
    <s v="YES"/>
    <n v="0"/>
    <x v="0"/>
  </r>
  <r>
    <x v="128"/>
    <x v="51"/>
    <x v="0"/>
    <x v="8"/>
    <s v="Dark pink"/>
    <n v="9838"/>
    <m/>
    <n v="1"/>
    <n v="9838"/>
    <n v="30500"/>
    <n v="6687"/>
    <n v="6687"/>
    <n v="3151"/>
    <n v="10824"/>
    <n v="40"/>
    <s v="Female"/>
    <s v="Instagram"/>
    <s v="Polaris"/>
    <s v="YES"/>
    <n v="0"/>
    <x v="0"/>
  </r>
  <r>
    <x v="128"/>
    <x v="51"/>
    <x v="0"/>
    <x v="8"/>
    <s v="Dark pink"/>
    <n v="9838"/>
    <m/>
    <n v="1"/>
    <n v="9838"/>
    <m/>
    <n v="6687"/>
    <n v="6687"/>
    <n v="3151"/>
    <n v="0"/>
    <n v="40"/>
    <s v="Female"/>
    <s v="Instagram"/>
    <s v="Polaris"/>
    <s v="YES"/>
    <n v="0"/>
    <x v="1"/>
  </r>
  <r>
    <x v="129"/>
    <x v="51"/>
    <x v="0"/>
    <x v="7"/>
    <s v="Red"/>
    <n v="11007"/>
    <m/>
    <n v="1"/>
    <n v="11007"/>
    <n v="14500"/>
    <n v="8327"/>
    <n v="8327"/>
    <n v="2680"/>
    <n v="3493"/>
    <n v="41"/>
    <s v="Female"/>
    <s v="Instagram"/>
    <s v="Polaris"/>
    <s v="YES"/>
    <n v="0"/>
    <x v="0"/>
  </r>
  <r>
    <x v="130"/>
    <x v="52"/>
    <x v="7"/>
    <x v="6"/>
    <s v="Light brown"/>
    <n v="20500"/>
    <m/>
    <n v="1"/>
    <n v="20500"/>
    <n v="88000"/>
    <n v="17339"/>
    <n v="17339"/>
    <n v="3161"/>
    <n v="-2580"/>
    <n v="41"/>
    <s v="Female"/>
    <s v="Instagram"/>
    <s v="Polaris"/>
    <s v="YES"/>
    <n v="0"/>
    <x v="2"/>
  </r>
  <r>
    <x v="130"/>
    <x v="52"/>
    <x v="7"/>
    <x v="6"/>
    <s v="Light brown"/>
    <n v="20500"/>
    <m/>
    <n v="1"/>
    <n v="20500"/>
    <m/>
    <n v="17339"/>
    <n v="17339"/>
    <n v="3161"/>
    <n v="0"/>
    <n v="43"/>
    <s v="Female"/>
    <s v="Instagram"/>
    <s v="Polaris"/>
    <s v="YES"/>
    <n v="0"/>
    <x v="1"/>
  </r>
  <r>
    <x v="130"/>
    <x v="52"/>
    <x v="7"/>
    <x v="1"/>
    <s v="Combo colors"/>
    <n v="12395"/>
    <m/>
    <n v="1"/>
    <n v="12395"/>
    <m/>
    <n v="7909"/>
    <n v="7909"/>
    <n v="4486"/>
    <n v="0"/>
    <n v="43"/>
    <s v="Female"/>
    <s v="Instagram"/>
    <s v="Polaris"/>
    <s v="YES"/>
    <n v="0"/>
    <x v="1"/>
  </r>
  <r>
    <x v="130"/>
    <x v="52"/>
    <x v="7"/>
    <x v="1"/>
    <s v="Combo colors"/>
    <n v="12395"/>
    <m/>
    <n v="1"/>
    <n v="12395"/>
    <m/>
    <n v="7909"/>
    <n v="7909"/>
    <n v="4486"/>
    <n v="0"/>
    <n v="43"/>
    <s v="Female"/>
    <s v="Instagram"/>
    <s v="Polaris"/>
    <s v="YES"/>
    <n v="0"/>
    <x v="1"/>
  </r>
  <r>
    <x v="130"/>
    <x v="52"/>
    <x v="7"/>
    <x v="1"/>
    <s v="Combo colors"/>
    <n v="12395"/>
    <m/>
    <n v="1"/>
    <n v="12395"/>
    <m/>
    <n v="7909"/>
    <n v="7909"/>
    <n v="4486"/>
    <n v="0"/>
    <n v="41"/>
    <s v="Female"/>
    <s v="Instagram"/>
    <s v="Polaris"/>
    <s v="YES"/>
    <n v="0"/>
    <x v="1"/>
  </r>
  <r>
    <x v="130"/>
    <x v="52"/>
    <x v="7"/>
    <x v="1"/>
    <s v="Combo colors"/>
    <n v="12395"/>
    <m/>
    <n v="1"/>
    <n v="12395"/>
    <m/>
    <n v="7909"/>
    <n v="7909"/>
    <n v="4486"/>
    <n v="0"/>
    <n v="41"/>
    <s v="Female"/>
    <s v="Instagram"/>
    <s v="Polaris"/>
    <s v="YES"/>
    <n v="0"/>
    <x v="1"/>
  </r>
  <r>
    <x v="131"/>
    <x v="52"/>
    <x v="0"/>
    <x v="1"/>
    <s v="Dark pink"/>
    <n v="12395"/>
    <m/>
    <n v="1"/>
    <n v="12395"/>
    <n v="14512"/>
    <n v="7909"/>
    <n v="7909"/>
    <n v="4486"/>
    <n v="2117"/>
    <n v="43"/>
    <s v="Female"/>
    <s v="Website"/>
    <s v="Providus"/>
    <s v="YES"/>
    <n v="0"/>
    <x v="0"/>
  </r>
  <r>
    <x v="132"/>
    <x v="53"/>
    <x v="0"/>
    <x v="8"/>
    <s v="Light brown"/>
    <n v="9838"/>
    <m/>
    <n v="1"/>
    <n v="9838"/>
    <n v="18000"/>
    <n v="6687"/>
    <n v="6687"/>
    <n v="3151"/>
    <n v="8162"/>
    <n v="43"/>
    <s v="Female"/>
    <s v="Website"/>
    <s v="Providus"/>
    <s v="YES"/>
    <n v="0"/>
    <x v="0"/>
  </r>
  <r>
    <x v="133"/>
    <x v="54"/>
    <x v="7"/>
    <x v="8"/>
    <s v="Black"/>
    <n v="9838"/>
    <m/>
    <n v="1"/>
    <n v="9838"/>
    <n v="34000"/>
    <n v="6687"/>
    <n v="6687"/>
    <n v="3151"/>
    <n v="1434"/>
    <n v="40"/>
    <s v="Female"/>
    <s v="Instagram"/>
    <s v="Polaris"/>
    <s v="YES"/>
    <n v="0"/>
    <x v="0"/>
  </r>
  <r>
    <x v="133"/>
    <x v="54"/>
    <x v="7"/>
    <x v="4"/>
    <s v="Light brown"/>
    <n v="22728"/>
    <m/>
    <n v="1"/>
    <n v="22728"/>
    <m/>
    <n v="20451"/>
    <n v="20451"/>
    <n v="2277"/>
    <n v="0"/>
    <n v="40"/>
    <s v="Female"/>
    <s v="Instagram"/>
    <s v="Polaris"/>
    <s v="YES"/>
    <n v="0"/>
    <x v="1"/>
  </r>
  <r>
    <x v="134"/>
    <x v="53"/>
    <x v="0"/>
    <x v="6"/>
    <s v="Wine"/>
    <n v="20500"/>
    <m/>
    <n v="1"/>
    <n v="20500"/>
    <n v="14500"/>
    <n v="17339"/>
    <n v="17339"/>
    <n v="3161"/>
    <n v="-6000"/>
    <n v="40"/>
    <s v="Female"/>
    <s v="Whatsapp"/>
    <s v="Providus"/>
    <s v="YES"/>
    <n v="0"/>
    <x v="2"/>
  </r>
  <r>
    <x v="135"/>
    <x v="54"/>
    <x v="12"/>
    <x v="6"/>
    <s v="Wine"/>
    <n v="20500"/>
    <m/>
    <n v="1"/>
    <n v="20500"/>
    <n v="33000"/>
    <n v="17339"/>
    <n v="17339"/>
    <n v="3161"/>
    <n v="-12290"/>
    <n v="40"/>
    <s v="Female"/>
    <s v="Instagram"/>
    <s v="Polaris"/>
    <s v="YES"/>
    <n v="0"/>
    <x v="2"/>
  </r>
  <r>
    <x v="135"/>
    <x v="54"/>
    <x v="12"/>
    <x v="1"/>
    <s v="Light brown"/>
    <n v="12395"/>
    <m/>
    <n v="1"/>
    <n v="12395"/>
    <m/>
    <n v="7909"/>
    <n v="7909"/>
    <n v="4486"/>
    <n v="0"/>
    <n v="40"/>
    <s v="Female"/>
    <s v="Instagram"/>
    <s v="Polaris"/>
    <s v="YES"/>
    <n v="0"/>
    <x v="1"/>
  </r>
  <r>
    <x v="135"/>
    <x v="54"/>
    <x v="12"/>
    <x v="1"/>
    <s v="Light brown"/>
    <n v="12395"/>
    <m/>
    <n v="1"/>
    <n v="12395"/>
    <m/>
    <n v="7909"/>
    <n v="7909"/>
    <n v="4486"/>
    <n v="0"/>
    <n v="40"/>
    <s v="Female"/>
    <s v="Instagram"/>
    <s v="Polaris"/>
    <s v="YES"/>
    <n v="0"/>
    <x v="1"/>
  </r>
  <r>
    <x v="136"/>
    <x v="55"/>
    <x v="0"/>
    <x v="4"/>
    <s v="Navy blue"/>
    <n v="22728"/>
    <m/>
    <n v="1"/>
    <n v="22728"/>
    <n v="61500"/>
    <n v="20451"/>
    <n v="20451"/>
    <n v="2277"/>
    <n v="-11555"/>
    <n v="40"/>
    <s v="Female"/>
    <s v="Instagram"/>
    <s v="Providus"/>
    <s v="YES"/>
    <n v="0"/>
    <x v="2"/>
  </r>
  <r>
    <x v="136"/>
    <x v="55"/>
    <x v="0"/>
    <x v="15"/>
    <s v="Wine"/>
    <n v="15204"/>
    <m/>
    <n v="1"/>
    <n v="15204"/>
    <m/>
    <n v="12537"/>
    <n v="12537"/>
    <n v="2667"/>
    <n v="0"/>
    <n v="38"/>
    <s v="Female"/>
    <s v="Instagram"/>
    <s v="Providus"/>
    <s v="YES"/>
    <n v="0"/>
    <x v="1"/>
  </r>
  <r>
    <x v="136"/>
    <x v="55"/>
    <x v="0"/>
    <x v="1"/>
    <s v="Navy blue"/>
    <n v="12395"/>
    <m/>
    <n v="1"/>
    <n v="12395"/>
    <m/>
    <n v="7909"/>
    <n v="7909"/>
    <n v="4486"/>
    <n v="0"/>
    <n v="40"/>
    <s v="Female"/>
    <s v="Instagram"/>
    <s v="Providus"/>
    <s v="YES"/>
    <n v="0"/>
    <x v="1"/>
  </r>
  <r>
    <x v="136"/>
    <x v="55"/>
    <x v="0"/>
    <x v="4"/>
    <s v="Navy blue"/>
    <n v="22728"/>
    <m/>
    <n v="1"/>
    <n v="22728"/>
    <m/>
    <n v="20451"/>
    <n v="20451"/>
    <n v="2277"/>
    <n v="0"/>
    <n v="40"/>
    <s v="Female"/>
    <s v="Instagram"/>
    <s v="Providus"/>
    <s v="YES"/>
    <n v="0"/>
    <x v="1"/>
  </r>
  <r>
    <x v="137"/>
    <x v="54"/>
    <x v="10"/>
    <x v="1"/>
    <s v="Combo colors"/>
    <n v="12395"/>
    <m/>
    <n v="1"/>
    <n v="12395"/>
    <n v="32500"/>
    <n v="7909"/>
    <n v="7909"/>
    <n v="4486"/>
    <n v="7710"/>
    <n v="38"/>
    <s v="Female"/>
    <s v="Instagram"/>
    <s v="Providus"/>
    <s v="YES"/>
    <n v="0"/>
    <x v="0"/>
  </r>
  <r>
    <x v="137"/>
    <x v="54"/>
    <x v="10"/>
    <x v="1"/>
    <s v="Sky blue"/>
    <n v="12395"/>
    <m/>
    <n v="1"/>
    <n v="12395"/>
    <m/>
    <n v="7909"/>
    <n v="7909"/>
    <n v="4486"/>
    <n v="0"/>
    <n v="38"/>
    <s v="Female"/>
    <s v="Instagram"/>
    <s v="Providus"/>
    <s v="YES"/>
    <n v="0"/>
    <x v="1"/>
  </r>
  <r>
    <x v="138"/>
    <x v="54"/>
    <x v="0"/>
    <x v="15"/>
    <s v="Royal blue"/>
    <n v="15204"/>
    <m/>
    <n v="1"/>
    <n v="15204"/>
    <n v="157000"/>
    <n v="12537"/>
    <n v="12537"/>
    <n v="2667"/>
    <n v="22559"/>
    <n v="41"/>
    <s v="Female"/>
    <s v="Instagram"/>
    <s v="Polaris"/>
    <s v="YES"/>
    <n v="0"/>
    <x v="0"/>
  </r>
  <r>
    <x v="138"/>
    <x v="54"/>
    <x v="0"/>
    <x v="15"/>
    <s v="Royal blue"/>
    <n v="15204"/>
    <m/>
    <n v="1"/>
    <n v="15204"/>
    <m/>
    <n v="12537"/>
    <n v="12537"/>
    <n v="2667"/>
    <n v="0"/>
    <n v="42"/>
    <s v="Female"/>
    <s v="Instagram"/>
    <s v="Polaris"/>
    <s v="YES"/>
    <n v="0"/>
    <x v="1"/>
  </r>
  <r>
    <x v="138"/>
    <x v="54"/>
    <x v="0"/>
    <x v="2"/>
    <s v="Green"/>
    <n v="19295"/>
    <m/>
    <n v="1"/>
    <n v="19295"/>
    <m/>
    <n v="16705"/>
    <n v="16705"/>
    <n v="2590"/>
    <n v="0"/>
    <n v="42"/>
    <s v="Female"/>
    <s v="Instagram"/>
    <s v="Polaris"/>
    <s v="YES"/>
    <n v="0"/>
    <x v="1"/>
  </r>
  <r>
    <x v="138"/>
    <x v="54"/>
    <x v="0"/>
    <x v="11"/>
    <s v="Combo colors"/>
    <n v="14873"/>
    <m/>
    <n v="1"/>
    <n v="14873"/>
    <m/>
    <n v="11503"/>
    <n v="11503"/>
    <n v="3370"/>
    <n v="0"/>
    <n v="46"/>
    <s v="Female"/>
    <s v="Instagram"/>
    <s v="Polaris"/>
    <s v="YES"/>
    <n v="0"/>
    <x v="1"/>
  </r>
  <r>
    <x v="138"/>
    <x v="54"/>
    <x v="0"/>
    <x v="12"/>
    <s v="Black"/>
    <n v="18539"/>
    <m/>
    <n v="1"/>
    <n v="18539"/>
    <m/>
    <n v="15497"/>
    <n v="15497"/>
    <n v="3042"/>
    <n v="0"/>
    <n v="40"/>
    <s v="Female"/>
    <s v="Instagram"/>
    <s v="Polaris"/>
    <s v="YES"/>
    <n v="0"/>
    <x v="1"/>
  </r>
  <r>
    <x v="138"/>
    <x v="54"/>
    <x v="0"/>
    <x v="12"/>
    <s v="Black"/>
    <n v="18539"/>
    <m/>
    <n v="1"/>
    <n v="18539"/>
    <m/>
    <n v="15497"/>
    <n v="15497"/>
    <n v="3042"/>
    <n v="0"/>
    <n v="46"/>
    <s v="Female"/>
    <s v="Instagram"/>
    <s v="Polaris"/>
    <s v="YES"/>
    <n v="0"/>
    <x v="1"/>
  </r>
  <r>
    <x v="138"/>
    <x v="54"/>
    <x v="0"/>
    <x v="9"/>
    <s v="Black"/>
    <n v="10196"/>
    <m/>
    <n v="1"/>
    <n v="10196"/>
    <m/>
    <n v="7050"/>
    <n v="7050"/>
    <n v="3146"/>
    <n v="0"/>
    <n v="46"/>
    <s v="Female"/>
    <s v="Instagram"/>
    <s v="Polaris"/>
    <s v="YES"/>
    <n v="0"/>
    <x v="1"/>
  </r>
  <r>
    <x v="138"/>
    <x v="54"/>
    <x v="0"/>
    <x v="9"/>
    <s v="Royal blue"/>
    <n v="10196"/>
    <m/>
    <n v="1"/>
    <n v="10196"/>
    <m/>
    <n v="7050"/>
    <n v="7050"/>
    <n v="3146"/>
    <n v="0"/>
    <n v="46"/>
    <s v="Female"/>
    <s v="Instagram"/>
    <s v="Polaris"/>
    <s v="YES"/>
    <n v="0"/>
    <x v="1"/>
  </r>
  <r>
    <x v="138"/>
    <x v="54"/>
    <x v="0"/>
    <x v="1"/>
    <s v="Combo colors"/>
    <n v="12395"/>
    <m/>
    <n v="1"/>
    <n v="12395"/>
    <m/>
    <n v="7909"/>
    <n v="7909"/>
    <n v="4486"/>
    <n v="0"/>
    <n v="46"/>
    <s v="Female"/>
    <s v="Instagram"/>
    <s v="Polaris"/>
    <s v="YES"/>
    <n v="0"/>
    <x v="1"/>
  </r>
  <r>
    <x v="139"/>
    <x v="55"/>
    <x v="0"/>
    <x v="7"/>
    <s v="Orange"/>
    <n v="11007"/>
    <m/>
    <n v="1"/>
    <n v="11007"/>
    <n v="14500"/>
    <n v="8327"/>
    <n v="8327"/>
    <n v="2680"/>
    <n v="3493"/>
    <n v="40"/>
    <s v="Female"/>
    <s v="Instagram"/>
    <s v="Providus"/>
    <s v="YES"/>
    <n v="0"/>
    <x v="0"/>
  </r>
  <r>
    <x v="140"/>
    <x v="55"/>
    <x v="7"/>
    <x v="1"/>
    <s v="Light brown"/>
    <n v="12395"/>
    <m/>
    <n v="1"/>
    <n v="12395"/>
    <n v="34000"/>
    <n v="7909"/>
    <n v="7909"/>
    <n v="4486"/>
    <n v="1105"/>
    <n v="40"/>
    <s v="Female"/>
    <s v="Instagram"/>
    <s v="Polaris"/>
    <s v="YES"/>
    <n v="0"/>
    <x v="0"/>
  </r>
  <r>
    <x v="140"/>
    <x v="55"/>
    <x v="7"/>
    <x v="6"/>
    <s v="Wine"/>
    <n v="20500"/>
    <m/>
    <n v="1"/>
    <n v="20500"/>
    <m/>
    <n v="17339"/>
    <n v="17339"/>
    <n v="3161"/>
    <n v="0"/>
    <n v="40"/>
    <s v="Female"/>
    <s v="Instagram"/>
    <s v="Polaris"/>
    <s v="YES"/>
    <n v="0"/>
    <x v="1"/>
  </r>
  <r>
    <x v="141"/>
    <x v="55"/>
    <x v="0"/>
    <x v="1"/>
    <s v="Orange"/>
    <n v="12395"/>
    <m/>
    <n v="1"/>
    <n v="12395"/>
    <n v="28500"/>
    <n v="7909"/>
    <n v="7909"/>
    <n v="4486"/>
    <n v="-6623"/>
    <n v="43"/>
    <s v="Female"/>
    <s v="Instagram"/>
    <s v="Polaris"/>
    <s v="YES"/>
    <n v="0"/>
    <x v="2"/>
  </r>
  <r>
    <x v="141"/>
    <x v="55"/>
    <x v="0"/>
    <x v="4"/>
    <s v="Sky blue"/>
    <n v="22728"/>
    <m/>
    <n v="1"/>
    <n v="22728"/>
    <m/>
    <n v="20451"/>
    <n v="20451"/>
    <n v="2277"/>
    <n v="0"/>
    <n v="43"/>
    <s v="Female"/>
    <s v="Instagram"/>
    <s v="Polaris"/>
    <s v="YES"/>
    <n v="0"/>
    <x v="1"/>
  </r>
  <r>
    <x v="142"/>
    <x v="56"/>
    <x v="13"/>
    <x v="1"/>
    <s v="Light brown"/>
    <n v="12395"/>
    <m/>
    <n v="1"/>
    <n v="12395"/>
    <n v="91500"/>
    <n v="7909"/>
    <n v="7909"/>
    <n v="4486"/>
    <n v="-124"/>
    <n v="40"/>
    <s v="Female"/>
    <s v="Instagram"/>
    <s v="Polaris"/>
    <s v="YES"/>
    <n v="0"/>
    <x v="2"/>
  </r>
  <r>
    <x v="142"/>
    <x v="56"/>
    <x v="13"/>
    <x v="4"/>
    <s v="Navy blue"/>
    <n v="22728"/>
    <m/>
    <n v="1"/>
    <n v="22728"/>
    <m/>
    <n v="20451"/>
    <n v="20451"/>
    <n v="2277"/>
    <n v="0"/>
    <n v="40"/>
    <s v="Female"/>
    <s v="Instagram"/>
    <s v="Polaris"/>
    <s v="YES"/>
    <n v="0"/>
    <x v="1"/>
  </r>
  <r>
    <x v="142"/>
    <x v="56"/>
    <x v="13"/>
    <x v="1"/>
    <s v="Yellow"/>
    <n v="12395"/>
    <m/>
    <n v="1"/>
    <n v="12395"/>
    <m/>
    <n v="7909"/>
    <n v="7909"/>
    <n v="4486"/>
    <n v="0"/>
    <n v="40"/>
    <s v="Female"/>
    <s v="Instagram"/>
    <s v="Polaris"/>
    <s v="YES"/>
    <n v="0"/>
    <x v="1"/>
  </r>
  <r>
    <x v="142"/>
    <x v="56"/>
    <x v="13"/>
    <x v="5"/>
    <s v="Red"/>
    <n v="17614"/>
    <m/>
    <n v="1"/>
    <n v="17614"/>
    <m/>
    <n v="14912"/>
    <n v="14912"/>
    <n v="2702"/>
    <n v="0"/>
    <n v="40"/>
    <s v="Female"/>
    <s v="Instagram"/>
    <s v="Polaris"/>
    <s v="YES"/>
    <n v="0"/>
    <x v="1"/>
  </r>
  <r>
    <x v="142"/>
    <x v="56"/>
    <x v="13"/>
    <x v="1"/>
    <s v="Green"/>
    <n v="12395"/>
    <m/>
    <n v="1"/>
    <n v="12395"/>
    <m/>
    <n v="7909"/>
    <n v="7909"/>
    <n v="4486"/>
    <n v="0"/>
    <n v="40"/>
    <s v="Female"/>
    <s v="Instagram"/>
    <s v="Polaris"/>
    <s v="YES"/>
    <n v="0"/>
    <x v="1"/>
  </r>
  <r>
    <x v="142"/>
    <x v="56"/>
    <x v="13"/>
    <x v="21"/>
    <s v="Royal blue"/>
    <n v="14097"/>
    <m/>
    <n v="1"/>
    <n v="14097"/>
    <m/>
    <n v="9386"/>
    <n v="9386"/>
    <n v="4711"/>
    <n v="0"/>
    <n v="40"/>
    <s v="Female"/>
    <s v="Instagram"/>
    <s v="Polaris"/>
    <s v="YES"/>
    <n v="0"/>
    <x v="1"/>
  </r>
  <r>
    <x v="143"/>
    <x v="57"/>
    <x v="0"/>
    <x v="4"/>
    <s v="Light brown"/>
    <n v="22728"/>
    <m/>
    <n v="1"/>
    <n v="22728"/>
    <n v="14500"/>
    <n v="20451"/>
    <n v="20451"/>
    <n v="2277"/>
    <n v="-8228"/>
    <n v="43"/>
    <s v="Female"/>
    <s v="Whatsapp"/>
    <s v="Providus"/>
    <s v="YES"/>
    <n v="0"/>
    <x v="2"/>
  </r>
  <r>
    <x v="144"/>
    <x v="56"/>
    <x v="0"/>
    <x v="1"/>
    <s v="Light Grey "/>
    <n v="12395"/>
    <m/>
    <n v="1"/>
    <n v="12395"/>
    <n v="86700"/>
    <n v="7909"/>
    <n v="7909"/>
    <n v="4486"/>
    <n v="16275"/>
    <n v="41"/>
    <s v="Female"/>
    <s v="Instagram"/>
    <s v="Polaris"/>
    <s v="YES"/>
    <n v="0"/>
    <x v="0"/>
  </r>
  <r>
    <x v="144"/>
    <x v="56"/>
    <x v="0"/>
    <x v="1"/>
    <s v="Light brown"/>
    <n v="12395"/>
    <m/>
    <n v="1"/>
    <n v="12395"/>
    <m/>
    <n v="7909"/>
    <n v="7909"/>
    <n v="4486"/>
    <n v="0"/>
    <n v="41"/>
    <s v="Female"/>
    <s v="Instagram"/>
    <s v="Polaris"/>
    <s v="YES"/>
    <n v="0"/>
    <x v="1"/>
  </r>
  <r>
    <x v="144"/>
    <x v="56"/>
    <x v="0"/>
    <x v="1"/>
    <s v="Combo colors"/>
    <n v="12395"/>
    <m/>
    <n v="1"/>
    <n v="12395"/>
    <m/>
    <n v="7909"/>
    <n v="7909"/>
    <n v="4486"/>
    <n v="0"/>
    <n v="41"/>
    <s v="Female"/>
    <s v="Instagram"/>
    <s v="Polaris"/>
    <s v="YES"/>
    <n v="0"/>
    <x v="1"/>
  </r>
  <r>
    <x v="144"/>
    <x v="56"/>
    <x v="0"/>
    <x v="8"/>
    <s v="White"/>
    <n v="9838"/>
    <m/>
    <n v="1"/>
    <n v="9838"/>
    <m/>
    <n v="6687"/>
    <n v="6687"/>
    <n v="3151"/>
    <n v="0"/>
    <n v="41"/>
    <s v="Female"/>
    <s v="Instagram"/>
    <s v="Polaris"/>
    <s v="YES"/>
    <n v="0"/>
    <x v="1"/>
  </r>
  <r>
    <x v="144"/>
    <x v="56"/>
    <x v="0"/>
    <x v="7"/>
    <s v="Light Grey "/>
    <n v="11007"/>
    <m/>
    <n v="1"/>
    <n v="11007"/>
    <m/>
    <n v="8327"/>
    <n v="8327"/>
    <n v="2680"/>
    <n v="0"/>
    <n v="41"/>
    <s v="Female"/>
    <s v="Instagram"/>
    <s v="Polaris"/>
    <s v="YES"/>
    <n v="0"/>
    <x v="1"/>
  </r>
  <r>
    <x v="144"/>
    <x v="56"/>
    <x v="0"/>
    <x v="1"/>
    <s v="Peach"/>
    <n v="12395"/>
    <m/>
    <n v="1"/>
    <n v="12395"/>
    <m/>
    <n v="7909"/>
    <n v="7909"/>
    <n v="4486"/>
    <n v="0"/>
    <n v="41"/>
    <s v="Female"/>
    <s v="Instagram"/>
    <s v="Polaris"/>
    <s v="YES"/>
    <n v="0"/>
    <x v="1"/>
  </r>
  <r>
    <x v="145"/>
    <x v="57"/>
    <x v="0"/>
    <x v="1"/>
    <s v="Combo colors"/>
    <n v="12395"/>
    <m/>
    <n v="1"/>
    <n v="12395"/>
    <n v="168000"/>
    <n v="7909"/>
    <n v="7909"/>
    <n v="4486"/>
    <n v="-21098"/>
    <n v="39"/>
    <s v="Female"/>
    <s v="Instagram"/>
    <s v="Polaris"/>
    <s v="YES"/>
    <n v="0"/>
    <x v="2"/>
  </r>
  <r>
    <x v="145"/>
    <x v="57"/>
    <x v="0"/>
    <x v="1"/>
    <s v="Combo colors"/>
    <n v="12395"/>
    <m/>
    <n v="1"/>
    <n v="12395"/>
    <m/>
    <n v="7909"/>
    <n v="7909"/>
    <n v="4486"/>
    <n v="0"/>
    <n v="40"/>
    <s v="Female"/>
    <s v="Instagram"/>
    <s v="Polaris"/>
    <s v="YES"/>
    <n v="0"/>
    <x v="1"/>
  </r>
  <r>
    <x v="145"/>
    <x v="57"/>
    <x v="0"/>
    <x v="1"/>
    <s v="Black"/>
    <n v="12395"/>
    <m/>
    <n v="1"/>
    <n v="12395"/>
    <m/>
    <n v="7909"/>
    <n v="7909"/>
    <n v="4486"/>
    <n v="0"/>
    <n v="38"/>
    <s v="Female"/>
    <s v="Instagram"/>
    <s v="Polaris"/>
    <s v="YES"/>
    <n v="0"/>
    <x v="1"/>
  </r>
  <r>
    <x v="145"/>
    <x v="57"/>
    <x v="0"/>
    <x v="4"/>
    <s v="Lemon"/>
    <n v="22728"/>
    <m/>
    <n v="1"/>
    <n v="22728"/>
    <m/>
    <n v="20451"/>
    <n v="20451"/>
    <n v="2277"/>
    <n v="0"/>
    <n v="40"/>
    <s v="Female"/>
    <s v="Instagram"/>
    <s v="Polaris"/>
    <s v="YES"/>
    <n v="0"/>
    <x v="1"/>
  </r>
  <r>
    <x v="145"/>
    <x v="57"/>
    <x v="0"/>
    <x v="4"/>
    <s v="Yellow"/>
    <n v="22728"/>
    <m/>
    <n v="1"/>
    <n v="22728"/>
    <m/>
    <n v="20451"/>
    <n v="20451"/>
    <n v="2277"/>
    <n v="0"/>
    <n v="39"/>
    <s v="Female"/>
    <s v="Instagram"/>
    <s v="Polaris"/>
    <s v="YES"/>
    <n v="0"/>
    <x v="1"/>
  </r>
  <r>
    <x v="145"/>
    <x v="57"/>
    <x v="0"/>
    <x v="10"/>
    <s v="Dark brown"/>
    <n v="10509"/>
    <m/>
    <n v="1"/>
    <n v="10509"/>
    <m/>
    <n v="7573"/>
    <n v="7573"/>
    <n v="2936"/>
    <n v="0"/>
    <n v="41"/>
    <s v="Female"/>
    <s v="Instagram"/>
    <s v="Polaris"/>
    <s v="YES"/>
    <n v="0"/>
    <x v="1"/>
  </r>
  <r>
    <x v="145"/>
    <x v="57"/>
    <x v="0"/>
    <x v="8"/>
    <s v="Dark pink"/>
    <n v="9838"/>
    <m/>
    <n v="1"/>
    <n v="9838"/>
    <m/>
    <n v="6687"/>
    <n v="6687"/>
    <n v="3151"/>
    <n v="0"/>
    <n v="39"/>
    <s v="Female"/>
    <s v="Instagram"/>
    <s v="Polaris"/>
    <s v="YES"/>
    <n v="0"/>
    <x v="1"/>
  </r>
  <r>
    <x v="145"/>
    <x v="57"/>
    <x v="0"/>
    <x v="6"/>
    <s v="Wine"/>
    <n v="20500"/>
    <m/>
    <n v="1"/>
    <n v="20500"/>
    <m/>
    <n v="17339"/>
    <n v="17339"/>
    <n v="3161"/>
    <n v="0"/>
    <n v="41"/>
    <s v="Female"/>
    <s v="Instagram"/>
    <s v="Polaris"/>
    <s v="YES"/>
    <n v="0"/>
    <x v="1"/>
  </r>
  <r>
    <x v="145"/>
    <x v="57"/>
    <x v="0"/>
    <x v="21"/>
    <s v="Royal blue"/>
    <n v="14097"/>
    <m/>
    <n v="1"/>
    <n v="14097"/>
    <m/>
    <n v="9386"/>
    <n v="9386"/>
    <n v="4711"/>
    <n v="0"/>
    <n v="39"/>
    <s v="Female"/>
    <s v="Instagram"/>
    <s v="Polaris"/>
    <s v="YES"/>
    <n v="0"/>
    <x v="1"/>
  </r>
  <r>
    <x v="145"/>
    <x v="57"/>
    <x v="0"/>
    <x v="16"/>
    <s v="Combo colors"/>
    <n v="20502"/>
    <m/>
    <n v="1"/>
    <n v="20502"/>
    <m/>
    <n v="18239"/>
    <n v="18239"/>
    <n v="2263"/>
    <n v="0"/>
    <n v="38"/>
    <s v="Female"/>
    <s v="Instagram"/>
    <s v="Polaris"/>
    <s v="YES"/>
    <n v="0"/>
    <x v="1"/>
  </r>
  <r>
    <x v="145"/>
    <x v="57"/>
    <x v="0"/>
    <x v="16"/>
    <s v="Red"/>
    <n v="20502"/>
    <m/>
    <n v="1"/>
    <n v="20502"/>
    <m/>
    <n v="18239"/>
    <n v="18239"/>
    <n v="2263"/>
    <n v="0"/>
    <n v="40"/>
    <s v="Female"/>
    <s v="Instagram"/>
    <s v="Polaris"/>
    <s v="YES"/>
    <n v="0"/>
    <x v="1"/>
  </r>
  <r>
    <x v="145"/>
    <x v="57"/>
    <x v="0"/>
    <x v="10"/>
    <s v="Combo colors"/>
    <n v="10509"/>
    <m/>
    <n v="1"/>
    <n v="10509"/>
    <m/>
    <n v="7573"/>
    <n v="7573"/>
    <n v="2936"/>
    <n v="0"/>
    <n v="39"/>
    <s v="Female"/>
    <s v="Instagram"/>
    <s v="Polaris"/>
    <s v="YES"/>
    <n v="0"/>
    <x v="1"/>
  </r>
  <r>
    <x v="146"/>
    <x v="58"/>
    <x v="0"/>
    <x v="5"/>
    <s v="Red"/>
    <n v="17614"/>
    <m/>
    <n v="1"/>
    <n v="17614"/>
    <n v="14500"/>
    <n v="14912"/>
    <n v="14912"/>
    <n v="2702"/>
    <n v="-3114"/>
    <n v="37"/>
    <s v="Female"/>
    <s v="Instagram"/>
    <s v="Polaris"/>
    <s v="YES"/>
    <n v="0"/>
    <x v="2"/>
  </r>
  <r>
    <x v="147"/>
    <x v="58"/>
    <x v="0"/>
    <x v="16"/>
    <s v="Light Grey "/>
    <n v="20502"/>
    <m/>
    <n v="1"/>
    <n v="20502"/>
    <n v="14500"/>
    <n v="18239"/>
    <n v="18239"/>
    <n v="2263"/>
    <n v="-6002"/>
    <n v="40"/>
    <s v="Female"/>
    <s v="Instagram"/>
    <s v="Polaris"/>
    <s v="YES"/>
    <n v="0"/>
    <x v="2"/>
  </r>
  <r>
    <x v="148"/>
    <x v="59"/>
    <x v="0"/>
    <x v="1"/>
    <s v="Light Grey "/>
    <n v="12395"/>
    <m/>
    <n v="1"/>
    <n v="12395"/>
    <n v="46000"/>
    <n v="7909"/>
    <n v="7909"/>
    <n v="4486"/>
    <n v="708"/>
    <n v="38"/>
    <s v="Female"/>
    <s v="Instagram"/>
    <s v="Polaris"/>
    <s v="YES"/>
    <n v="0"/>
    <x v="0"/>
  </r>
  <r>
    <x v="148"/>
    <x v="59"/>
    <x v="0"/>
    <x v="1"/>
    <s v="Black"/>
    <n v="12395"/>
    <m/>
    <n v="1"/>
    <n v="12395"/>
    <m/>
    <n v="7909"/>
    <n v="7909"/>
    <n v="4486"/>
    <n v="0"/>
    <n v="39"/>
    <s v="Female"/>
    <s v="Instagram"/>
    <s v="Polaris"/>
    <s v="YES"/>
    <n v="0"/>
    <x v="1"/>
  </r>
  <r>
    <x v="148"/>
    <x v="59"/>
    <x v="0"/>
    <x v="16"/>
    <s v="Light Grey "/>
    <n v="20502"/>
    <m/>
    <n v="1"/>
    <n v="20502"/>
    <m/>
    <n v="18239"/>
    <n v="18239"/>
    <n v="2263"/>
    <n v="0"/>
    <n v="44"/>
    <s v="Male"/>
    <s v="Instagram"/>
    <s v="Polaris"/>
    <s v="YES"/>
    <n v="0"/>
    <x v="1"/>
  </r>
  <r>
    <x v="149"/>
    <x v="59"/>
    <x v="0"/>
    <x v="8"/>
    <s v="Dark pink"/>
    <n v="9838"/>
    <m/>
    <n v="1"/>
    <n v="9838"/>
    <n v="33137"/>
    <n v="6687"/>
    <n v="6687"/>
    <n v="3151"/>
    <n v="10904"/>
    <n v="40"/>
    <s v="Female"/>
    <s v="Website"/>
    <s v="Providus"/>
    <s v="YES"/>
    <n v="0"/>
    <x v="0"/>
  </r>
  <r>
    <x v="149"/>
    <x v="59"/>
    <x v="0"/>
    <x v="1"/>
    <s v="Wine"/>
    <n v="12395"/>
    <m/>
    <n v="1"/>
    <n v="12395"/>
    <m/>
    <n v="7909"/>
    <n v="7909"/>
    <n v="4486"/>
    <n v="0"/>
    <n v="40"/>
    <s v="Female"/>
    <s v="Website"/>
    <s v="Providus"/>
    <s v="YES"/>
    <n v="0"/>
    <x v="1"/>
  </r>
  <r>
    <x v="150"/>
    <x v="60"/>
    <x v="0"/>
    <x v="16"/>
    <s v="Light Grey "/>
    <n v="20502"/>
    <m/>
    <n v="1"/>
    <n v="20502"/>
    <n v="14500"/>
    <n v="18239"/>
    <n v="18239"/>
    <n v="2263"/>
    <n v="-6002"/>
    <n v="40"/>
    <s v="Female"/>
    <s v="Instagram"/>
    <s v="Polaris"/>
    <s v="YES"/>
    <n v="0"/>
    <x v="2"/>
  </r>
  <r>
    <x v="151"/>
    <x v="60"/>
    <x v="0"/>
    <x v="6"/>
    <s v="Yellow"/>
    <n v="20500"/>
    <m/>
    <n v="1"/>
    <n v="20500"/>
    <n v="17000"/>
    <n v="17339"/>
    <n v="17339"/>
    <n v="3161"/>
    <n v="-3500"/>
    <n v="40"/>
    <s v="Female"/>
    <s v="Instagram"/>
    <s v="Polaris"/>
    <s v="YES"/>
    <n v="0"/>
    <x v="2"/>
  </r>
  <r>
    <x v="152"/>
    <x v="60"/>
    <x v="0"/>
    <x v="1"/>
    <s v="Light brown"/>
    <n v="12395"/>
    <m/>
    <n v="1"/>
    <n v="12395"/>
    <n v="17500"/>
    <n v="7909"/>
    <n v="7909"/>
    <n v="4486"/>
    <n v="5105"/>
    <n v="38"/>
    <s v="Female"/>
    <s v="Instagram"/>
    <s v="Polaris"/>
    <s v="YES"/>
    <n v="0"/>
    <x v="0"/>
  </r>
  <r>
    <x v="153"/>
    <x v="60"/>
    <x v="0"/>
    <x v="6"/>
    <s v="Wine"/>
    <n v="20500"/>
    <m/>
    <n v="1"/>
    <n v="20500"/>
    <n v="15000"/>
    <n v="17339"/>
    <n v="17339"/>
    <n v="3161"/>
    <n v="-5500"/>
    <n v="42"/>
    <s v="Female"/>
    <s v="Instagram"/>
    <s v="Polaris"/>
    <s v="YES"/>
    <n v="0"/>
    <x v="2"/>
  </r>
  <r>
    <x v="154"/>
    <x v="60"/>
    <x v="0"/>
    <x v="1"/>
    <s v="Light brown"/>
    <n v="12395"/>
    <m/>
    <n v="1"/>
    <n v="12395"/>
    <n v="31500"/>
    <n v="7909"/>
    <n v="7909"/>
    <n v="4486"/>
    <n v="6710"/>
    <n v="39"/>
    <s v="Female"/>
    <s v="Instagram"/>
    <s v="Polaris"/>
    <s v="YES"/>
    <n v="0"/>
    <x v="0"/>
  </r>
  <r>
    <x v="154"/>
    <x v="60"/>
    <x v="0"/>
    <x v="1"/>
    <s v="Light brown"/>
    <n v="12395"/>
    <m/>
    <n v="1"/>
    <n v="12395"/>
    <m/>
    <n v="7909"/>
    <n v="7909"/>
    <n v="4486"/>
    <n v="0"/>
    <n v="39"/>
    <s v="Female"/>
    <s v="Instagram"/>
    <s v="Polaris"/>
    <s v="YES"/>
    <n v="0"/>
    <x v="1"/>
  </r>
  <r>
    <x v="155"/>
    <x v="60"/>
    <x v="0"/>
    <x v="1"/>
    <s v="Black"/>
    <n v="12395"/>
    <m/>
    <n v="1"/>
    <n v="12395"/>
    <n v="33000"/>
    <n v="7909"/>
    <n v="7909"/>
    <n v="4486"/>
    <n v="2066"/>
    <n v="40"/>
    <s v="Female"/>
    <s v="Instagram"/>
    <s v="Polaris"/>
    <s v="YES"/>
    <n v="0"/>
    <x v="0"/>
  </r>
  <r>
    <x v="155"/>
    <x v="60"/>
    <x v="0"/>
    <x v="12"/>
    <s v="Combo colors"/>
    <n v="18539"/>
    <m/>
    <n v="1"/>
    <n v="18539"/>
    <m/>
    <n v="15497"/>
    <n v="15497"/>
    <n v="3042"/>
    <n v="0"/>
    <n v="40"/>
    <s v="Female"/>
    <s v="Instagram"/>
    <s v="Polaris"/>
    <s v="YES"/>
    <n v="0"/>
    <x v="1"/>
  </r>
  <r>
    <x v="156"/>
    <x v="60"/>
    <x v="0"/>
    <x v="1"/>
    <s v="Combo colors"/>
    <n v="12395"/>
    <m/>
    <n v="1"/>
    <n v="12395"/>
    <n v="17500"/>
    <n v="7909"/>
    <n v="7909"/>
    <n v="4486"/>
    <n v="5105"/>
    <n v="40"/>
    <s v="Female"/>
    <s v="Instagram"/>
    <s v="Polaris"/>
    <s v="YES"/>
    <n v="0"/>
    <x v="0"/>
  </r>
  <r>
    <x v="157"/>
    <x v="61"/>
    <x v="7"/>
    <x v="1"/>
    <s v="Light brown"/>
    <n v="12395"/>
    <m/>
    <n v="1"/>
    <n v="12395"/>
    <n v="42000"/>
    <n v="7909"/>
    <n v="7909"/>
    <n v="4486"/>
    <n v="4815"/>
    <n v="41"/>
    <s v="Female"/>
    <s v="Instagram"/>
    <s v="Providus"/>
    <s v="YES"/>
    <n v="0"/>
    <x v="0"/>
  </r>
  <r>
    <x v="157"/>
    <x v="61"/>
    <x v="7"/>
    <x v="1"/>
    <s v="Sky blue"/>
    <n v="12395"/>
    <m/>
    <n v="1"/>
    <n v="12395"/>
    <m/>
    <n v="7909"/>
    <n v="7909"/>
    <n v="4486"/>
    <n v="0"/>
    <n v="41"/>
    <s v="Female"/>
    <s v="Instagram"/>
    <s v="Providus"/>
    <s v="YES"/>
    <n v="0"/>
    <x v="1"/>
  </r>
  <r>
    <x v="157"/>
    <x v="61"/>
    <x v="7"/>
    <x v="1"/>
    <s v="Orange"/>
    <n v="12395"/>
    <m/>
    <n v="1"/>
    <n v="12395"/>
    <m/>
    <n v="7909"/>
    <n v="7909"/>
    <n v="4486"/>
    <n v="0"/>
    <n v="41"/>
    <s v="Female"/>
    <s v="Instagram"/>
    <s v="Providus"/>
    <s v="YES"/>
    <n v="0"/>
    <x v="1"/>
  </r>
  <r>
    <x v="158"/>
    <x v="61"/>
    <x v="0"/>
    <x v="7"/>
    <s v="Black"/>
    <n v="11007"/>
    <m/>
    <n v="1"/>
    <n v="11007"/>
    <n v="14500"/>
    <n v="8327"/>
    <n v="8327"/>
    <n v="2680"/>
    <n v="3493"/>
    <n v="41"/>
    <s v="Female"/>
    <s v="Instagram"/>
    <s v="Polaris"/>
    <s v="YES"/>
    <n v="0"/>
    <x v="0"/>
  </r>
  <r>
    <x v="159"/>
    <x v="61"/>
    <x v="0"/>
    <x v="6"/>
    <s v="Wine"/>
    <n v="20500"/>
    <m/>
    <n v="1"/>
    <n v="20500"/>
    <n v="14500"/>
    <n v="17339"/>
    <n v="17339"/>
    <n v="3161"/>
    <n v="-6000"/>
    <n v="42"/>
    <s v="Female"/>
    <s v="Instagram"/>
    <s v="Polaris"/>
    <s v="YES"/>
    <n v="0"/>
    <x v="2"/>
  </r>
  <r>
    <x v="160"/>
    <x v="61"/>
    <x v="14"/>
    <x v="6"/>
    <s v="Wine"/>
    <n v="20500"/>
    <m/>
    <n v="1"/>
    <n v="20500"/>
    <n v="540000"/>
    <n v="17339"/>
    <n v="17339"/>
    <n v="3161"/>
    <n v="519500"/>
    <n v="42"/>
    <s v="Female"/>
    <s v="Instagram"/>
    <s v="Polaris"/>
    <s v="YES"/>
    <n v="0"/>
    <x v="0"/>
  </r>
  <r>
    <x v="161"/>
    <x v="61"/>
    <x v="0"/>
    <x v="4"/>
    <s v="Peach"/>
    <n v="22728"/>
    <m/>
    <n v="1"/>
    <n v="22728"/>
    <n v="29000"/>
    <n v="20451"/>
    <n v="20451"/>
    <n v="2277"/>
    <n v="6272"/>
    <n v="39"/>
    <s v="Female"/>
    <s v="Instagram"/>
    <s v="Providus"/>
    <s v="YES"/>
    <n v="0"/>
    <x v="0"/>
  </r>
  <r>
    <x v="162"/>
    <x v="62"/>
    <x v="0"/>
    <x v="6"/>
    <s v="Dark brown"/>
    <n v="20500"/>
    <m/>
    <n v="1"/>
    <n v="20500"/>
    <n v="58500"/>
    <n v="17339"/>
    <n v="17339"/>
    <n v="3161"/>
    <n v="-6961"/>
    <n v="40"/>
    <s v="Female"/>
    <s v="Instagram"/>
    <s v="Polaris"/>
    <s v="YES"/>
    <n v="0"/>
    <x v="2"/>
  </r>
  <r>
    <x v="162"/>
    <x v="62"/>
    <x v="0"/>
    <x v="1"/>
    <s v="Light brown"/>
    <n v="12395"/>
    <m/>
    <n v="1"/>
    <n v="12395"/>
    <m/>
    <n v="7909"/>
    <n v="7909"/>
    <n v="4486"/>
    <n v="0"/>
    <n v="40"/>
    <s v="Female"/>
    <s v="Instagram"/>
    <s v="Polaris"/>
    <s v="YES"/>
    <n v="0"/>
    <x v="1"/>
  </r>
  <r>
    <x v="162"/>
    <x v="62"/>
    <x v="0"/>
    <x v="8"/>
    <s v="Wine"/>
    <n v="9838"/>
    <m/>
    <n v="1"/>
    <n v="9838"/>
    <m/>
    <n v="6687"/>
    <n v="6687"/>
    <n v="3151"/>
    <n v="0"/>
    <n v="40"/>
    <s v="Female"/>
    <s v="Instagram"/>
    <s v="Polaris"/>
    <s v="YES"/>
    <n v="0"/>
    <x v="1"/>
  </r>
  <r>
    <x v="162"/>
    <x v="62"/>
    <x v="0"/>
    <x v="4"/>
    <s v="Combo"/>
    <n v="22728"/>
    <m/>
    <n v="1"/>
    <n v="22728"/>
    <m/>
    <n v="20451"/>
    <n v="20451"/>
    <n v="2277"/>
    <n v="0"/>
    <n v="40"/>
    <s v="Female"/>
    <s v="Instagram"/>
    <s v="Polaris"/>
    <s v="YES"/>
    <n v="0"/>
    <x v="1"/>
  </r>
  <r>
    <x v="163"/>
    <x v="62"/>
    <x v="0"/>
    <x v="4"/>
    <s v="Black"/>
    <n v="22728"/>
    <m/>
    <n v="1"/>
    <n v="22728"/>
    <n v="28500"/>
    <n v="20451"/>
    <n v="20451"/>
    <n v="2277"/>
    <n v="-6623"/>
    <n v="42"/>
    <s v="Female"/>
    <s v="Instagram"/>
    <s v="Polaris"/>
    <s v="YES"/>
    <n v="0"/>
    <x v="2"/>
  </r>
  <r>
    <x v="163"/>
    <x v="62"/>
    <x v="0"/>
    <x v="1"/>
    <s v="Yellow"/>
    <n v="12395"/>
    <m/>
    <n v="1"/>
    <n v="12395"/>
    <m/>
    <n v="7909"/>
    <n v="7909"/>
    <n v="4486"/>
    <n v="0"/>
    <n v="42"/>
    <s v="Female"/>
    <s v="Instagram"/>
    <s v="Polaris"/>
    <s v="YES"/>
    <n v="0"/>
    <x v="1"/>
  </r>
  <r>
    <x v="164"/>
    <x v="63"/>
    <x v="0"/>
    <x v="1"/>
    <s v="Green"/>
    <n v="12395"/>
    <m/>
    <n v="1"/>
    <n v="12395"/>
    <n v="31500"/>
    <n v="7909"/>
    <n v="7909"/>
    <n v="4486"/>
    <n v="-1395"/>
    <n v="38"/>
    <s v="Female"/>
    <s v="Instagram"/>
    <s v="Polaris"/>
    <s v="YES"/>
    <n v="0"/>
    <x v="2"/>
  </r>
  <r>
    <x v="164"/>
    <x v="63"/>
    <x v="0"/>
    <x v="6"/>
    <s v="Light Grey "/>
    <n v="20500"/>
    <m/>
    <n v="1"/>
    <n v="20500"/>
    <m/>
    <n v="17339"/>
    <n v="17339"/>
    <n v="3161"/>
    <n v="0"/>
    <n v="38"/>
    <s v="Female"/>
    <s v="Instagram"/>
    <s v="Polaris"/>
    <s v="YES"/>
    <n v="0"/>
    <x v="1"/>
  </r>
  <r>
    <x v="165"/>
    <x v="63"/>
    <x v="0"/>
    <x v="21"/>
    <s v="Royal blue"/>
    <n v="14097"/>
    <m/>
    <n v="1"/>
    <n v="14097"/>
    <n v="15000"/>
    <n v="9386"/>
    <n v="9386"/>
    <n v="4711"/>
    <n v="903"/>
    <n v="39"/>
    <s v="Female"/>
    <s v="Instagram"/>
    <s v="Providus"/>
    <s v="YES"/>
    <n v="0"/>
    <x v="0"/>
  </r>
  <r>
    <x v="166"/>
    <x v="63"/>
    <x v="0"/>
    <x v="15"/>
    <s v="Black"/>
    <n v="15204"/>
    <m/>
    <n v="1"/>
    <n v="15204"/>
    <n v="33500"/>
    <n v="12537"/>
    <n v="12537"/>
    <n v="2667"/>
    <n v="18296"/>
    <n v="42"/>
    <s v="Female"/>
    <s v="Instagram"/>
    <s v="Providus"/>
    <s v="YES"/>
    <n v="0"/>
    <x v="0"/>
  </r>
  <r>
    <x v="167"/>
    <x v="63"/>
    <x v="0"/>
    <x v="20"/>
    <s v="Light brown"/>
    <n v="21405"/>
    <m/>
    <n v="1"/>
    <n v="21405"/>
    <n v="33500"/>
    <n v="17426"/>
    <n v="17426"/>
    <n v="3979"/>
    <n v="12095"/>
    <n v="42"/>
    <s v="Female"/>
    <s v="Instagram"/>
    <s v="Providus"/>
    <s v="YES"/>
    <n v="0"/>
    <x v="0"/>
  </r>
  <r>
    <x v="168"/>
    <x v="63"/>
    <x v="0"/>
    <x v="1"/>
    <s v="Green"/>
    <n v="12395"/>
    <m/>
    <n v="1"/>
    <n v="12395"/>
    <n v="178500"/>
    <n v="7909"/>
    <n v="7909"/>
    <n v="4486"/>
    <n v="17365"/>
    <n v="41"/>
    <s v="Female"/>
    <s v="Instagram"/>
    <s v="Providus"/>
    <s v="YES"/>
    <n v="0"/>
    <x v="0"/>
  </r>
  <r>
    <x v="168"/>
    <x v="63"/>
    <x v="0"/>
    <x v="1"/>
    <s v="Red"/>
    <n v="12395"/>
    <m/>
    <n v="1"/>
    <n v="12395"/>
    <m/>
    <n v="7909"/>
    <n v="7909"/>
    <n v="4486"/>
    <n v="0"/>
    <n v="41"/>
    <s v="Female"/>
    <s v="Instagram"/>
    <s v="Providus"/>
    <s v="YES"/>
    <n v="0"/>
    <x v="1"/>
  </r>
  <r>
    <x v="168"/>
    <x v="63"/>
    <x v="0"/>
    <x v="1"/>
    <s v="Lemon"/>
    <n v="12395"/>
    <m/>
    <n v="1"/>
    <n v="12395"/>
    <m/>
    <n v="7909"/>
    <n v="7909"/>
    <n v="4486"/>
    <n v="0"/>
    <n v="41"/>
    <s v="Female"/>
    <s v="Instagram"/>
    <s v="Providus"/>
    <s v="YES"/>
    <n v="0"/>
    <x v="1"/>
  </r>
  <r>
    <x v="168"/>
    <x v="63"/>
    <x v="0"/>
    <x v="1"/>
    <s v="Purple "/>
    <n v="12395"/>
    <m/>
    <n v="1"/>
    <n v="12395"/>
    <m/>
    <n v="7909"/>
    <n v="7909"/>
    <n v="4486"/>
    <n v="0"/>
    <n v="41"/>
    <s v="Female"/>
    <s v="Instagram"/>
    <s v="Providus"/>
    <s v="YES"/>
    <n v="0"/>
    <x v="1"/>
  </r>
  <r>
    <x v="168"/>
    <x v="63"/>
    <x v="0"/>
    <x v="1"/>
    <s v="Royal blue"/>
    <n v="12395"/>
    <m/>
    <n v="1"/>
    <n v="12395"/>
    <m/>
    <n v="7909"/>
    <n v="7909"/>
    <n v="4486"/>
    <n v="0"/>
    <n v="41"/>
    <s v="Female"/>
    <s v="Instagram"/>
    <s v="Providus"/>
    <s v="YES"/>
    <n v="0"/>
    <x v="1"/>
  </r>
  <r>
    <x v="168"/>
    <x v="63"/>
    <x v="0"/>
    <x v="1"/>
    <s v="Sky blue"/>
    <n v="12395"/>
    <m/>
    <n v="1"/>
    <n v="12395"/>
    <m/>
    <n v="7909"/>
    <n v="7909"/>
    <n v="4486"/>
    <n v="0"/>
    <n v="41"/>
    <s v="Female"/>
    <s v="Instagram"/>
    <s v="Providus"/>
    <s v="YES"/>
    <n v="0"/>
    <x v="1"/>
  </r>
  <r>
    <x v="168"/>
    <x v="63"/>
    <x v="0"/>
    <x v="1"/>
    <s v="Yellow"/>
    <n v="12395"/>
    <m/>
    <n v="1"/>
    <n v="12395"/>
    <m/>
    <n v="7909"/>
    <n v="7909"/>
    <n v="4486"/>
    <n v="0"/>
    <n v="41"/>
    <s v="Female"/>
    <s v="Instagram"/>
    <s v="Providus"/>
    <s v="YES"/>
    <n v="0"/>
    <x v="1"/>
  </r>
  <r>
    <x v="168"/>
    <x v="63"/>
    <x v="0"/>
    <x v="1"/>
    <s v="White"/>
    <n v="12395"/>
    <m/>
    <n v="1"/>
    <n v="12395"/>
    <m/>
    <n v="7909"/>
    <n v="7909"/>
    <n v="4486"/>
    <n v="0"/>
    <n v="41"/>
    <s v="Female"/>
    <s v="Instagram"/>
    <s v="Providus"/>
    <s v="YES"/>
    <n v="0"/>
    <x v="1"/>
  </r>
  <r>
    <x v="168"/>
    <x v="63"/>
    <x v="0"/>
    <x v="1"/>
    <s v="Black"/>
    <n v="12395"/>
    <m/>
    <n v="1"/>
    <n v="12395"/>
    <m/>
    <n v="7909"/>
    <n v="7909"/>
    <n v="4486"/>
    <n v="0"/>
    <n v="41"/>
    <s v="Female"/>
    <s v="Instagram"/>
    <s v="Providus"/>
    <s v="YES"/>
    <n v="0"/>
    <x v="1"/>
  </r>
  <r>
    <x v="168"/>
    <x v="63"/>
    <x v="0"/>
    <x v="1"/>
    <s v="Wine"/>
    <n v="12395"/>
    <m/>
    <n v="1"/>
    <n v="12395"/>
    <m/>
    <n v="7909"/>
    <n v="7909"/>
    <n v="4486"/>
    <n v="0"/>
    <n v="41"/>
    <s v="Female"/>
    <s v="Instagram"/>
    <s v="Providus"/>
    <s v="YES"/>
    <n v="0"/>
    <x v="1"/>
  </r>
  <r>
    <x v="168"/>
    <x v="63"/>
    <x v="0"/>
    <x v="1"/>
    <s v="Green"/>
    <n v="12395"/>
    <m/>
    <n v="1"/>
    <n v="12395"/>
    <m/>
    <n v="7909"/>
    <n v="7909"/>
    <n v="4486"/>
    <n v="0"/>
    <n v="41"/>
    <s v="Female"/>
    <s v="Instagram"/>
    <s v="Providus"/>
    <s v="YES"/>
    <n v="0"/>
    <x v="1"/>
  </r>
  <r>
    <x v="168"/>
    <x v="63"/>
    <x v="0"/>
    <x v="1"/>
    <s v="Light brown"/>
    <n v="12395"/>
    <m/>
    <n v="1"/>
    <n v="12395"/>
    <m/>
    <n v="7909"/>
    <n v="7909"/>
    <n v="4486"/>
    <n v="0"/>
    <n v="41"/>
    <s v="Female"/>
    <s v="Instagram"/>
    <s v="Providus"/>
    <s v="YES"/>
    <n v="0"/>
    <x v="1"/>
  </r>
  <r>
    <x v="168"/>
    <x v="63"/>
    <x v="0"/>
    <x v="1"/>
    <s v="Dark brown"/>
    <n v="12395"/>
    <m/>
    <n v="1"/>
    <n v="12395"/>
    <m/>
    <n v="7909"/>
    <n v="7909"/>
    <n v="4486"/>
    <n v="0"/>
    <n v="41"/>
    <s v="Female"/>
    <s v="Instagram"/>
    <s v="Providus"/>
    <s v="YES"/>
    <n v="0"/>
    <x v="1"/>
  </r>
  <r>
    <x v="169"/>
    <x v="64"/>
    <x v="0"/>
    <x v="1"/>
    <s v="Dark pink"/>
    <n v="12395"/>
    <m/>
    <n v="1"/>
    <n v="12395"/>
    <n v="19500"/>
    <n v="7909"/>
    <n v="7909"/>
    <n v="4486"/>
    <n v="7105"/>
    <n v="41"/>
    <s v="Female"/>
    <s v="Instagram"/>
    <s v="Providus"/>
    <s v="YES"/>
    <n v="0"/>
    <x v="0"/>
  </r>
  <r>
    <x v="170"/>
    <x v="64"/>
    <x v="6"/>
    <x v="6"/>
    <s v="Wine"/>
    <n v="20500"/>
    <m/>
    <n v="1"/>
    <n v="20500"/>
    <n v="31500"/>
    <n v="17339"/>
    <n v="17339"/>
    <n v="3161"/>
    <n v="-7"/>
    <n v="41"/>
    <s v="Female"/>
    <s v="Instagram"/>
    <s v="Providus"/>
    <s v="YES"/>
    <n v="0"/>
    <x v="2"/>
  </r>
  <r>
    <x v="170"/>
    <x v="64"/>
    <x v="6"/>
    <x v="7"/>
    <s v="Wine"/>
    <n v="11007"/>
    <m/>
    <n v="1"/>
    <n v="11007"/>
    <m/>
    <n v="8327"/>
    <n v="8327"/>
    <n v="2680"/>
    <n v="0"/>
    <n v="41"/>
    <s v="Female"/>
    <s v="Instagram"/>
    <s v="Providus"/>
    <s v="YES"/>
    <n v="0"/>
    <x v="1"/>
  </r>
  <r>
    <x v="171"/>
    <x v="65"/>
    <x v="9"/>
    <x v="12"/>
    <s v="Black"/>
    <n v="18539"/>
    <m/>
    <n v="1"/>
    <n v="18539"/>
    <n v="35500"/>
    <n v="15497"/>
    <n v="15497"/>
    <n v="3042"/>
    <n v="-1578"/>
    <n v="38"/>
    <s v="Female"/>
    <s v="Instagram"/>
    <s v="Providus"/>
    <s v="YES"/>
    <n v="0"/>
    <x v="2"/>
  </r>
  <r>
    <x v="171"/>
    <x v="65"/>
    <x v="9"/>
    <x v="12"/>
    <s v="Black"/>
    <n v="18539"/>
    <m/>
    <n v="1"/>
    <n v="18539"/>
    <m/>
    <n v="15497"/>
    <n v="15497"/>
    <n v="3042"/>
    <n v="0"/>
    <n v="38"/>
    <s v="Female"/>
    <s v="Instagram"/>
    <s v="Providus"/>
    <s v="YES"/>
    <n v="0"/>
    <x v="1"/>
  </r>
  <r>
    <x v="172"/>
    <x v="66"/>
    <x v="0"/>
    <x v="10"/>
    <s v="Green"/>
    <n v="10509"/>
    <m/>
    <n v="1"/>
    <n v="10509"/>
    <n v="29000"/>
    <n v="7573"/>
    <n v="7573"/>
    <n v="2936"/>
    <n v="877"/>
    <n v="39"/>
    <s v="Female"/>
    <s v="Instagram"/>
    <s v="Polaris"/>
    <s v="YES"/>
    <n v="0"/>
    <x v="0"/>
  </r>
  <r>
    <x v="172"/>
    <x v="66"/>
    <x v="0"/>
    <x v="5"/>
    <s v="Black"/>
    <n v="17614"/>
    <m/>
    <n v="1"/>
    <n v="17614"/>
    <m/>
    <n v="14912"/>
    <n v="14912"/>
    <n v="2702"/>
    <n v="0"/>
    <n v="39"/>
    <s v="Female"/>
    <s v="Instagram"/>
    <s v="Polaris"/>
    <s v="YES"/>
    <n v="0"/>
    <x v="1"/>
  </r>
  <r>
    <x v="173"/>
    <x v="67"/>
    <x v="0"/>
    <x v="5"/>
    <s v="Black"/>
    <n v="17614"/>
    <m/>
    <n v="1"/>
    <n v="17614"/>
    <n v="15000"/>
    <n v="14912"/>
    <n v="14912"/>
    <n v="2702"/>
    <n v="-2614"/>
    <n v="39"/>
    <s v="Female"/>
    <s v="Instagram"/>
    <s v="Polaris"/>
    <s v="YES"/>
    <n v="0"/>
    <x v="2"/>
  </r>
  <r>
    <x v="174"/>
    <x v="67"/>
    <x v="0"/>
    <x v="5"/>
    <s v="Black"/>
    <n v="17614"/>
    <m/>
    <n v="1"/>
    <n v="17614"/>
    <n v="34000"/>
    <n v="14912"/>
    <n v="14912"/>
    <n v="2702"/>
    <n v="16386"/>
    <n v="39"/>
    <s v="Female"/>
    <s v="Instagram"/>
    <s v="Polaris"/>
    <s v="YES"/>
    <n v="0"/>
    <x v="0"/>
  </r>
  <r>
    <x v="175"/>
    <x v="67"/>
    <x v="0"/>
    <x v="5"/>
    <s v="Black"/>
    <n v="17614"/>
    <m/>
    <n v="1"/>
    <n v="17614"/>
    <n v="37000"/>
    <n v="14912"/>
    <n v="14912"/>
    <n v="2702"/>
    <n v="19386"/>
    <n v="39"/>
    <s v="Female"/>
    <s v="Instagram"/>
    <s v="Polaris"/>
    <s v="YES"/>
    <n v="0"/>
    <x v="0"/>
  </r>
  <r>
    <x v="176"/>
    <x v="67"/>
    <x v="0"/>
    <x v="5"/>
    <s v="Black"/>
    <n v="17614"/>
    <m/>
    <n v="1"/>
    <n v="17614"/>
    <n v="37000"/>
    <n v="14912"/>
    <n v="14912"/>
    <n v="2702"/>
    <n v="1772"/>
    <n v="39"/>
    <s v="Female"/>
    <s v="Instagram"/>
    <s v="Polaris"/>
    <s v="YES"/>
    <n v="0"/>
    <x v="0"/>
  </r>
  <r>
    <x v="176"/>
    <x v="67"/>
    <x v="0"/>
    <x v="5"/>
    <s v="Black"/>
    <n v="17614"/>
    <m/>
    <n v="1"/>
    <n v="17614"/>
    <m/>
    <n v="14912"/>
    <n v="14912"/>
    <n v="2702"/>
    <n v="0"/>
    <n v="39"/>
    <s v="Female"/>
    <s v="Instagram"/>
    <s v="Polaris"/>
    <s v="YES"/>
    <n v="0"/>
    <x v="1"/>
  </r>
  <r>
    <x v="177"/>
    <x v="67"/>
    <x v="0"/>
    <x v="5"/>
    <s v="Black"/>
    <n v="17614"/>
    <m/>
    <n v="1"/>
    <n v="17614"/>
    <n v="85000"/>
    <n v="14912"/>
    <n v="14912"/>
    <n v="2702"/>
    <n v="67386"/>
    <n v="39"/>
    <s v="Female"/>
    <s v="Instagram"/>
    <s v="Polaris"/>
    <s v="YES"/>
    <n v="0"/>
    <x v="0"/>
  </r>
  <r>
    <x v="178"/>
    <x v="67"/>
    <x v="0"/>
    <x v="5"/>
    <s v="Black"/>
    <n v="17614"/>
    <m/>
    <n v="1"/>
    <n v="17614"/>
    <n v="9000"/>
    <n v="14912"/>
    <n v="14912"/>
    <n v="2702"/>
    <n v="-8614"/>
    <n v="39"/>
    <s v="Female"/>
    <s v="Instagram"/>
    <s v="Polaris"/>
    <s v="YES"/>
    <n v="0"/>
    <x v="2"/>
  </r>
  <r>
    <x v="179"/>
    <x v="68"/>
    <x v="7"/>
    <x v="8"/>
    <s v="Dark brown"/>
    <n v="9838"/>
    <m/>
    <n v="1"/>
    <n v="9838"/>
    <n v="14000"/>
    <n v="6687"/>
    <n v="6687"/>
    <n v="3151"/>
    <n v="4162"/>
    <n v="39"/>
    <s v="Female"/>
    <s v="Instagram"/>
    <s v="Polaris"/>
    <s v="YES"/>
    <n v="0"/>
    <x v="0"/>
  </r>
  <r>
    <x v="180"/>
    <x v="69"/>
    <x v="0"/>
    <x v="21"/>
    <s v="Light brown"/>
    <n v="14097"/>
    <m/>
    <n v="1"/>
    <n v="14097"/>
    <n v="21500"/>
    <n v="9386"/>
    <n v="9386"/>
    <n v="4711"/>
    <n v="7403"/>
    <n v="43"/>
    <s v="Female"/>
    <s v="Instagram"/>
    <s v="Polaris"/>
    <s v="YES"/>
    <n v="0"/>
    <x v="0"/>
  </r>
  <r>
    <x v="181"/>
    <x v="63"/>
    <x v="0"/>
    <x v="1"/>
    <s v="Green"/>
    <n v="12395"/>
    <m/>
    <n v="1"/>
    <n v="12395"/>
    <n v="31500"/>
    <n v="7909"/>
    <n v="7909"/>
    <n v="4486"/>
    <n v="-1395"/>
    <n v="38"/>
    <s v="Female"/>
    <s v="Instagram"/>
    <s v="Polaris"/>
    <s v="YES"/>
    <n v="0"/>
    <x v="2"/>
  </r>
  <r>
    <x v="181"/>
    <x v="63"/>
    <x v="0"/>
    <x v="6"/>
    <s v="Light Grey "/>
    <n v="20500"/>
    <m/>
    <n v="1"/>
    <n v="20500"/>
    <m/>
    <n v="17339"/>
    <n v="17339"/>
    <n v="3161"/>
    <n v="0"/>
    <n v="38"/>
    <s v="Female"/>
    <s v="Instagram"/>
    <s v="Polaris"/>
    <s v="YES"/>
    <n v="0"/>
    <x v="1"/>
  </r>
  <r>
    <x v="182"/>
    <x v="70"/>
    <x v="0"/>
    <x v="5"/>
    <s v="Yellow"/>
    <n v="17614"/>
    <m/>
    <n v="1"/>
    <n v="17614"/>
    <n v="39775"/>
    <n v="14912"/>
    <n v="14912"/>
    <n v="2702"/>
    <n v="22161"/>
    <n v="39"/>
    <s v="Female"/>
    <s v="Instagram"/>
    <s v="Polaris"/>
    <s v="YES"/>
    <n v="0"/>
    <x v="0"/>
  </r>
  <r>
    <x v="183"/>
    <x v="70"/>
    <x v="0"/>
    <x v="5"/>
    <s v="Yellow"/>
    <n v="17614"/>
    <m/>
    <n v="1"/>
    <n v="17614"/>
    <n v="39775"/>
    <n v="14912"/>
    <n v="14912"/>
    <n v="2702"/>
    <n v="22161"/>
    <n v="39"/>
    <s v="Female"/>
    <s v="Instagram"/>
    <s v="Polaris"/>
    <s v="YES"/>
    <n v="0"/>
    <x v="0"/>
  </r>
  <r>
    <x v="184"/>
    <x v="71"/>
    <x v="0"/>
    <x v="1"/>
    <s v="Black"/>
    <n v="12395"/>
    <m/>
    <n v="1"/>
    <n v="12395"/>
    <n v="62162"/>
    <n v="7909"/>
    <n v="7909"/>
    <n v="4486"/>
    <n v="20634"/>
    <n v="43"/>
    <s v="Female"/>
    <s v="Instagram"/>
    <s v="Polaris"/>
    <s v="YES"/>
    <n v="0"/>
    <x v="0"/>
  </r>
  <r>
    <x v="184"/>
    <x v="71"/>
    <x v="0"/>
    <x v="8"/>
    <s v="Black"/>
    <n v="9838"/>
    <m/>
    <n v="1"/>
    <n v="9838"/>
    <m/>
    <n v="6687"/>
    <n v="6687"/>
    <n v="3151"/>
    <n v="0"/>
    <n v="43"/>
    <s v="Female"/>
    <s v="Instagram"/>
    <s v="Polaris"/>
    <s v="YES"/>
    <n v="0"/>
    <x v="1"/>
  </r>
  <r>
    <x v="184"/>
    <x v="71"/>
    <x v="0"/>
    <x v="2"/>
    <s v="Green"/>
    <n v="19295"/>
    <m/>
    <n v="1"/>
    <n v="19295"/>
    <m/>
    <n v="16705"/>
    <n v="16705"/>
    <n v="2590"/>
    <n v="0"/>
    <n v="43"/>
    <s v="Female"/>
    <s v="Instagram"/>
    <s v="Polaris"/>
    <s v="YES"/>
    <n v="0"/>
    <x v="1"/>
  </r>
  <r>
    <x v="185"/>
    <x v="72"/>
    <x v="0"/>
    <x v="3"/>
    <s v="Black"/>
    <n v="16646"/>
    <m/>
    <n v="1"/>
    <n v="16646"/>
    <n v="22500"/>
    <n v="13546"/>
    <n v="13546"/>
    <n v="3100"/>
    <n v="5854"/>
    <n v="40"/>
    <s v="Female"/>
    <s v="Instagram"/>
    <s v="Polaris"/>
    <s v="YES"/>
    <n v="0"/>
    <x v="0"/>
  </r>
  <r>
    <x v="186"/>
    <x v="72"/>
    <x v="0"/>
    <x v="4"/>
    <s v="Sky blue"/>
    <n v="22728"/>
    <m/>
    <n v="1"/>
    <n v="22728"/>
    <n v="14500"/>
    <n v="20451"/>
    <n v="20451"/>
    <n v="2277"/>
    <n v="-8228"/>
    <n v="40"/>
    <s v="Female"/>
    <s v="Instagram"/>
    <s v="Providus"/>
    <s v="YES"/>
    <n v="0"/>
    <x v="2"/>
  </r>
  <r>
    <x v="187"/>
    <x v="73"/>
    <x v="0"/>
    <x v="1"/>
    <s v="Combo colors"/>
    <n v="12395"/>
    <m/>
    <n v="1"/>
    <n v="12395"/>
    <n v="14500"/>
    <n v="7909"/>
    <n v="7909"/>
    <n v="4486"/>
    <n v="2105"/>
    <n v="41"/>
    <s v="Female"/>
    <s v="Instagram"/>
    <s v="Providus"/>
    <s v="YES"/>
    <n v="0"/>
    <x v="0"/>
  </r>
  <r>
    <x v="188"/>
    <x v="74"/>
    <x v="0"/>
    <x v="8"/>
    <s v="Black"/>
    <n v="9838"/>
    <m/>
    <n v="1"/>
    <n v="9838"/>
    <n v="22100"/>
    <n v="6687"/>
    <n v="6687"/>
    <n v="3151"/>
    <n v="12262"/>
    <n v="38"/>
    <s v="Female"/>
    <s v="Instagram"/>
    <s v="Providus"/>
    <s v="YES"/>
    <n v="0"/>
    <x v="0"/>
  </r>
  <r>
    <x v="189"/>
    <x v="74"/>
    <x v="0"/>
    <x v="13"/>
    <s v="Wine"/>
    <n v="12107"/>
    <m/>
    <n v="1"/>
    <n v="12107"/>
    <n v="76500"/>
    <n v="9752"/>
    <n v="9752"/>
    <n v="2355"/>
    <n v="13555"/>
    <n v="40"/>
    <s v="Female"/>
    <s v="Instagram"/>
    <s v="Polaris"/>
    <s v="YES"/>
    <n v="0"/>
    <x v="0"/>
  </r>
  <r>
    <x v="189"/>
    <x v="74"/>
    <x v="0"/>
    <x v="6"/>
    <s v="Red"/>
    <n v="20500"/>
    <m/>
    <n v="1"/>
    <n v="20500"/>
    <m/>
    <n v="17339"/>
    <n v="17339"/>
    <n v="3161"/>
    <n v="0"/>
    <n v="40"/>
    <s v="Female"/>
    <s v="Instagram"/>
    <s v="Polaris"/>
    <s v="YES"/>
    <n v="0"/>
    <x v="1"/>
  </r>
  <r>
    <x v="189"/>
    <x v="74"/>
    <x v="0"/>
    <x v="8"/>
    <s v="Dark brown"/>
    <n v="9838"/>
    <m/>
    <n v="1"/>
    <n v="9838"/>
    <m/>
    <n v="6687"/>
    <n v="6687"/>
    <n v="3151"/>
    <n v="0"/>
    <n v="40"/>
    <s v="Female"/>
    <s v="Instagram"/>
    <s v="Polaris"/>
    <s v="YES"/>
    <n v="0"/>
    <x v="1"/>
  </r>
  <r>
    <x v="189"/>
    <x v="74"/>
    <x v="0"/>
    <x v="6"/>
    <s v="Red"/>
    <n v="20500"/>
    <m/>
    <n v="1"/>
    <n v="20500"/>
    <m/>
    <n v="17339"/>
    <n v="17339"/>
    <n v="3161"/>
    <n v="0"/>
    <n v="40"/>
    <s v="Female"/>
    <s v="Instagram"/>
    <s v="Polaris"/>
    <s v="YES"/>
    <n v="0"/>
    <x v="1"/>
  </r>
  <r>
    <x v="190"/>
    <x v="74"/>
    <x v="0"/>
    <x v="7"/>
    <s v="Red"/>
    <n v="11007"/>
    <m/>
    <n v="1"/>
    <n v="11007"/>
    <n v="58000"/>
    <n v="8327"/>
    <n v="8327"/>
    <n v="2680"/>
    <n v="29379"/>
    <n v="42"/>
    <s v="Female"/>
    <s v="Instagram"/>
    <s v="Polaris"/>
    <s v="YES"/>
    <n v="0"/>
    <x v="0"/>
  </r>
  <r>
    <x v="190"/>
    <x v="74"/>
    <x v="0"/>
    <x v="5"/>
    <s v="Royal blue"/>
    <n v="17614"/>
    <m/>
    <n v="1"/>
    <n v="17614"/>
    <m/>
    <n v="14912"/>
    <n v="14912"/>
    <n v="2702"/>
    <n v="0"/>
    <n v="42"/>
    <s v="Female"/>
    <s v="Instagram"/>
    <s v="Polaris"/>
    <s v="YES"/>
    <n v="0"/>
    <x v="1"/>
  </r>
  <r>
    <x v="191"/>
    <x v="72"/>
    <x v="5"/>
    <x v="1"/>
    <s v="Dark brown"/>
    <n v="12395"/>
    <m/>
    <n v="1"/>
    <n v="12395"/>
    <n v="22500"/>
    <n v="7909"/>
    <n v="7909"/>
    <n v="4486"/>
    <n v="10105"/>
    <n v="42"/>
    <s v="Female"/>
    <s v="Instagram"/>
    <s v="Providus"/>
    <s v="YES"/>
    <n v="0"/>
    <x v="0"/>
  </r>
  <r>
    <x v="192"/>
    <x v="72"/>
    <x v="5"/>
    <x v="8"/>
    <s v="Black"/>
    <n v="9838"/>
    <m/>
    <n v="1"/>
    <n v="9838"/>
    <n v="22500"/>
    <n v="6687"/>
    <n v="6687"/>
    <n v="3151"/>
    <n v="12662"/>
    <n v="38"/>
    <s v="Female"/>
    <s v="Instagram"/>
    <s v="Providus"/>
    <s v="YES"/>
    <n v="0"/>
    <x v="0"/>
  </r>
  <r>
    <x v="193"/>
    <x v="72"/>
    <x v="5"/>
    <x v="1"/>
    <s v="Purple "/>
    <n v="12395"/>
    <m/>
    <n v="1"/>
    <n v="12395"/>
    <n v="93000"/>
    <n v="7909"/>
    <n v="7909"/>
    <n v="4486"/>
    <n v="31025"/>
    <n v="37"/>
    <s v="Female"/>
    <s v="Instagram"/>
    <s v="Providus"/>
    <s v="YES"/>
    <n v="0"/>
    <x v="0"/>
  </r>
  <r>
    <x v="193"/>
    <x v="72"/>
    <x v="5"/>
    <x v="1"/>
    <s v="Purple "/>
    <n v="12395"/>
    <m/>
    <n v="1"/>
    <n v="12395"/>
    <m/>
    <n v="7909"/>
    <n v="7909"/>
    <n v="4486"/>
    <n v="0"/>
    <n v="37"/>
    <s v="Female"/>
    <s v="Instagram"/>
    <s v="Providus"/>
    <s v="YES"/>
    <n v="0"/>
    <x v="1"/>
  </r>
  <r>
    <x v="193"/>
    <x v="72"/>
    <x v="5"/>
    <x v="1"/>
    <s v="Purple "/>
    <n v="12395"/>
    <m/>
    <n v="1"/>
    <n v="12395"/>
    <m/>
    <n v="7909"/>
    <n v="7909"/>
    <n v="4486"/>
    <n v="0"/>
    <n v="37"/>
    <s v="Female"/>
    <s v="Instagram"/>
    <s v="Providus"/>
    <s v="YES"/>
    <n v="0"/>
    <x v="1"/>
  </r>
  <r>
    <x v="193"/>
    <x v="72"/>
    <x v="5"/>
    <x v="1"/>
    <s v="Purple "/>
    <n v="12395"/>
    <m/>
    <n v="1"/>
    <n v="12395"/>
    <m/>
    <n v="7909"/>
    <n v="7909"/>
    <n v="4486"/>
    <n v="0"/>
    <n v="37"/>
    <s v="Female"/>
    <s v="Instagram"/>
    <s v="Providus"/>
    <s v="YES"/>
    <n v="0"/>
    <x v="1"/>
  </r>
  <r>
    <x v="193"/>
    <x v="75"/>
    <x v="5"/>
    <x v="1"/>
    <s v="Purple "/>
    <n v="12395"/>
    <m/>
    <n v="1"/>
    <n v="12395"/>
    <m/>
    <n v="7909"/>
    <n v="7909"/>
    <n v="4486"/>
    <n v="0"/>
    <n v="37"/>
    <s v="Female"/>
    <s v="Instagram"/>
    <s v="Providus"/>
    <s v="YES"/>
    <n v="0"/>
    <x v="1"/>
  </r>
  <r>
    <x v="194"/>
    <x v="76"/>
    <x v="0"/>
    <x v="7"/>
    <s v="Light brown"/>
    <n v="11007"/>
    <m/>
    <n v="1"/>
    <n v="11007"/>
    <n v="18000"/>
    <n v="8327"/>
    <n v="8327"/>
    <n v="2680"/>
    <n v="6993"/>
    <n v="41"/>
    <s v="Female"/>
    <s v="Instagram"/>
    <s v="Polaris"/>
    <s v="YES"/>
    <n v="0"/>
    <x v="0"/>
  </r>
  <r>
    <x v="195"/>
    <x v="77"/>
    <x v="0"/>
    <x v="10"/>
    <s v="Combo colors"/>
    <n v="10509"/>
    <m/>
    <n v="1"/>
    <n v="10509"/>
    <n v="42000"/>
    <n v="7573"/>
    <n v="7573"/>
    <n v="2936"/>
    <n v="10991"/>
    <n v="41"/>
    <s v="Female"/>
    <s v="Instagram"/>
    <s v="Polaris"/>
    <s v="YES"/>
    <n v="0"/>
    <x v="0"/>
  </r>
  <r>
    <x v="195"/>
    <x v="78"/>
    <x v="0"/>
    <x v="6"/>
    <s v="Wine"/>
    <n v="20500"/>
    <m/>
    <n v="1"/>
    <n v="20500"/>
    <m/>
    <n v="17339"/>
    <n v="17339"/>
    <n v="3161"/>
    <n v="0"/>
    <n v="41"/>
    <s v="Female"/>
    <s v="Instagram"/>
    <s v="Polaris"/>
    <s v="NO"/>
    <n v="1"/>
    <x v="1"/>
  </r>
  <r>
    <x v="196"/>
    <x v="79"/>
    <x v="0"/>
    <x v="3"/>
    <s v="Black"/>
    <n v="16646"/>
    <m/>
    <n v="1"/>
    <n v="16646"/>
    <n v="32623"/>
    <n v="13546"/>
    <n v="13546"/>
    <n v="3100"/>
    <n v="5468"/>
    <n v="41"/>
    <s v="Female"/>
    <s v="Instagram"/>
    <s v="Polaris"/>
    <s v="YES"/>
    <n v="0"/>
    <x v="0"/>
  </r>
  <r>
    <x v="196"/>
    <x v="79"/>
    <x v="0"/>
    <x v="10"/>
    <s v="Combo colors"/>
    <n v="10509"/>
    <m/>
    <n v="1"/>
    <n v="10509"/>
    <m/>
    <n v="7573"/>
    <n v="7573"/>
    <n v="2936"/>
    <n v="0"/>
    <n v="41"/>
    <s v="Female"/>
    <s v="Instagram"/>
    <s v="Polaris"/>
    <s v="YES"/>
    <n v="0"/>
    <x v="1"/>
  </r>
  <r>
    <x v="197"/>
    <x v="80"/>
    <x v="0"/>
    <x v="1"/>
    <s v="Combo colors"/>
    <n v="12395"/>
    <m/>
    <n v="1"/>
    <n v="12395"/>
    <m/>
    <n v="7909"/>
    <n v="7909"/>
    <n v="4486"/>
    <n v="0"/>
    <n v="38"/>
    <s v="Female"/>
    <s v="Instagram"/>
    <s v="Polaris"/>
    <s v="YES"/>
    <n v="0"/>
    <x v="1"/>
  </r>
  <r>
    <x v="197"/>
    <x v="80"/>
    <x v="0"/>
    <x v="8"/>
    <s v="Dark brown"/>
    <n v="9838"/>
    <m/>
    <n v="1"/>
    <n v="9838"/>
    <m/>
    <n v="6687"/>
    <n v="6687"/>
    <n v="3151"/>
    <n v="0"/>
    <n v="38"/>
    <s v="Female"/>
    <s v="Instagram"/>
    <s v="Polaris"/>
    <s v="YES"/>
    <n v="0"/>
    <x v="1"/>
  </r>
  <r>
    <x v="197"/>
    <x v="80"/>
    <x v="0"/>
    <x v="8"/>
    <s v="Dark brown"/>
    <n v="9838"/>
    <m/>
    <n v="1"/>
    <n v="9838"/>
    <m/>
    <n v="6687"/>
    <n v="6687"/>
    <n v="3151"/>
    <n v="0"/>
    <n v="38"/>
    <s v="Female"/>
    <s v="Instagram"/>
    <s v="Polaris"/>
    <s v="YES"/>
    <n v="0"/>
    <x v="1"/>
  </r>
  <r>
    <x v="198"/>
    <x v="81"/>
    <x v="0"/>
    <x v="4"/>
    <s v="Orange"/>
    <n v="22728"/>
    <m/>
    <n v="1"/>
    <n v="22728"/>
    <n v="37000"/>
    <n v="20451"/>
    <n v="20451"/>
    <n v="2277"/>
    <n v="-15242"/>
    <n v="38"/>
    <s v="Female"/>
    <s v="Instagram"/>
    <s v="GTB"/>
    <s v="YES"/>
    <n v="0"/>
    <x v="2"/>
  </r>
  <r>
    <x v="198"/>
    <x v="81"/>
    <x v="0"/>
    <x v="8"/>
    <s v="Dark brown"/>
    <n v="9838"/>
    <m/>
    <n v="1"/>
    <n v="9838"/>
    <m/>
    <n v="6687"/>
    <n v="6687"/>
    <n v="3151"/>
    <n v="0"/>
    <n v="38"/>
    <s v="Female"/>
    <s v="Instagram"/>
    <s v="GTB"/>
    <s v="YES"/>
    <n v="0"/>
    <x v="1"/>
  </r>
  <r>
    <x v="198"/>
    <x v="81"/>
    <x v="0"/>
    <x v="8"/>
    <s v="Dark brown"/>
    <n v="9838"/>
    <m/>
    <n v="1"/>
    <n v="9838"/>
    <m/>
    <n v="6687"/>
    <n v="6687"/>
    <n v="3151"/>
    <n v="0"/>
    <n v="38"/>
    <s v="Female"/>
    <s v="Instagram"/>
    <s v="GTB"/>
    <s v="YES"/>
    <n v="0"/>
    <x v="1"/>
  </r>
  <r>
    <x v="198"/>
    <x v="81"/>
    <x v="0"/>
    <x v="8"/>
    <s v="Dark brown"/>
    <n v="9838"/>
    <m/>
    <n v="1"/>
    <n v="9838"/>
    <m/>
    <n v="6687"/>
    <n v="6687"/>
    <n v="3151"/>
    <n v="0"/>
    <n v="38"/>
    <s v="Female"/>
    <s v="Instagram"/>
    <s v="GTB"/>
    <s v="YES"/>
    <n v="0"/>
    <x v="1"/>
  </r>
  <r>
    <x v="199"/>
    <x v="77"/>
    <x v="0"/>
    <x v="8"/>
    <s v="Black"/>
    <n v="9838"/>
    <m/>
    <n v="1"/>
    <n v="9838"/>
    <n v="18500"/>
    <n v="6687"/>
    <n v="6687"/>
    <n v="3151"/>
    <n v="-1176"/>
    <n v="40"/>
    <s v="Female"/>
    <s v="Instagram"/>
    <s v="Polaris"/>
    <s v="YES"/>
    <n v="0"/>
    <x v="2"/>
  </r>
  <r>
    <x v="199"/>
    <x v="77"/>
    <x v="0"/>
    <x v="8"/>
    <s v="Black"/>
    <n v="9838"/>
    <m/>
    <n v="1"/>
    <n v="9838"/>
    <m/>
    <n v="6687"/>
    <n v="6687"/>
    <n v="3151"/>
    <n v="0"/>
    <n v="40"/>
    <s v="Female"/>
    <s v="Instagram"/>
    <s v="Polaris"/>
    <s v="YES"/>
    <n v="0"/>
    <x v="1"/>
  </r>
  <r>
    <x v="200"/>
    <x v="79"/>
    <x v="0"/>
    <x v="1"/>
    <s v="Light brown"/>
    <n v="12395"/>
    <m/>
    <n v="1"/>
    <n v="12395"/>
    <n v="21500"/>
    <n v="7909"/>
    <n v="7909"/>
    <n v="4486"/>
    <n v="9105"/>
    <n v="41"/>
    <s v="Female"/>
    <s v="Instagram"/>
    <s v="Polaris"/>
    <s v="YES"/>
    <n v="0"/>
    <x v="0"/>
  </r>
  <r>
    <x v="201"/>
    <x v="79"/>
    <x v="7"/>
    <x v="6"/>
    <s v="Light brown"/>
    <n v="20500"/>
    <m/>
    <n v="1"/>
    <n v="20500"/>
    <n v="64300"/>
    <n v="17339"/>
    <n v="17339"/>
    <n v="3161"/>
    <n v="2828"/>
    <n v="41"/>
    <s v="Female"/>
    <s v="Instagram"/>
    <s v="Polaris"/>
    <s v="YES"/>
    <n v="0"/>
    <x v="0"/>
  </r>
  <r>
    <x v="201"/>
    <x v="79"/>
    <x v="7"/>
    <x v="19"/>
    <s v="Combo colors"/>
    <n v="22433"/>
    <m/>
    <n v="1"/>
    <n v="22433"/>
    <m/>
    <n v="17880"/>
    <n v="17880"/>
    <n v="4553"/>
    <n v="0"/>
    <n v="41"/>
    <s v="Female"/>
    <s v="Instagram"/>
    <s v="Polaris"/>
    <s v="YES"/>
    <n v="0"/>
    <x v="1"/>
  </r>
  <r>
    <x v="201"/>
    <x v="79"/>
    <x v="7"/>
    <x v="12"/>
    <s v="Red"/>
    <n v="18539"/>
    <m/>
    <n v="1"/>
    <n v="18539"/>
    <m/>
    <n v="15497"/>
    <n v="15497"/>
    <n v="3042"/>
    <n v="0"/>
    <n v="41"/>
    <s v="Female"/>
    <s v="Instagram"/>
    <s v="Polaris"/>
    <s v="YES"/>
    <n v="0"/>
    <x v="1"/>
  </r>
  <r>
    <x v="202"/>
    <x v="82"/>
    <x v="0"/>
    <x v="4"/>
    <s v="Navy blue"/>
    <n v="22728"/>
    <m/>
    <n v="1"/>
    <n v="22728"/>
    <n v="23500"/>
    <n v="20451"/>
    <n v="20451"/>
    <n v="2277"/>
    <n v="772"/>
    <n v="39"/>
    <s v="Female"/>
    <s v="Instagram"/>
    <s v="Polaris"/>
    <s v="YES"/>
    <n v="0"/>
    <x v="0"/>
  </r>
  <r>
    <x v="203"/>
    <x v="83"/>
    <x v="0"/>
    <x v="4"/>
    <s v="Navy blue"/>
    <n v="22728"/>
    <m/>
    <n v="1"/>
    <n v="22728"/>
    <n v="24000"/>
    <n v="20451"/>
    <n v="20451"/>
    <n v="2277"/>
    <n v="1272"/>
    <n v="39"/>
    <s v="Female"/>
    <s v="Instagram"/>
    <s v="GTB"/>
    <s v="YES"/>
    <n v="0"/>
    <x v="0"/>
  </r>
  <r>
    <x v="204"/>
    <x v="84"/>
    <x v="0"/>
    <x v="6"/>
    <s v="Wine"/>
    <n v="20500"/>
    <m/>
    <n v="1"/>
    <n v="20500"/>
    <n v="22500"/>
    <n v="17339"/>
    <n v="17339"/>
    <n v="3161"/>
    <n v="2000"/>
    <n v="39"/>
    <s v="Female"/>
    <s v="Instagram"/>
    <s v="GTB"/>
    <s v="YES"/>
    <n v="0"/>
    <x v="0"/>
  </r>
  <r>
    <x v="205"/>
    <x v="84"/>
    <x v="0"/>
    <x v="1"/>
    <s v="Combo colors"/>
    <n v="12395"/>
    <m/>
    <n v="1"/>
    <n v="12395"/>
    <n v="58000"/>
    <n v="7909"/>
    <n v="7909"/>
    <n v="4486"/>
    <n v="20815"/>
    <n v="39"/>
    <s v="Female"/>
    <s v="Instagram"/>
    <s v="GTB"/>
    <s v="YES"/>
    <n v="0"/>
    <x v="0"/>
  </r>
  <r>
    <x v="205"/>
    <x v="84"/>
    <x v="0"/>
    <x v="1"/>
    <s v="Combo colors"/>
    <n v="12395"/>
    <m/>
    <n v="1"/>
    <n v="12395"/>
    <m/>
    <n v="7909"/>
    <n v="7909"/>
    <n v="4486"/>
    <n v="0"/>
    <n v="40"/>
    <s v="Female"/>
    <s v="Instagram"/>
    <s v="GTB"/>
    <s v="YES"/>
    <n v="0"/>
    <x v="1"/>
  </r>
  <r>
    <x v="205"/>
    <x v="84"/>
    <x v="0"/>
    <x v="1"/>
    <s v="Combo colors"/>
    <n v="12395"/>
    <m/>
    <n v="1"/>
    <n v="12395"/>
    <m/>
    <n v="7909"/>
    <n v="7909"/>
    <n v="4486"/>
    <n v="0"/>
    <n v="41"/>
    <s v="Female"/>
    <s v="Instagram"/>
    <s v="GTB"/>
    <s v="YES"/>
    <n v="0"/>
    <x v="1"/>
  </r>
  <r>
    <x v="206"/>
    <x v="84"/>
    <x v="0"/>
    <x v="1"/>
    <s v="Black"/>
    <n v="12395"/>
    <m/>
    <n v="1"/>
    <n v="12395"/>
    <n v="57500"/>
    <n v="7909"/>
    <n v="7909"/>
    <n v="4486"/>
    <n v="-351"/>
    <n v="37"/>
    <s v="Female"/>
    <s v="Instagram"/>
    <s v="Providus"/>
    <s v="YES"/>
    <n v="0"/>
    <x v="2"/>
  </r>
  <r>
    <x v="206"/>
    <x v="84"/>
    <x v="0"/>
    <x v="4"/>
    <s v="Orange"/>
    <n v="22728"/>
    <m/>
    <n v="1"/>
    <n v="22728"/>
    <m/>
    <n v="20451"/>
    <n v="20451"/>
    <n v="2277"/>
    <n v="0"/>
    <n v="37"/>
    <s v="Female"/>
    <s v="Instagram"/>
    <s v="Providus"/>
    <s v="YES"/>
    <n v="0"/>
    <x v="1"/>
  </r>
  <r>
    <x v="206"/>
    <x v="84"/>
    <x v="0"/>
    <x v="4"/>
    <s v="Lemon"/>
    <n v="22728"/>
    <m/>
    <n v="1"/>
    <n v="22728"/>
    <m/>
    <n v="20451"/>
    <n v="20451"/>
    <n v="2277"/>
    <n v="0"/>
    <n v="39"/>
    <s v="Female"/>
    <s v="Instagram"/>
    <s v="Providus"/>
    <s v="YES"/>
    <n v="0"/>
    <x v="1"/>
  </r>
  <r>
    <x v="207"/>
    <x v="85"/>
    <x v="0"/>
    <x v="4"/>
    <s v="Lemon"/>
    <n v="22728"/>
    <m/>
    <n v="1"/>
    <n v="22728"/>
    <n v="38000"/>
    <n v="20451"/>
    <n v="20451"/>
    <n v="2277"/>
    <n v="-7456"/>
    <n v="41"/>
    <s v="Female"/>
    <s v="Instagram"/>
    <s v="Polaris"/>
    <s v="YES"/>
    <n v="0"/>
    <x v="2"/>
  </r>
  <r>
    <x v="207"/>
    <x v="85"/>
    <x v="0"/>
    <x v="4"/>
    <s v="Lemon"/>
    <n v="22728"/>
    <m/>
    <n v="1"/>
    <n v="22728"/>
    <m/>
    <n v="20451"/>
    <n v="20451"/>
    <n v="2277"/>
    <n v="0"/>
    <n v="39"/>
    <s v="Female"/>
    <s v="Instagram"/>
    <s v="Polaris"/>
    <s v="YES"/>
    <n v="0"/>
    <x v="1"/>
  </r>
  <r>
    <x v="208"/>
    <x v="86"/>
    <x v="0"/>
    <x v="6"/>
    <s v="Light brown"/>
    <n v="20500"/>
    <m/>
    <n v="1"/>
    <n v="20500"/>
    <n v="36000"/>
    <n v="17339"/>
    <n v="17339"/>
    <n v="3161"/>
    <n v="-7228"/>
    <n v="40"/>
    <s v="Female"/>
    <s v="Instagram"/>
    <s v="Polaris"/>
    <s v="YES"/>
    <n v="0"/>
    <x v="2"/>
  </r>
  <r>
    <x v="208"/>
    <x v="86"/>
    <x v="0"/>
    <x v="4"/>
    <s v="Black"/>
    <n v="22728"/>
    <m/>
    <n v="1"/>
    <n v="22728"/>
    <m/>
    <n v="20451"/>
    <n v="20451"/>
    <n v="2277"/>
    <n v="0"/>
    <n v="39"/>
    <s v="Female"/>
    <s v="Instagram"/>
    <s v="Polaris"/>
    <s v="YES"/>
    <n v="0"/>
    <x v="1"/>
  </r>
  <r>
    <x v="209"/>
    <x v="86"/>
    <x v="0"/>
    <x v="1"/>
    <s v="Combo colors"/>
    <n v="12395"/>
    <m/>
    <n v="1"/>
    <n v="12395"/>
    <n v="41500"/>
    <n v="7909"/>
    <n v="7909"/>
    <n v="4486"/>
    <n v="29105"/>
    <n v="42"/>
    <s v="Female"/>
    <s v="Instagram"/>
    <s v="Providus"/>
    <s v="YES"/>
    <n v="0"/>
    <x v="0"/>
  </r>
  <r>
    <x v="210"/>
    <x v="86"/>
    <x v="0"/>
    <x v="1"/>
    <s v="Black"/>
    <n v="12395"/>
    <m/>
    <n v="1"/>
    <n v="12395"/>
    <n v="41500"/>
    <n v="7909"/>
    <n v="7909"/>
    <n v="4486"/>
    <n v="29105"/>
    <n v="40"/>
    <s v="Female"/>
    <s v="Instagram"/>
    <s v="Providus"/>
    <s v="YES"/>
    <n v="0"/>
    <x v="0"/>
  </r>
  <r>
    <x v="211"/>
    <x v="86"/>
    <x v="0"/>
    <x v="6"/>
    <s v="Wine"/>
    <n v="20500"/>
    <m/>
    <n v="1"/>
    <n v="20500"/>
    <n v="23000"/>
    <n v="17339"/>
    <n v="17339"/>
    <n v="3161"/>
    <n v="2500"/>
    <n v="43"/>
    <s v="Female"/>
    <s v="Instagram"/>
    <s v="GTB"/>
    <s v="YES"/>
    <n v="0"/>
    <x v="0"/>
  </r>
  <r>
    <x v="212"/>
    <x v="86"/>
    <x v="0"/>
    <x v="5"/>
    <s v="Red"/>
    <n v="17614"/>
    <m/>
    <n v="1"/>
    <n v="17614"/>
    <n v="36000"/>
    <n v="14912"/>
    <n v="14912"/>
    <n v="2702"/>
    <n v="3411"/>
    <n v="39"/>
    <s v="Female"/>
    <s v="Instagram"/>
    <s v="Polaris"/>
    <s v="YES"/>
    <n v="0"/>
    <x v="0"/>
  </r>
  <r>
    <x v="212"/>
    <x v="86"/>
    <x v="0"/>
    <x v="0"/>
    <s v="Red"/>
    <n v="14975"/>
    <m/>
    <n v="1"/>
    <n v="14975"/>
    <m/>
    <n v="10813"/>
    <n v="10813"/>
    <n v="4162"/>
    <n v="0"/>
    <n v="39"/>
    <s v="Female"/>
    <s v="Instagram"/>
    <s v="Polaris"/>
    <s v="YES"/>
    <n v="0"/>
    <x v="1"/>
  </r>
  <r>
    <x v="213"/>
    <x v="86"/>
    <x v="0"/>
    <x v="1"/>
    <s v="Red"/>
    <n v="12395"/>
    <m/>
    <n v="1"/>
    <n v="12395"/>
    <n v="23000"/>
    <n v="7909"/>
    <n v="7909"/>
    <n v="4486"/>
    <n v="10605"/>
    <n v="40"/>
    <s v="Female"/>
    <s v="Instagram"/>
    <s v="Providus"/>
    <s v="YES"/>
    <n v="0"/>
    <x v="0"/>
  </r>
  <r>
    <x v="214"/>
    <x v="87"/>
    <x v="0"/>
    <x v="0"/>
    <s v="Royal blue"/>
    <n v="14975"/>
    <m/>
    <n v="1"/>
    <n v="14975"/>
    <n v="19500"/>
    <n v="10813"/>
    <n v="10813"/>
    <n v="4162"/>
    <n v="4525"/>
    <n v="41"/>
    <s v="Female"/>
    <s v="Instagram"/>
    <s v="Polaris"/>
    <s v="YES"/>
    <n v="0"/>
    <x v="0"/>
  </r>
  <r>
    <x v="215"/>
    <x v="88"/>
    <x v="0"/>
    <x v="1"/>
    <s v="Black"/>
    <n v="12395"/>
    <m/>
    <n v="1"/>
    <n v="12395"/>
    <n v="19500"/>
    <n v="7909"/>
    <n v="7909"/>
    <n v="4486"/>
    <n v="7105"/>
    <n v="42"/>
    <s v="Female"/>
    <s v="Instagram"/>
    <s v="Polaris"/>
    <s v="YES"/>
    <n v="0"/>
    <x v="0"/>
  </r>
  <r>
    <x v="216"/>
    <x v="88"/>
    <x v="15"/>
    <x v="1"/>
    <s v="Black"/>
    <n v="12395"/>
    <m/>
    <n v="1"/>
    <n v="12395"/>
    <n v="44600"/>
    <n v="7909"/>
    <n v="7909"/>
    <n v="4486"/>
    <n v="32205"/>
    <n v="40"/>
    <s v="Female"/>
    <s v="Instagram"/>
    <s v="Providus"/>
    <s v="YES"/>
    <n v="0"/>
    <x v="0"/>
  </r>
  <r>
    <x v="217"/>
    <x v="88"/>
    <x v="15"/>
    <x v="1"/>
    <s v="Black"/>
    <n v="12395"/>
    <m/>
    <n v="1"/>
    <n v="12395"/>
    <n v="44600"/>
    <n v="7909"/>
    <n v="7909"/>
    <n v="4486"/>
    <n v="32205"/>
    <n v="40"/>
    <s v="Female"/>
    <s v="Instagram"/>
    <s v="Providus"/>
    <s v="YES"/>
    <n v="0"/>
    <x v="0"/>
  </r>
  <r>
    <x v="218"/>
    <x v="89"/>
    <x v="3"/>
    <x v="4"/>
    <s v="Sky blue"/>
    <n v="22728"/>
    <m/>
    <n v="1"/>
    <n v="22728"/>
    <n v="44800"/>
    <n v="20451"/>
    <n v="20451"/>
    <n v="2277"/>
    <n v="12234"/>
    <n v="39"/>
    <s v="Female"/>
    <s v="Instagram"/>
    <s v="Providus"/>
    <s v="YES"/>
    <n v="0"/>
    <x v="0"/>
  </r>
  <r>
    <x v="218"/>
    <x v="89"/>
    <x v="3"/>
    <x v="8"/>
    <s v="Black"/>
    <n v="9838"/>
    <m/>
    <n v="1"/>
    <n v="9838"/>
    <m/>
    <n v="6687"/>
    <n v="6687"/>
    <n v="3151"/>
    <n v="0"/>
    <n v="39"/>
    <s v="Female"/>
    <s v="Instagram"/>
    <s v="Providus"/>
    <s v="YES"/>
    <n v="0"/>
    <x v="1"/>
  </r>
  <r>
    <x v="219"/>
    <x v="89"/>
    <x v="0"/>
    <x v="1"/>
    <s v="Light Grey "/>
    <n v="12395"/>
    <m/>
    <n v="1"/>
    <n v="12395"/>
    <n v="42500"/>
    <n v="7909"/>
    <n v="7909"/>
    <n v="4486"/>
    <n v="30105"/>
    <n v="39"/>
    <s v="Female"/>
    <s v="Instagram"/>
    <s v="Providus"/>
    <s v="YES"/>
    <n v="0"/>
    <x v="0"/>
  </r>
  <r>
    <x v="220"/>
    <x v="89"/>
    <x v="0"/>
    <x v="4"/>
    <s v="Red"/>
    <n v="22728"/>
    <m/>
    <n v="1"/>
    <n v="22728"/>
    <n v="42500"/>
    <n v="20451"/>
    <n v="20451"/>
    <n v="2277"/>
    <n v="19772"/>
    <n v="39"/>
    <s v="Female"/>
    <s v="Instagram"/>
    <s v="Providus"/>
    <s v="YES"/>
    <n v="0"/>
    <x v="0"/>
  </r>
  <r>
    <x v="221"/>
    <x v="89"/>
    <x v="0"/>
    <x v="4"/>
    <s v="Yellow"/>
    <n v="22728"/>
    <m/>
    <n v="1"/>
    <n v="22728"/>
    <n v="39000"/>
    <n v="20451"/>
    <n v="20451"/>
    <n v="2277"/>
    <n v="-6456"/>
    <n v="39"/>
    <s v="Female"/>
    <s v="Instagram"/>
    <s v="Providus"/>
    <s v="YES"/>
    <n v="0"/>
    <x v="2"/>
  </r>
  <r>
    <x v="221"/>
    <x v="89"/>
    <x v="0"/>
    <x v="4"/>
    <s v="Yellow"/>
    <n v="22728"/>
    <m/>
    <n v="1"/>
    <n v="22728"/>
    <m/>
    <n v="20451"/>
    <n v="20451"/>
    <n v="2277"/>
    <n v="0"/>
    <n v="39"/>
    <s v="Female"/>
    <s v="Instagram"/>
    <s v="Providus"/>
    <s v="YES"/>
    <n v="0"/>
    <x v="1"/>
  </r>
  <r>
    <x v="222"/>
    <x v="90"/>
    <x v="5"/>
    <x v="18"/>
    <s v="Black"/>
    <n v="18661"/>
    <m/>
    <n v="1"/>
    <n v="18661"/>
    <n v="39000"/>
    <n v="13922"/>
    <n v="13922"/>
    <n v="4739"/>
    <n v="20339"/>
    <n v="37"/>
    <s v="Female"/>
    <s v="Instagram"/>
    <s v="GTB"/>
    <s v="YES"/>
    <n v="0"/>
    <x v="0"/>
  </r>
  <r>
    <x v="223"/>
    <x v="90"/>
    <x v="0"/>
    <x v="8"/>
    <s v="Black"/>
    <n v="9838"/>
    <m/>
    <n v="1"/>
    <n v="9838"/>
    <n v="23000"/>
    <n v="6687"/>
    <n v="6687"/>
    <n v="3151"/>
    <n v="13162"/>
    <n v="38"/>
    <s v="Female"/>
    <s v="Instagram"/>
    <s v="GTB"/>
    <s v="YES"/>
    <n v="0"/>
    <x v="0"/>
  </r>
  <r>
    <x v="224"/>
    <x v="91"/>
    <x v="0"/>
    <x v="8"/>
    <s v="Black"/>
    <n v="9838"/>
    <m/>
    <n v="1"/>
    <n v="9838"/>
    <n v="43000"/>
    <n v="6687"/>
    <n v="6687"/>
    <n v="3151"/>
    <n v="23324"/>
    <n v="40"/>
    <s v="Female"/>
    <s v="Instagram"/>
    <s v="GTB"/>
    <s v="YES"/>
    <n v="0"/>
    <x v="0"/>
  </r>
  <r>
    <x v="224"/>
    <x v="91"/>
    <x v="0"/>
    <x v="8"/>
    <s v="Combo colors"/>
    <n v="9838"/>
    <m/>
    <n v="1"/>
    <n v="9838"/>
    <m/>
    <n v="6687"/>
    <n v="6687"/>
    <n v="3151"/>
    <n v="0"/>
    <n v="40"/>
    <s v="Female"/>
    <s v="Instagram"/>
    <s v="GTB"/>
    <s v="YES"/>
    <n v="0"/>
    <x v="1"/>
  </r>
  <r>
    <x v="225"/>
    <x v="91"/>
    <x v="0"/>
    <x v="5"/>
    <s v="Black"/>
    <n v="17614"/>
    <m/>
    <n v="1"/>
    <n v="17614"/>
    <n v="97000"/>
    <n v="14912"/>
    <n v="14912"/>
    <n v="2702"/>
    <n v="8930"/>
    <n v="41"/>
    <s v="Female"/>
    <s v="Whatsapp"/>
    <s v="Providus"/>
    <s v="YES"/>
    <n v="0"/>
    <x v="0"/>
  </r>
  <r>
    <x v="225"/>
    <x v="91"/>
    <x v="0"/>
    <x v="5"/>
    <s v="Black"/>
    <n v="17614"/>
    <m/>
    <n v="1"/>
    <n v="17614"/>
    <m/>
    <n v="14912"/>
    <n v="14912"/>
    <n v="2702"/>
    <n v="0"/>
    <n v="41"/>
    <s v="Female"/>
    <s v="Whatsapp"/>
    <s v="Providus"/>
    <s v="YES"/>
    <n v="0"/>
    <x v="1"/>
  </r>
  <r>
    <x v="225"/>
    <x v="91"/>
    <x v="0"/>
    <x v="5"/>
    <s v="Yellow"/>
    <n v="17614"/>
    <m/>
    <n v="1"/>
    <n v="17614"/>
    <m/>
    <n v="14912"/>
    <n v="14912"/>
    <n v="2702"/>
    <n v="0"/>
    <n v="41"/>
    <s v="Female"/>
    <s v="Whatsapp"/>
    <s v="Providus"/>
    <s v="YES"/>
    <n v="0"/>
    <x v="1"/>
  </r>
  <r>
    <x v="225"/>
    <x v="91"/>
    <x v="0"/>
    <x v="5"/>
    <s v="Royal blue"/>
    <n v="17614"/>
    <m/>
    <n v="1"/>
    <n v="17614"/>
    <m/>
    <n v="14912"/>
    <n v="14912"/>
    <n v="2702"/>
    <n v="0"/>
    <n v="41"/>
    <s v="Female"/>
    <s v="Whatsapp"/>
    <s v="Providus"/>
    <s v="YES"/>
    <n v="0"/>
    <x v="1"/>
  </r>
  <r>
    <x v="225"/>
    <x v="91"/>
    <x v="0"/>
    <x v="5"/>
    <s v="Black"/>
    <n v="17614"/>
    <m/>
    <n v="1"/>
    <n v="17614"/>
    <m/>
    <n v="14912"/>
    <n v="14912"/>
    <n v="2702"/>
    <n v="0"/>
    <n v="41"/>
    <s v="Female"/>
    <s v="Whatsapp"/>
    <s v="Providus"/>
    <s v="YES"/>
    <n v="0"/>
    <x v="1"/>
  </r>
  <r>
    <x v="226"/>
    <x v="92"/>
    <x v="0"/>
    <x v="10"/>
    <s v="Green"/>
    <n v="10509"/>
    <m/>
    <n v="1"/>
    <n v="10509"/>
    <n v="20962.5"/>
    <n v="7573"/>
    <n v="7573"/>
    <n v="2936"/>
    <n v="10453.5"/>
    <n v="39"/>
    <s v="Female"/>
    <s v="Instagram"/>
    <s v="Providus"/>
    <s v="YES"/>
    <n v="0"/>
    <x v="0"/>
  </r>
  <r>
    <x v="227"/>
    <x v="93"/>
    <x v="6"/>
    <x v="6"/>
    <s v="Orange"/>
    <n v="20500"/>
    <m/>
    <n v="1"/>
    <n v="20500"/>
    <n v="21000"/>
    <n v="17339"/>
    <n v="17339"/>
    <n v="3161"/>
    <n v="-20000"/>
    <n v="43"/>
    <s v="Female"/>
    <s v="Instagram"/>
    <s v="Providus"/>
    <s v="YES"/>
    <n v="0"/>
    <x v="2"/>
  </r>
  <r>
    <x v="227"/>
    <x v="93"/>
    <x v="6"/>
    <x v="6"/>
    <s v="Orange"/>
    <n v="20500"/>
    <m/>
    <n v="1"/>
    <n v="20500"/>
    <m/>
    <n v="17339"/>
    <n v="17339"/>
    <n v="3161"/>
    <n v="0"/>
    <n v="43"/>
    <s v="Female"/>
    <s v="Instagram"/>
    <s v="Providus"/>
    <s v="YES"/>
    <n v="0"/>
    <x v="1"/>
  </r>
  <r>
    <x v="228"/>
    <x v="94"/>
    <x v="0"/>
    <x v="1"/>
    <s v="Black"/>
    <n v="12395"/>
    <m/>
    <n v="1"/>
    <n v="12395"/>
    <n v="19500"/>
    <n v="7909"/>
    <n v="7909"/>
    <n v="4486"/>
    <n v="7105"/>
    <n v="42"/>
    <s v="Female"/>
    <s v="Instagram"/>
    <s v="GTB"/>
    <s v="YES"/>
    <n v="0"/>
    <x v="0"/>
  </r>
  <r>
    <x v="229"/>
    <x v="94"/>
    <x v="0"/>
    <x v="16"/>
    <s v="Combo colors"/>
    <n v="20502"/>
    <m/>
    <n v="1"/>
    <n v="20502"/>
    <n v="22500"/>
    <n v="18239"/>
    <n v="18239"/>
    <n v="2263"/>
    <n v="1998"/>
    <n v="38"/>
    <s v="Female"/>
    <s v="Instagram"/>
    <s v="GTB"/>
    <s v="YES"/>
    <n v="0"/>
    <x v="0"/>
  </r>
  <r>
    <x v="230"/>
    <x v="94"/>
    <x v="0"/>
    <x v="8"/>
    <s v="Dark pink"/>
    <n v="9838"/>
    <m/>
    <n v="1"/>
    <n v="9838"/>
    <n v="81000"/>
    <n v="6687"/>
    <n v="6687"/>
    <n v="3151"/>
    <n v="23644"/>
    <n v="40"/>
    <s v="Female"/>
    <s v="Instagram"/>
    <s v="Polaris"/>
    <s v="YES"/>
    <n v="0"/>
    <x v="0"/>
  </r>
  <r>
    <x v="230"/>
    <x v="94"/>
    <x v="0"/>
    <x v="4"/>
    <s v="Combo colors"/>
    <n v="22728"/>
    <m/>
    <n v="1"/>
    <n v="22728"/>
    <m/>
    <n v="20451"/>
    <n v="20451"/>
    <n v="2277"/>
    <n v="0"/>
    <n v="40"/>
    <s v="Female"/>
    <s v="Instagram"/>
    <s v="Polaris"/>
    <s v="YES"/>
    <n v="0"/>
    <x v="1"/>
  </r>
  <r>
    <x v="230"/>
    <x v="94"/>
    <x v="0"/>
    <x v="1"/>
    <s v="Combo colors"/>
    <n v="12395"/>
    <m/>
    <n v="1"/>
    <n v="12395"/>
    <m/>
    <n v="7909"/>
    <n v="7909"/>
    <n v="4486"/>
    <n v="0"/>
    <n v="38"/>
    <s v="Female"/>
    <s v="Instagram"/>
    <s v="Polaris"/>
    <s v="YES"/>
    <n v="0"/>
    <x v="1"/>
  </r>
  <r>
    <x v="230"/>
    <x v="94"/>
    <x v="0"/>
    <x v="1"/>
    <s v="Combo colors"/>
    <n v="12395"/>
    <m/>
    <n v="1"/>
    <n v="12395"/>
    <m/>
    <n v="7909"/>
    <n v="7909"/>
    <n v="4486"/>
    <n v="0"/>
    <n v="38"/>
    <s v="Female"/>
    <s v="Instagram"/>
    <s v="Polaris"/>
    <s v="YES"/>
    <n v="0"/>
    <x v="1"/>
  </r>
  <r>
    <x v="231"/>
    <x v="95"/>
    <x v="5"/>
    <x v="1"/>
    <s v="Light brown"/>
    <n v="12395"/>
    <m/>
    <n v="1"/>
    <n v="12395"/>
    <n v="25762"/>
    <n v="7909"/>
    <n v="7909"/>
    <n v="4486"/>
    <n v="13367"/>
    <n v="42"/>
    <s v="Female"/>
    <s v="Website"/>
    <s v="GTB"/>
    <s v="YES"/>
    <n v="0"/>
    <x v="0"/>
  </r>
  <r>
    <x v="232"/>
    <x v="96"/>
    <x v="0"/>
    <x v="5"/>
    <s v="Yellow"/>
    <n v="17614"/>
    <m/>
    <n v="1"/>
    <n v="17614"/>
    <n v="24500"/>
    <n v="14912"/>
    <n v="14912"/>
    <n v="2702"/>
    <n v="6886"/>
    <n v="39"/>
    <s v="Female"/>
    <s v="Website"/>
    <s v="Polaris"/>
    <s v="YES"/>
    <n v="0"/>
    <x v="0"/>
  </r>
  <r>
    <x v="233"/>
    <x v="97"/>
    <x v="0"/>
    <x v="22"/>
    <s v="Black"/>
    <n v="15680"/>
    <m/>
    <n v="1"/>
    <n v="15680"/>
    <m/>
    <n v="12049"/>
    <n v="12049"/>
    <n v="3631"/>
    <n v="0"/>
    <n v="38"/>
    <s v="Female"/>
    <s v="Instagram"/>
    <s v="Polaris"/>
    <s v="YES"/>
    <n v="0"/>
    <x v="1"/>
  </r>
  <r>
    <x v="233"/>
    <x v="97"/>
    <x v="0"/>
    <x v="20"/>
    <s v="Combo colors"/>
    <n v="21405"/>
    <m/>
    <n v="1"/>
    <n v="21405"/>
    <m/>
    <n v="17426"/>
    <n v="17426"/>
    <n v="3979"/>
    <n v="0"/>
    <n v="39"/>
    <s v="Female"/>
    <s v="Instagram"/>
    <s v="Polaris"/>
    <s v="YES"/>
    <n v="0"/>
    <x v="1"/>
  </r>
  <r>
    <x v="234"/>
    <x v="97"/>
    <x v="0"/>
    <x v="6"/>
    <s v="Light brown"/>
    <n v="20500"/>
    <m/>
    <n v="1"/>
    <n v="20500"/>
    <n v="25000"/>
    <n v="17339"/>
    <n v="17339"/>
    <n v="3161"/>
    <n v="4500"/>
    <n v="43"/>
    <s v="Female"/>
    <s v="Website"/>
    <s v="GTB"/>
    <s v="YES"/>
    <n v="0"/>
    <x v="0"/>
  </r>
  <r>
    <x v="235"/>
    <x v="98"/>
    <x v="0"/>
    <x v="1"/>
    <s v="Purple "/>
    <n v="12395"/>
    <m/>
    <n v="1"/>
    <n v="12395"/>
    <n v="18000"/>
    <n v="7909"/>
    <n v="7909"/>
    <n v="4486"/>
    <n v="5605"/>
    <n v="40"/>
    <s v="Female"/>
    <s v="Instagram"/>
    <s v="GTB"/>
    <s v="YES"/>
    <n v="0"/>
    <x v="0"/>
  </r>
  <r>
    <x v="236"/>
    <x v="98"/>
    <x v="0"/>
    <x v="10"/>
    <s v="Red"/>
    <n v="10509"/>
    <m/>
    <n v="1"/>
    <n v="10509"/>
    <n v="23000"/>
    <n v="7573"/>
    <n v="7573"/>
    <n v="2936"/>
    <n v="12491"/>
    <n v="39"/>
    <s v="Female"/>
    <s v="Website"/>
    <s v="Providus"/>
    <s v="YES"/>
    <n v="0"/>
    <x v="0"/>
  </r>
  <r>
    <x v="237"/>
    <x v="98"/>
    <x v="0"/>
    <x v="6"/>
    <s v="Black"/>
    <n v="20500"/>
    <m/>
    <n v="1"/>
    <n v="20500"/>
    <n v="46000"/>
    <n v="17339"/>
    <n v="17339"/>
    <n v="3161"/>
    <n v="25500"/>
    <n v="40"/>
    <s v="Female"/>
    <s v="Instagram"/>
    <s v="GTB"/>
    <s v="YES"/>
    <n v="0"/>
    <x v="0"/>
  </r>
  <r>
    <x v="238"/>
    <x v="98"/>
    <x v="0"/>
    <x v="8"/>
    <s v="Navy blue"/>
    <n v="9838"/>
    <m/>
    <n v="1"/>
    <n v="9838"/>
    <n v="23000"/>
    <n v="6687"/>
    <n v="6687"/>
    <n v="3151"/>
    <n v="13162"/>
    <n v="40"/>
    <s v="Female"/>
    <s v="Instagram"/>
    <s v="Providus"/>
    <s v="YES"/>
    <n v="0"/>
    <x v="0"/>
  </r>
  <r>
    <x v="239"/>
    <x v="97"/>
    <x v="0"/>
    <x v="6"/>
    <s v="Wine"/>
    <n v="20500"/>
    <m/>
    <n v="1"/>
    <n v="20500"/>
    <n v="15000"/>
    <n v="17339"/>
    <n v="17339"/>
    <n v="3161"/>
    <n v="-5500"/>
    <n v="40"/>
    <s v="Female"/>
    <s v="Instagram"/>
    <s v="Polaris"/>
    <s v="YES"/>
    <n v="0"/>
    <x v="2"/>
  </r>
  <r>
    <x v="240"/>
    <x v="99"/>
    <x v="6"/>
    <x v="0"/>
    <s v="Dark brown"/>
    <n v="14975"/>
    <m/>
    <n v="1"/>
    <n v="14975"/>
    <n v="21000"/>
    <n v="10813"/>
    <n v="10813"/>
    <n v="4162"/>
    <n v="6025"/>
    <n v="43"/>
    <s v="Female"/>
    <s v="Instagram"/>
    <s v="Providus"/>
    <s v="YES"/>
    <n v="0"/>
    <x v="0"/>
  </r>
  <r>
    <x v="241"/>
    <x v="99"/>
    <x v="0"/>
    <x v="1"/>
    <s v="Green"/>
    <n v="12395"/>
    <m/>
    <n v="1"/>
    <n v="12395"/>
    <n v="62000"/>
    <n v="7909"/>
    <n v="7909"/>
    <n v="4486"/>
    <n v="17016"/>
    <n v="38"/>
    <s v="Female"/>
    <s v="Instagram"/>
    <s v="GTB"/>
    <s v="YES"/>
    <n v="0"/>
    <x v="0"/>
  </r>
  <r>
    <x v="241"/>
    <x v="99"/>
    <x v="0"/>
    <x v="5"/>
    <s v="Sky blue"/>
    <n v="17614"/>
    <m/>
    <n v="1"/>
    <n v="17614"/>
    <m/>
    <n v="14912"/>
    <n v="14912"/>
    <n v="2702"/>
    <n v="0"/>
    <n v="38"/>
    <s v="Female"/>
    <s v="Instagram"/>
    <s v="GTB"/>
    <s v="YES"/>
    <n v="0"/>
    <x v="1"/>
  </r>
  <r>
    <x v="241"/>
    <x v="99"/>
    <x v="0"/>
    <x v="0"/>
    <s v="Black"/>
    <n v="14975"/>
    <m/>
    <n v="1"/>
    <n v="14975"/>
    <m/>
    <n v="10813"/>
    <n v="10813"/>
    <n v="4162"/>
    <n v="0"/>
    <n v="38"/>
    <s v="Female"/>
    <s v="Instagram"/>
    <s v="GTB"/>
    <s v="YES"/>
    <n v="0"/>
    <x v="1"/>
  </r>
  <r>
    <x v="242"/>
    <x v="100"/>
    <x v="7"/>
    <x v="8"/>
    <s v="Black"/>
    <n v="9838"/>
    <m/>
    <n v="1"/>
    <n v="9838"/>
    <n v="26000"/>
    <n v="6687"/>
    <n v="6687"/>
    <n v="3151"/>
    <n v="16162"/>
    <n v="42"/>
    <s v="Female"/>
    <s v="Facebook"/>
    <s v="GTB"/>
    <s v="YES"/>
    <n v="0"/>
    <x v="0"/>
  </r>
  <r>
    <x v="243"/>
    <x v="100"/>
    <x v="0"/>
    <x v="1"/>
    <s v="Light brown"/>
    <n v="12395"/>
    <m/>
    <n v="1"/>
    <n v="12395"/>
    <n v="22500"/>
    <n v="7909"/>
    <n v="7909"/>
    <n v="4486"/>
    <n v="10105"/>
    <n v="40"/>
    <s v="Female"/>
    <s v="Instagram DM"/>
    <s v="Polaris"/>
    <s v="YES"/>
    <n v="0"/>
    <x v="0"/>
  </r>
  <r>
    <x v="244"/>
    <x v="101"/>
    <x v="0"/>
    <x v="8"/>
    <s v="Black"/>
    <n v="9838"/>
    <m/>
    <n v="1"/>
    <n v="9838"/>
    <n v="23350"/>
    <n v="6687"/>
    <n v="6687"/>
    <n v="3151"/>
    <n v="13512"/>
    <n v="43"/>
    <s v="Female"/>
    <s v="Instagram DM"/>
    <s v="GTB"/>
    <s v="YES"/>
    <n v="0"/>
    <x v="0"/>
  </r>
  <r>
    <x v="245"/>
    <x v="101"/>
    <x v="0"/>
    <x v="8"/>
    <s v="Red"/>
    <n v="9838"/>
    <m/>
    <n v="1"/>
    <n v="9838"/>
    <n v="58500"/>
    <n v="6687"/>
    <n v="6687"/>
    <n v="3151"/>
    <n v="16096"/>
    <n v="42"/>
    <s v="Female"/>
    <s v="Instagram DM"/>
    <s v="GTB"/>
    <s v="YES"/>
    <n v="0"/>
    <x v="0"/>
  </r>
  <r>
    <x v="245"/>
    <x v="101"/>
    <x v="0"/>
    <x v="4"/>
    <s v="Combo colors"/>
    <n v="22728"/>
    <m/>
    <n v="1"/>
    <n v="22728"/>
    <m/>
    <n v="20451"/>
    <n v="20451"/>
    <n v="2277"/>
    <n v="0"/>
    <n v="40"/>
    <s v="Female"/>
    <s v="Instagram"/>
    <s v="GTB"/>
    <s v="YES"/>
    <n v="0"/>
    <x v="1"/>
  </r>
  <r>
    <x v="245"/>
    <x v="101"/>
    <x v="0"/>
    <x v="8"/>
    <s v="Dark brown"/>
    <n v="9838"/>
    <m/>
    <n v="1"/>
    <n v="9838"/>
    <m/>
    <n v="6687"/>
    <n v="6687"/>
    <n v="3151"/>
    <n v="0"/>
    <n v="40"/>
    <s v="Female"/>
    <s v="Instagram"/>
    <s v="GTB"/>
    <s v="YES"/>
    <n v="0"/>
    <x v="1"/>
  </r>
  <r>
    <x v="246"/>
    <x v="102"/>
    <x v="0"/>
    <x v="4"/>
    <s v="Sky blue"/>
    <n v="22728"/>
    <m/>
    <n v="1"/>
    <n v="22728"/>
    <n v="37732"/>
    <n v="20451"/>
    <n v="20451"/>
    <n v="2277"/>
    <n v="4495"/>
    <n v="39"/>
    <s v="Female"/>
    <s v="Website"/>
    <s v="Polaris"/>
    <s v="YES"/>
    <n v="0"/>
    <x v="0"/>
  </r>
  <r>
    <x v="246"/>
    <x v="102"/>
    <x v="0"/>
    <x v="10"/>
    <s v="Combo colors"/>
    <n v="10509"/>
    <m/>
    <n v="1"/>
    <n v="10509"/>
    <m/>
    <n v="7573"/>
    <n v="7573"/>
    <n v="2936"/>
    <n v="0"/>
    <n v="39"/>
    <s v="Female"/>
    <s v="Website"/>
    <s v="Polaris"/>
    <s v="YES"/>
    <n v="0"/>
    <x v="1"/>
  </r>
  <r>
    <x v="247"/>
    <x v="102"/>
    <x v="6"/>
    <x v="6"/>
    <s v="Light brown"/>
    <n v="20500"/>
    <m/>
    <n v="1"/>
    <n v="20500"/>
    <n v="72000"/>
    <n v="17339"/>
    <n v="17339"/>
    <n v="3161"/>
    <n v="5132"/>
    <n v="42"/>
    <s v="Female"/>
    <s v="Channel"/>
    <s v="Polaris"/>
    <s v="YES"/>
    <n v="0"/>
    <x v="0"/>
  </r>
  <r>
    <x v="247"/>
    <x v="102"/>
    <x v="6"/>
    <x v="4"/>
    <s v="Light brown"/>
    <n v="22728"/>
    <m/>
    <n v="1"/>
    <n v="22728"/>
    <m/>
    <n v="20451"/>
    <n v="20451"/>
    <n v="2277"/>
    <n v="0"/>
    <n v="42"/>
    <s v="Female"/>
    <s v="Channel"/>
    <s v="Polaris"/>
    <s v="YES"/>
    <n v="0"/>
    <x v="1"/>
  </r>
  <r>
    <x v="247"/>
    <x v="102"/>
    <x v="6"/>
    <x v="23"/>
    <s v="Black"/>
    <n v="12633"/>
    <m/>
    <n v="1"/>
    <n v="12633"/>
    <m/>
    <n v="8399"/>
    <n v="8399"/>
    <n v="4234"/>
    <n v="0"/>
    <n v="45"/>
    <s v="Female"/>
    <s v="Channel"/>
    <s v="Polaris"/>
    <s v="YES"/>
    <n v="0"/>
    <x v="1"/>
  </r>
  <r>
    <x v="247"/>
    <x v="102"/>
    <x v="6"/>
    <x v="7"/>
    <s v="Navy blue"/>
    <n v="11007"/>
    <m/>
    <n v="1"/>
    <n v="11007"/>
    <m/>
    <n v="8327"/>
    <n v="8327"/>
    <n v="2680"/>
    <n v="0"/>
    <n v="45"/>
    <s v="Female"/>
    <s v="Channel"/>
    <s v="Polaris"/>
    <s v="YES"/>
    <n v="0"/>
    <x v="1"/>
  </r>
  <r>
    <x v="248"/>
    <x v="102"/>
    <x v="0"/>
    <x v="4"/>
    <s v="Light brown"/>
    <n v="22728"/>
    <m/>
    <n v="1"/>
    <n v="22728"/>
    <n v="37732"/>
    <n v="20451"/>
    <n v="20451"/>
    <n v="2277"/>
    <n v="-7724"/>
    <n v="40"/>
    <s v="Female"/>
    <s v="Website"/>
    <s v="Providus"/>
    <s v="YES"/>
    <n v="0"/>
    <x v="2"/>
  </r>
  <r>
    <x v="248"/>
    <x v="102"/>
    <x v="0"/>
    <x v="4"/>
    <s v="Sky blue"/>
    <n v="22728"/>
    <m/>
    <n v="1"/>
    <n v="22728"/>
    <m/>
    <n v="20451"/>
    <n v="20451"/>
    <n v="2277"/>
    <n v="0"/>
    <n v="40"/>
    <s v="Female"/>
    <s v="Website"/>
    <s v="Providus"/>
    <s v="YES"/>
    <n v="0"/>
    <x v="1"/>
  </r>
  <r>
    <x v="249"/>
    <x v="103"/>
    <x v="0"/>
    <x v="4"/>
    <s v="Combo colors"/>
    <n v="22728"/>
    <m/>
    <n v="1"/>
    <n v="22728"/>
    <n v="19500"/>
    <n v="20451"/>
    <n v="20451"/>
    <n v="2277"/>
    <n v="-3228"/>
    <n v="40"/>
    <s v="Female"/>
    <s v="Instagram"/>
    <s v="GTB"/>
    <s v="YES"/>
    <n v="0"/>
    <x v="2"/>
  </r>
  <r>
    <x v="250"/>
    <x v="103"/>
    <x v="0"/>
    <x v="10"/>
    <s v="Black"/>
    <n v="10509"/>
    <m/>
    <n v="1"/>
    <n v="10509"/>
    <n v="19500"/>
    <n v="7573"/>
    <n v="7573"/>
    <n v="2936"/>
    <n v="8991"/>
    <n v="39"/>
    <s v="Female"/>
    <s v="Instagram"/>
    <s v="GTB"/>
    <s v="YES"/>
    <n v="0"/>
    <x v="0"/>
  </r>
  <r>
    <x v="251"/>
    <x v="103"/>
    <x v="0"/>
    <x v="10"/>
    <s v="Black"/>
    <n v="10509"/>
    <m/>
    <n v="1"/>
    <n v="10509"/>
    <n v="19500"/>
    <n v="7573"/>
    <n v="7573"/>
    <n v="2936"/>
    <n v="8991"/>
    <n v="39"/>
    <s v="Female"/>
    <s v="Instagram DM"/>
    <s v="Polaris"/>
    <s v="YES"/>
    <n v="0"/>
    <x v="0"/>
  </r>
  <r>
    <x v="252"/>
    <x v="104"/>
    <x v="0"/>
    <x v="1"/>
    <s v="Combo colors"/>
    <n v="12395"/>
    <m/>
    <n v="1"/>
    <n v="12395"/>
    <n v="19500"/>
    <n v="7909"/>
    <n v="7909"/>
    <n v="4486"/>
    <n v="7105"/>
    <n v="39"/>
    <s v="Female"/>
    <s v="Instagram DM"/>
    <s v="Polaris"/>
    <s v="YES"/>
    <n v="0"/>
    <x v="0"/>
  </r>
  <r>
    <x v="253"/>
    <x v="104"/>
    <x v="0"/>
    <x v="9"/>
    <s v="Green"/>
    <n v="10196"/>
    <m/>
    <n v="1"/>
    <n v="10196"/>
    <n v="84200"/>
    <n v="7050"/>
    <n v="7050"/>
    <n v="3146"/>
    <n v="53612"/>
    <n v="40"/>
    <s v="Female"/>
    <s v="Website"/>
    <s v="Polaris"/>
    <s v="YES"/>
    <n v="0"/>
    <x v="0"/>
  </r>
  <r>
    <x v="253"/>
    <x v="104"/>
    <x v="0"/>
    <x v="9"/>
    <s v="Wine"/>
    <n v="10196"/>
    <m/>
    <n v="1"/>
    <n v="10196"/>
    <m/>
    <n v="7050"/>
    <n v="7050"/>
    <n v="3146"/>
    <n v="0"/>
    <n v="40"/>
    <s v="Female"/>
    <s v="Website"/>
    <s v="Polaris"/>
    <s v="YES"/>
    <n v="0"/>
    <x v="1"/>
  </r>
  <r>
    <x v="253"/>
    <x v="104"/>
    <x v="0"/>
    <x v="9"/>
    <s v="Green"/>
    <n v="10196"/>
    <m/>
    <n v="1"/>
    <n v="10196"/>
    <m/>
    <n v="7050"/>
    <n v="7050"/>
    <n v="3146"/>
    <n v="0"/>
    <n v="40"/>
    <s v="Female"/>
    <s v="Website"/>
    <s v="Polaris"/>
    <s v="YES"/>
    <n v="0"/>
    <x v="1"/>
  </r>
  <r>
    <x v="254"/>
    <x v="104"/>
    <x v="0"/>
    <x v="10"/>
    <s v="Combo colors"/>
    <n v="10509"/>
    <m/>
    <n v="1"/>
    <n v="10509"/>
    <n v="64000"/>
    <n v="7573"/>
    <n v="7573"/>
    <n v="2936"/>
    <n v="10474"/>
    <n v="40"/>
    <s v="Female"/>
    <s v="Whatsapp"/>
    <s v="Polaris"/>
    <s v="YES"/>
    <n v="0"/>
    <x v="0"/>
  </r>
  <r>
    <x v="254"/>
    <x v="104"/>
    <x v="0"/>
    <x v="6"/>
    <s v="Light brown"/>
    <n v="20500"/>
    <m/>
    <n v="1"/>
    <n v="20500"/>
    <m/>
    <n v="17339"/>
    <n v="17339"/>
    <n v="3161"/>
    <n v="0"/>
    <n v="40"/>
    <s v="Female"/>
    <s v="Whatsapp"/>
    <s v="Polaris"/>
    <s v="YES"/>
    <n v="0"/>
    <x v="1"/>
  </r>
  <r>
    <x v="254"/>
    <x v="104"/>
    <x v="0"/>
    <x v="17"/>
    <s v="Wine"/>
    <n v="22517"/>
    <m/>
    <n v="1"/>
    <n v="22517"/>
    <m/>
    <n v="18931"/>
    <n v="18931"/>
    <n v="3586"/>
    <n v="0"/>
    <n v="40"/>
    <s v="Female"/>
    <s v="Whatsapp"/>
    <s v="Polaris"/>
    <s v="YES"/>
    <n v="0"/>
    <x v="1"/>
  </r>
  <r>
    <x v="255"/>
    <x v="105"/>
    <x v="0"/>
    <x v="6"/>
    <s v="Dark brown"/>
    <n v="20500"/>
    <m/>
    <n v="1"/>
    <n v="20500"/>
    <n v="46225"/>
    <n v="17339"/>
    <n v="17339"/>
    <n v="3161"/>
    <n v="5225"/>
    <n v="42"/>
    <s v="Female"/>
    <s v="Website"/>
    <s v="Providus"/>
    <s v="YES"/>
    <n v="0"/>
    <x v="0"/>
  </r>
  <r>
    <x v="255"/>
    <x v="105"/>
    <x v="0"/>
    <x v="6"/>
    <s v="Dark brown"/>
    <n v="20500"/>
    <m/>
    <n v="1"/>
    <n v="20500"/>
    <m/>
    <n v="17339"/>
    <n v="17339"/>
    <n v="3161"/>
    <n v="0"/>
    <n v="42"/>
    <s v="Female"/>
    <s v="Website"/>
    <s v="Providus"/>
    <s v="YES"/>
    <n v="0"/>
    <x v="1"/>
  </r>
  <r>
    <x v="256"/>
    <x v="105"/>
    <x v="0"/>
    <x v="1"/>
    <s v="Black"/>
    <n v="12395"/>
    <m/>
    <n v="1"/>
    <n v="12395"/>
    <n v="20962.5"/>
    <n v="7909"/>
    <n v="7909"/>
    <n v="4486"/>
    <n v="8567.5"/>
    <n v="39"/>
    <s v="Female"/>
    <s v="Website"/>
    <s v="Providus"/>
    <s v="YES"/>
    <n v="0"/>
    <x v="0"/>
  </r>
  <r>
    <x v="257"/>
    <x v="105"/>
    <x v="0"/>
    <x v="1"/>
    <s v="Dark pink"/>
    <n v="12395"/>
    <m/>
    <n v="1"/>
    <n v="12395"/>
    <n v="93300"/>
    <n v="7909"/>
    <n v="7909"/>
    <n v="4486"/>
    <n v="33119"/>
    <n v="40"/>
    <s v="Female"/>
    <s v="Website"/>
    <s v="Polaris"/>
    <s v="YES"/>
    <n v="0"/>
    <x v="0"/>
  </r>
  <r>
    <x v="257"/>
    <x v="105"/>
    <x v="0"/>
    <x v="4"/>
    <s v="Sky blue"/>
    <n v="22728"/>
    <m/>
    <n v="1"/>
    <n v="22728"/>
    <m/>
    <n v="20451"/>
    <n v="20451"/>
    <n v="2277"/>
    <n v="0"/>
    <n v="40"/>
    <s v="Female"/>
    <s v="Website"/>
    <s v="Polaris"/>
    <s v="YES"/>
    <n v="0"/>
    <x v="1"/>
  </r>
  <r>
    <x v="257"/>
    <x v="105"/>
    <x v="0"/>
    <x v="24"/>
    <s v="Navy blue"/>
    <n v="14862"/>
    <m/>
    <n v="1"/>
    <n v="14862"/>
    <m/>
    <n v="10157"/>
    <n v="10157"/>
    <n v="4705"/>
    <n v="0"/>
    <n v="40"/>
    <s v="Female"/>
    <s v="Website"/>
    <s v="Polaris"/>
    <s v="YES"/>
    <n v="0"/>
    <x v="1"/>
  </r>
  <r>
    <x v="257"/>
    <x v="105"/>
    <x v="0"/>
    <x v="9"/>
    <s v="Dark pink"/>
    <n v="10196"/>
    <m/>
    <n v="1"/>
    <n v="10196"/>
    <m/>
    <n v="7050"/>
    <n v="7050"/>
    <n v="3146"/>
    <n v="0"/>
    <n v="40"/>
    <s v="Female"/>
    <s v="Website"/>
    <s v="Polaris"/>
    <s v="YES"/>
    <n v="0"/>
    <x v="1"/>
  </r>
  <r>
    <x v="258"/>
    <x v="106"/>
    <x v="0"/>
    <x v="8"/>
    <s v="Purple "/>
    <n v="9838"/>
    <m/>
    <n v="1"/>
    <n v="9838"/>
    <n v="22500"/>
    <n v="6687"/>
    <n v="6687"/>
    <n v="3151"/>
    <n v="12662"/>
    <n v="38"/>
    <s v="Female"/>
    <s v="Instagram"/>
    <s v="GTB"/>
    <s v="YES"/>
    <n v="0"/>
    <x v="0"/>
  </r>
  <r>
    <x v="259"/>
    <x v="106"/>
    <x v="0"/>
    <x v="6"/>
    <s v="Red"/>
    <n v="20500"/>
    <m/>
    <n v="1"/>
    <n v="20500"/>
    <n v="58000"/>
    <n v="17339"/>
    <n v="17339"/>
    <n v="3161"/>
    <n v="14596"/>
    <n v="40"/>
    <s v="Female"/>
    <s v="Whatsapp"/>
    <s v="GTB"/>
    <s v="YES"/>
    <n v="0"/>
    <x v="0"/>
  </r>
  <r>
    <x v="259"/>
    <x v="106"/>
    <x v="0"/>
    <x v="10"/>
    <s v="Wine"/>
    <n v="10509"/>
    <m/>
    <n v="1"/>
    <n v="10509"/>
    <m/>
    <n v="7573"/>
    <n v="7573"/>
    <n v="2936"/>
    <n v="0"/>
    <n v="39"/>
    <s v="Female"/>
    <s v="Whatsapp"/>
    <s v="GTB"/>
    <s v="YES"/>
    <n v="0"/>
    <x v="1"/>
  </r>
  <r>
    <x v="259"/>
    <x v="106"/>
    <x v="0"/>
    <x v="1"/>
    <s v="Light Grey "/>
    <n v="12395"/>
    <m/>
    <n v="1"/>
    <n v="12395"/>
    <m/>
    <n v="7909"/>
    <n v="7909"/>
    <n v="4486"/>
    <n v="0"/>
    <n v="40"/>
    <s v="Female"/>
    <s v="Whatsapp"/>
    <s v="GTB"/>
    <s v="YES"/>
    <n v="0"/>
    <x v="1"/>
  </r>
  <r>
    <x v="260"/>
    <x v="106"/>
    <x v="0"/>
    <x v="8"/>
    <s v="Purple "/>
    <n v="9838"/>
    <m/>
    <n v="1"/>
    <n v="9838"/>
    <n v="28272.5"/>
    <n v="6687"/>
    <n v="6687"/>
    <n v="3151"/>
    <n v="18434.5"/>
    <n v="38"/>
    <s v="Female"/>
    <s v="Website"/>
    <s v="GTB"/>
    <s v="YES"/>
    <n v="0"/>
    <x v="0"/>
  </r>
  <r>
    <x v="261"/>
    <x v="107"/>
    <x v="0"/>
    <x v="1"/>
    <s v="Orange"/>
    <n v="12395"/>
    <m/>
    <n v="1"/>
    <n v="12395"/>
    <n v="83000"/>
    <n v="7909"/>
    <n v="7909"/>
    <n v="4486"/>
    <n v="7225"/>
    <n v="40"/>
    <s v="Female"/>
    <s v="Instagram"/>
    <s v="GTB"/>
    <s v="YES"/>
    <n v="0"/>
    <x v="0"/>
  </r>
  <r>
    <x v="261"/>
    <x v="107"/>
    <x v="0"/>
    <x v="1"/>
    <s v="Combo colors"/>
    <n v="12395"/>
    <m/>
    <n v="1"/>
    <n v="12395"/>
    <m/>
    <n v="7909"/>
    <n v="7909"/>
    <n v="4486"/>
    <n v="0"/>
    <n v="40"/>
    <s v="Female"/>
    <s v="Instagram"/>
    <s v="GTB"/>
    <s v="YES"/>
    <n v="0"/>
    <x v="1"/>
  </r>
  <r>
    <x v="261"/>
    <x v="107"/>
    <x v="0"/>
    <x v="1"/>
    <s v="Peach"/>
    <n v="12395"/>
    <m/>
    <n v="1"/>
    <n v="12395"/>
    <m/>
    <n v="7909"/>
    <n v="7909"/>
    <n v="4486"/>
    <n v="0"/>
    <n v="40"/>
    <s v="Female"/>
    <s v="Instagram"/>
    <s v="GTB"/>
    <s v="YES"/>
    <n v="0"/>
    <x v="1"/>
  </r>
  <r>
    <x v="261"/>
    <x v="107"/>
    <x v="0"/>
    <x v="2"/>
    <s v="Royal blue"/>
    <n v="19295"/>
    <m/>
    <n v="1"/>
    <n v="19295"/>
    <m/>
    <n v="16705"/>
    <n v="16705"/>
    <n v="2590"/>
    <n v="0"/>
    <n v="40"/>
    <s v="Female"/>
    <s v="Instagram"/>
    <s v="GTB"/>
    <s v="YES"/>
    <n v="0"/>
    <x v="1"/>
  </r>
  <r>
    <x v="261"/>
    <x v="107"/>
    <x v="0"/>
    <x v="2"/>
    <s v="Black"/>
    <n v="19295"/>
    <m/>
    <n v="1"/>
    <n v="19295"/>
    <m/>
    <n v="16705"/>
    <n v="16705"/>
    <n v="2590"/>
    <n v="0"/>
    <n v="40"/>
    <s v="Female"/>
    <s v="Instagram"/>
    <s v="GTB"/>
    <s v="YES"/>
    <n v="0"/>
    <x v="1"/>
  </r>
  <r>
    <x v="262"/>
    <x v="108"/>
    <x v="0"/>
    <x v="4"/>
    <s v="Lemon"/>
    <n v="22728"/>
    <m/>
    <n v="1"/>
    <n v="22728"/>
    <n v="23000"/>
    <n v="20451"/>
    <n v="20451"/>
    <n v="2277"/>
    <n v="272"/>
    <n v="37"/>
    <s v="Female"/>
    <s v="Instagram DM"/>
    <s v="GTB"/>
    <s v="YES"/>
    <n v="0"/>
    <x v="0"/>
  </r>
  <r>
    <x v="263"/>
    <x v="109"/>
    <x v="0"/>
    <x v="1"/>
    <s v="Yellow"/>
    <n v="12395"/>
    <m/>
    <n v="1"/>
    <n v="12395"/>
    <n v="39000"/>
    <n v="7909"/>
    <n v="7909"/>
    <n v="4486"/>
    <n v="3877"/>
    <n v="38"/>
    <s v="Female"/>
    <s v="Instagram DM"/>
    <s v="Polaris"/>
    <s v="YES"/>
    <n v="0"/>
    <x v="0"/>
  </r>
  <r>
    <x v="263"/>
    <x v="109"/>
    <x v="0"/>
    <x v="4"/>
    <s v="Dark brown"/>
    <n v="22728"/>
    <m/>
    <n v="1"/>
    <n v="22728"/>
    <m/>
    <n v="20451"/>
    <n v="20451"/>
    <n v="2277"/>
    <n v="0"/>
    <n v="38"/>
    <s v="Female"/>
    <s v="Instagram DM"/>
    <s v="Polaris"/>
    <s v="YES"/>
    <n v="0"/>
    <x v="1"/>
  </r>
  <r>
    <x v="264"/>
    <x v="109"/>
    <x v="0"/>
    <x v="1"/>
    <s v="Royal blue"/>
    <n v="12395"/>
    <m/>
    <n v="1"/>
    <n v="12395"/>
    <n v="19500"/>
    <n v="7909"/>
    <n v="7909"/>
    <n v="4486"/>
    <n v="7105"/>
    <n v="37"/>
    <s v="Female"/>
    <s v="Instagram DM"/>
    <s v="Polaris"/>
    <s v="YES"/>
    <n v="0"/>
    <x v="0"/>
  </r>
  <r>
    <x v="265"/>
    <x v="110"/>
    <x v="0"/>
    <x v="1"/>
    <s v="Black"/>
    <n v="12395"/>
    <m/>
    <n v="1"/>
    <n v="12395"/>
    <n v="19500"/>
    <n v="7909"/>
    <n v="7909"/>
    <n v="4486"/>
    <n v="7105"/>
    <n v="42"/>
    <s v="Female"/>
    <s v="Instagram"/>
    <s v="Polaris"/>
    <s v="YES"/>
    <n v="0"/>
    <x v="0"/>
  </r>
  <r>
    <x v="266"/>
    <x v="110"/>
    <x v="0"/>
    <x v="1"/>
    <s v="Dark Grey"/>
    <n v="12395"/>
    <m/>
    <n v="1"/>
    <n v="12395"/>
    <n v="44000"/>
    <n v="7909"/>
    <n v="7909"/>
    <n v="4486"/>
    <n v="19210"/>
    <n v="40"/>
    <s v="Female"/>
    <s v="Instagram DM"/>
    <s v="Providus"/>
    <s v="YES"/>
    <n v="0"/>
    <x v="0"/>
  </r>
  <r>
    <x v="266"/>
    <x v="110"/>
    <x v="0"/>
    <x v="1"/>
    <s v="Dark Grey"/>
    <n v="12395"/>
    <m/>
    <n v="1"/>
    <n v="12395"/>
    <m/>
    <n v="7909"/>
    <n v="7909"/>
    <n v="4486"/>
    <n v="0"/>
    <n v="40"/>
    <s v="Female"/>
    <s v="Instagram DM"/>
    <s v="Providus"/>
    <s v="YES"/>
    <n v="0"/>
    <x v="1"/>
  </r>
  <r>
    <x v="267"/>
    <x v="110"/>
    <x v="5"/>
    <x v="18"/>
    <s v="Black"/>
    <n v="18661"/>
    <m/>
    <n v="1"/>
    <n v="18661"/>
    <n v="39000"/>
    <n v="13922"/>
    <n v="13922"/>
    <n v="4739"/>
    <n v="20339"/>
    <n v="37"/>
    <s v="Female"/>
    <s v="Instagram"/>
    <s v="GTB"/>
    <s v="YES"/>
    <n v="0"/>
    <x v="0"/>
  </r>
  <r>
    <x v="268"/>
    <x v="110"/>
    <x v="0"/>
    <x v="1"/>
    <s v="Orange"/>
    <n v="12395"/>
    <m/>
    <n v="1"/>
    <n v="12395"/>
    <n v="82000"/>
    <n v="7909"/>
    <n v="7909"/>
    <n v="4486"/>
    <n v="11754"/>
    <n v="39"/>
    <s v="Female"/>
    <s v="Instagram DM"/>
    <s v="Polaris"/>
    <s v="YES"/>
    <n v="0"/>
    <x v="0"/>
  </r>
  <r>
    <x v="268"/>
    <x v="110"/>
    <x v="0"/>
    <x v="4"/>
    <s v="Dark brown"/>
    <n v="22728"/>
    <m/>
    <n v="1"/>
    <n v="22728"/>
    <m/>
    <n v="20451"/>
    <n v="20451"/>
    <n v="2277"/>
    <n v="0"/>
    <n v="39"/>
    <s v="Female"/>
    <s v="Instagram DM"/>
    <s v="Polaris"/>
    <s v="YES"/>
    <n v="0"/>
    <x v="1"/>
  </r>
  <r>
    <x v="268"/>
    <x v="110"/>
    <x v="0"/>
    <x v="1"/>
    <s v="White"/>
    <n v="12395"/>
    <m/>
    <n v="1"/>
    <n v="12395"/>
    <m/>
    <n v="7909"/>
    <n v="7909"/>
    <n v="4486"/>
    <n v="0"/>
    <n v="39"/>
    <s v="Female"/>
    <s v="Instagram DM"/>
    <s v="Polaris"/>
    <s v="YES"/>
    <n v="0"/>
    <x v="1"/>
  </r>
  <r>
    <x v="268"/>
    <x v="110"/>
    <x v="0"/>
    <x v="4"/>
    <s v="Sky blue"/>
    <n v="22728"/>
    <m/>
    <n v="1"/>
    <n v="22728"/>
    <m/>
    <n v="20451"/>
    <n v="20451"/>
    <n v="2277"/>
    <n v="0"/>
    <n v="39"/>
    <s v="Female"/>
    <s v="Instagram DM"/>
    <s v="Polaris"/>
    <s v="YES"/>
    <n v="0"/>
    <x v="1"/>
  </r>
  <r>
    <x v="269"/>
    <x v="110"/>
    <x v="4"/>
    <x v="1"/>
    <s v="Combo colors"/>
    <n v="12395"/>
    <m/>
    <n v="1"/>
    <n v="12395"/>
    <m/>
    <n v="7909"/>
    <n v="7909"/>
    <n v="4486"/>
    <n v="0"/>
    <n v="39"/>
    <s v="Female"/>
    <s v="Website"/>
    <s v="Providus"/>
    <s v="YES"/>
    <n v="0"/>
    <x v="1"/>
  </r>
  <r>
    <x v="269"/>
    <x v="110"/>
    <x v="4"/>
    <x v="9"/>
    <s v="Wine"/>
    <n v="10196"/>
    <m/>
    <n v="1"/>
    <n v="10196"/>
    <m/>
    <n v="7050"/>
    <n v="7050"/>
    <n v="3146"/>
    <n v="0"/>
    <n v="39"/>
    <s v="Female"/>
    <s v="Website"/>
    <s v="Providus"/>
    <s v="YES"/>
    <n v="0"/>
    <x v="1"/>
  </r>
  <r>
    <x v="270"/>
    <x v="110"/>
    <x v="0"/>
    <x v="1"/>
    <s v="Wine"/>
    <n v="12395"/>
    <m/>
    <n v="1"/>
    <n v="12395"/>
    <n v="23000"/>
    <n v="7909"/>
    <n v="7909"/>
    <n v="4486"/>
    <n v="10605"/>
    <n v="39"/>
    <s v="Female"/>
    <s v="Instagram DM"/>
    <s v="GTB"/>
    <s v="YES"/>
    <n v="0"/>
    <x v="0"/>
  </r>
  <r>
    <x v="271"/>
    <x v="111"/>
    <x v="0"/>
    <x v="4"/>
    <s v="Combo colors"/>
    <n v="22728"/>
    <m/>
    <n v="1"/>
    <n v="22728"/>
    <n v="37732"/>
    <n v="20451"/>
    <n v="20451"/>
    <n v="2277"/>
    <n v="15004"/>
    <n v="39"/>
    <s v="Female"/>
    <s v="Website"/>
    <s v="GTB"/>
    <s v="YES"/>
    <n v="0"/>
    <x v="0"/>
  </r>
  <r>
    <x v="272"/>
    <x v="111"/>
    <x v="16"/>
    <x v="4"/>
    <s v="Royal blue"/>
    <n v="22728"/>
    <m/>
    <n v="1"/>
    <n v="22728"/>
    <n v="25100"/>
    <n v="20451"/>
    <n v="20451"/>
    <n v="2277"/>
    <n v="2372"/>
    <n v="38"/>
    <s v="Female"/>
    <s v="Instagram DM"/>
    <s v="GTB"/>
    <s v="YES"/>
    <n v="0"/>
    <x v="0"/>
  </r>
  <r>
    <x v="273"/>
    <x v="111"/>
    <x v="0"/>
    <x v="1"/>
    <s v="Yellow"/>
    <n v="12395"/>
    <m/>
    <n v="1"/>
    <n v="12395"/>
    <n v="24500"/>
    <n v="7909"/>
    <n v="7909"/>
    <n v="4486"/>
    <n v="12105"/>
    <n v="42"/>
    <s v="Female"/>
    <s v="Instagram DM"/>
    <s v="GTB"/>
    <s v="YES"/>
    <n v="0"/>
    <x v="0"/>
  </r>
  <r>
    <x v="274"/>
    <x v="112"/>
    <x v="0"/>
    <x v="21"/>
    <s v="Royal blue"/>
    <n v="14097"/>
    <m/>
    <n v="1"/>
    <n v="14097"/>
    <n v="19500"/>
    <n v="9386"/>
    <n v="9386"/>
    <n v="4711"/>
    <n v="5403"/>
    <n v="41"/>
    <s v="Female"/>
    <s v="Instagram"/>
    <s v="Polaris"/>
    <s v="YES"/>
    <n v="0"/>
    <x v="0"/>
  </r>
  <r>
    <x v="275"/>
    <x v="112"/>
    <x v="0"/>
    <x v="4"/>
    <s v="Dark brown"/>
    <n v="22728"/>
    <m/>
    <n v="1"/>
    <n v="22728"/>
    <n v="40000"/>
    <n v="20451"/>
    <n v="20451"/>
    <n v="2277"/>
    <n v="17272"/>
    <n v="39"/>
    <s v="Female"/>
    <s v="Instagram"/>
    <s v="GTB"/>
    <s v="YES"/>
    <n v="0"/>
    <x v="0"/>
  </r>
  <r>
    <x v="276"/>
    <x v="112"/>
    <x v="0"/>
    <x v="19"/>
    <s v="Dark brown"/>
    <n v="22433"/>
    <m/>
    <n v="1"/>
    <n v="22433"/>
    <n v="9000"/>
    <n v="17880"/>
    <n v="17880"/>
    <n v="4553"/>
    <n v="-13433"/>
    <n v="39"/>
    <s v="Female"/>
    <s v="Instagram"/>
    <s v="GTB"/>
    <s v="YES"/>
    <n v="0"/>
    <x v="2"/>
  </r>
  <r>
    <x v="277"/>
    <x v="112"/>
    <x v="0"/>
    <x v="8"/>
    <s v="Black"/>
    <n v="9838"/>
    <m/>
    <n v="1"/>
    <n v="9838"/>
    <n v="63000"/>
    <n v="6687"/>
    <n v="6687"/>
    <n v="3151"/>
    <n v="33486"/>
    <n v="40"/>
    <s v="Female"/>
    <s v="Instagram"/>
    <s v="GTB"/>
    <s v="YES"/>
    <n v="0"/>
    <x v="0"/>
  </r>
  <r>
    <x v="277"/>
    <x v="112"/>
    <x v="0"/>
    <x v="8"/>
    <s v="Black"/>
    <n v="9838"/>
    <m/>
    <n v="1"/>
    <n v="9838"/>
    <m/>
    <n v="6687"/>
    <n v="6687"/>
    <n v="3151"/>
    <n v="0"/>
    <n v="40"/>
    <s v="Female"/>
    <s v="Instagram"/>
    <s v="GTB"/>
    <s v="YES"/>
    <n v="0"/>
    <x v="1"/>
  </r>
  <r>
    <x v="277"/>
    <x v="112"/>
    <x v="0"/>
    <x v="8"/>
    <s v="Black"/>
    <n v="9838"/>
    <m/>
    <n v="1"/>
    <n v="9838"/>
    <m/>
    <n v="6687"/>
    <n v="6687"/>
    <n v="3151"/>
    <n v="0"/>
    <n v="40"/>
    <s v="Female"/>
    <s v="Instagram"/>
    <s v="GTB"/>
    <s v="YES"/>
    <n v="0"/>
    <x v="1"/>
  </r>
  <r>
    <x v="278"/>
    <x v="112"/>
    <x v="0"/>
    <x v="1"/>
    <s v="Wine"/>
    <n v="12395"/>
    <m/>
    <n v="1"/>
    <n v="12395"/>
    <n v="23000"/>
    <n v="7909"/>
    <n v="7909"/>
    <n v="4486"/>
    <n v="10605"/>
    <n v="40"/>
    <s v="Female"/>
    <s v="Instagram DM"/>
    <s v="GTB"/>
    <s v="YES"/>
    <n v="0"/>
    <x v="0"/>
  </r>
  <r>
    <x v="279"/>
    <x v="113"/>
    <x v="0"/>
    <x v="1"/>
    <s v="Light brown"/>
    <n v="12395"/>
    <m/>
    <n v="1"/>
    <n v="12395"/>
    <n v="22500"/>
    <n v="7909"/>
    <n v="7909"/>
    <n v="4486"/>
    <n v="10105"/>
    <n v="40"/>
    <s v="Female"/>
    <s v="Instagram DM"/>
    <s v="GTB"/>
    <s v="YES"/>
    <n v="0"/>
    <x v="0"/>
  </r>
  <r>
    <x v="280"/>
    <x v="113"/>
    <x v="0"/>
    <x v="9"/>
    <s v="Gold"/>
    <n v="10196"/>
    <m/>
    <n v="1"/>
    <n v="10196"/>
    <n v="48000"/>
    <n v="7050"/>
    <n v="7050"/>
    <n v="3146"/>
    <n v="27966"/>
    <n v="39"/>
    <s v="Female"/>
    <s v="Whatsapp"/>
    <s v="GTB"/>
    <s v="YES"/>
    <n v="0"/>
    <x v="0"/>
  </r>
  <r>
    <x v="280"/>
    <x v="113"/>
    <x v="0"/>
    <x v="8"/>
    <s v="Wine polka"/>
    <n v="9838"/>
    <m/>
    <n v="1"/>
    <n v="9838"/>
    <m/>
    <n v="6687"/>
    <n v="6687"/>
    <n v="3151"/>
    <n v="0"/>
    <n v="39"/>
    <s v="Female"/>
    <s v="Whatsapp"/>
    <s v="GTB"/>
    <s v="YES"/>
    <n v="0"/>
    <x v="1"/>
  </r>
  <r>
    <x v="281"/>
    <x v="113"/>
    <x v="0"/>
    <x v="5"/>
    <s v="Black"/>
    <n v="17614"/>
    <m/>
    <n v="1"/>
    <n v="17614"/>
    <n v="23500"/>
    <n v="14912"/>
    <n v="14912"/>
    <n v="2702"/>
    <n v="5886"/>
    <n v="39"/>
    <s v="Female"/>
    <s v="Instagram DM"/>
    <s v="Polaris"/>
    <s v="YES"/>
    <n v="0"/>
    <x v="0"/>
  </r>
  <r>
    <x v="282"/>
    <x v="113"/>
    <x v="0"/>
    <x v="6"/>
    <s v="Light brown"/>
    <n v="20500"/>
    <m/>
    <n v="1"/>
    <n v="20500"/>
    <n v="64500"/>
    <n v="17339"/>
    <n v="17339"/>
    <n v="3161"/>
    <n v="16845"/>
    <n v="42"/>
    <s v="Female"/>
    <s v="Instagram DM"/>
    <s v="GTB"/>
    <s v="YES"/>
    <n v="0"/>
    <x v="0"/>
  </r>
  <r>
    <x v="282"/>
    <x v="113"/>
    <x v="0"/>
    <x v="10"/>
    <s v="Black"/>
    <n v="10509"/>
    <m/>
    <n v="1"/>
    <n v="10509"/>
    <m/>
    <n v="7573"/>
    <n v="7573"/>
    <n v="2936"/>
    <n v="0"/>
    <n v="42"/>
    <s v="Female"/>
    <s v="Instagram DM"/>
    <s v="GTB"/>
    <s v="YES"/>
    <n v="0"/>
    <x v="1"/>
  </r>
  <r>
    <x v="282"/>
    <x v="113"/>
    <x v="0"/>
    <x v="3"/>
    <s v="Wine"/>
    <n v="16646"/>
    <m/>
    <n v="1"/>
    <n v="16646"/>
    <m/>
    <n v="13546"/>
    <n v="13546"/>
    <n v="3100"/>
    <n v="0"/>
    <n v="42"/>
    <s v="Female"/>
    <s v="Instagram DM"/>
    <s v="GTB"/>
    <s v="YES"/>
    <n v="0"/>
    <x v="1"/>
  </r>
  <r>
    <x v="283"/>
    <x v="113"/>
    <x v="0"/>
    <x v="3"/>
    <s v="Black"/>
    <n v="16646"/>
    <m/>
    <n v="1"/>
    <n v="16646"/>
    <n v="67400"/>
    <n v="13546"/>
    <n v="13546"/>
    <n v="3100"/>
    <n v="17830"/>
    <n v="41"/>
    <s v="Female"/>
    <s v="Instagram DM"/>
    <s v="Providus"/>
    <s v="YES"/>
    <n v="0"/>
    <x v="0"/>
  </r>
  <r>
    <x v="283"/>
    <x v="113"/>
    <x v="0"/>
    <x v="4"/>
    <s v="Navy blue"/>
    <n v="22728"/>
    <m/>
    <n v="1"/>
    <n v="22728"/>
    <m/>
    <n v="20451"/>
    <n v="20451"/>
    <n v="2277"/>
    <n v="0"/>
    <n v="41"/>
    <s v="Female"/>
    <s v="Instagram DM"/>
    <s v="Providus"/>
    <s v="YES"/>
    <n v="0"/>
    <x v="1"/>
  </r>
  <r>
    <x v="283"/>
    <x v="113"/>
    <x v="0"/>
    <x v="9"/>
    <s v="Royal blue"/>
    <n v="10196"/>
    <m/>
    <n v="1"/>
    <n v="10196"/>
    <m/>
    <n v="7050"/>
    <n v="7050"/>
    <n v="3146"/>
    <n v="0"/>
    <n v="41"/>
    <s v="Female"/>
    <s v="Instagram DM"/>
    <s v="Providus"/>
    <s v="YES"/>
    <n v="0"/>
    <x v="1"/>
  </r>
  <r>
    <x v="284"/>
    <x v="113"/>
    <x v="0"/>
    <x v="1"/>
    <s v="Combo colors"/>
    <n v="12395"/>
    <m/>
    <n v="1"/>
    <n v="12395"/>
    <n v="22000"/>
    <n v="7909"/>
    <n v="7909"/>
    <n v="4486"/>
    <n v="9605"/>
    <n v="40"/>
    <s v="Female"/>
    <s v="Instagram DM"/>
    <s v="GTB"/>
    <s v="YES"/>
    <n v="0"/>
    <x v="0"/>
  </r>
  <r>
    <x v="285"/>
    <x v="113"/>
    <x v="0"/>
    <x v="6"/>
    <s v="Black"/>
    <n v="20500"/>
    <m/>
    <n v="1"/>
    <n v="20500"/>
    <n v="24500"/>
    <n v="17339"/>
    <n v="17339"/>
    <n v="3161"/>
    <n v="4000"/>
    <n v="40"/>
    <s v="Female"/>
    <s v="Instagram DM"/>
    <s v="GTB"/>
    <s v="YES"/>
    <n v="0"/>
    <x v="0"/>
  </r>
  <r>
    <x v="286"/>
    <x v="114"/>
    <x v="0"/>
    <x v="1"/>
    <s v="Royal blue"/>
    <n v="12395"/>
    <m/>
    <n v="1"/>
    <n v="12395"/>
    <n v="24500"/>
    <n v="7909"/>
    <n v="7909"/>
    <n v="4486"/>
    <n v="12105"/>
    <n v="42"/>
    <s v="Female"/>
    <s v="Instagram DM"/>
    <s v="GTB"/>
    <s v="YES"/>
    <n v="0"/>
    <x v="0"/>
  </r>
  <r>
    <x v="287"/>
    <x v="114"/>
    <x v="0"/>
    <x v="1"/>
    <s v="Purple patterned "/>
    <n v="12395"/>
    <m/>
    <n v="1"/>
    <n v="12395"/>
    <n v="19500"/>
    <n v="7909"/>
    <n v="7909"/>
    <n v="4486"/>
    <n v="7105"/>
    <n v="40"/>
    <s v="Female"/>
    <s v="Instagram DM"/>
    <s v="GTB"/>
    <s v="YES"/>
    <n v="0"/>
    <x v="0"/>
  </r>
  <r>
    <x v="288"/>
    <x v="115"/>
    <x v="12"/>
    <x v="16"/>
    <s v="Black"/>
    <n v="20502"/>
    <m/>
    <n v="1"/>
    <n v="20502"/>
    <m/>
    <n v="18239"/>
    <n v="18239"/>
    <n v="2263"/>
    <n v="0"/>
    <n v="43"/>
    <s v="Female"/>
    <s v="Instagram DM"/>
    <s v="GTB"/>
    <s v="YES"/>
    <n v="0"/>
    <x v="1"/>
  </r>
  <r>
    <x v="288"/>
    <x v="115"/>
    <x v="12"/>
    <x v="17"/>
    <s v="Light brown"/>
    <n v="22517"/>
    <m/>
    <n v="1"/>
    <n v="22517"/>
    <m/>
    <n v="18931"/>
    <n v="18931"/>
    <n v="3586"/>
    <n v="0"/>
    <n v="43"/>
    <s v="Female"/>
    <s v="Instagram DM"/>
    <s v="GTB"/>
    <s v="YES"/>
    <n v="0"/>
    <x v="1"/>
  </r>
  <r>
    <x v="289"/>
    <x v="115"/>
    <x v="0"/>
    <x v="10"/>
    <s v="Red"/>
    <n v="10509"/>
    <m/>
    <n v="1"/>
    <n v="10509"/>
    <n v="24500"/>
    <n v="7573"/>
    <n v="7573"/>
    <n v="2936"/>
    <n v="13991"/>
    <n v="39"/>
    <s v="Female"/>
    <s v="Instagram DM"/>
    <s v="GTB"/>
    <s v="YES"/>
    <n v="0"/>
    <x v="0"/>
  </r>
  <r>
    <x v="290"/>
    <x v="116"/>
    <x v="0"/>
    <x v="11"/>
    <s v="Dark brown"/>
    <n v="14873"/>
    <m/>
    <n v="1"/>
    <n v="14873"/>
    <n v="26180"/>
    <n v="11503"/>
    <n v="11503"/>
    <n v="3370"/>
    <n v="11307"/>
    <n v="39"/>
    <s v="Female"/>
    <s v="Website"/>
    <s v="Polaris"/>
    <s v="YES"/>
    <n v="0"/>
    <x v="0"/>
  </r>
  <r>
    <x v="291"/>
    <x v="117"/>
    <x v="0"/>
    <x v="1"/>
    <s v="Black"/>
    <n v="12395"/>
    <m/>
    <n v="1"/>
    <n v="12395"/>
    <n v="78000"/>
    <n v="7909"/>
    <n v="7909"/>
    <n v="4486"/>
    <n v="43372"/>
    <n v="43"/>
    <s v="Female"/>
    <s v="Whatsapp"/>
    <s v="GTB"/>
    <s v="YES"/>
    <n v="0"/>
    <x v="0"/>
  </r>
  <r>
    <x v="291"/>
    <x v="117"/>
    <x v="0"/>
    <x v="1"/>
    <s v="Pink/Orange combo"/>
    <n v="12395"/>
    <m/>
    <n v="1"/>
    <n v="12395"/>
    <m/>
    <n v="7909"/>
    <n v="7909"/>
    <n v="4486"/>
    <n v="0"/>
    <n v="43"/>
    <s v="Female"/>
    <s v="Whatsapp"/>
    <s v="GTB"/>
    <s v="YES"/>
    <n v="0"/>
    <x v="1"/>
  </r>
  <r>
    <x v="291"/>
    <x v="117"/>
    <x v="0"/>
    <x v="8"/>
    <s v="White"/>
    <n v="9838"/>
    <m/>
    <n v="1"/>
    <n v="9838"/>
    <m/>
    <n v="6687"/>
    <n v="6687"/>
    <n v="3151"/>
    <n v="0"/>
    <n v="43"/>
    <s v="Female"/>
    <s v="Whatsapp"/>
    <s v="GTB"/>
    <s v="YES"/>
    <n v="0"/>
    <x v="1"/>
  </r>
  <r>
    <x v="292"/>
    <x v="117"/>
    <x v="0"/>
    <x v="8"/>
    <s v="Orange"/>
    <n v="9838"/>
    <m/>
    <n v="1"/>
    <n v="9838"/>
    <n v="19500"/>
    <n v="6687"/>
    <n v="6687"/>
    <n v="3151"/>
    <n v="9662"/>
    <n v="41"/>
    <s v="Female"/>
    <s v="Instagram"/>
    <s v="GTB"/>
    <s v="YES"/>
    <n v="0"/>
    <x v="0"/>
  </r>
  <r>
    <x v="293"/>
    <x v="117"/>
    <x v="0"/>
    <x v="1"/>
    <s v="Orange"/>
    <n v="12395"/>
    <m/>
    <n v="1"/>
    <n v="12395"/>
    <n v="60000"/>
    <n v="7909"/>
    <n v="7909"/>
    <n v="4486"/>
    <n v="25372"/>
    <n v="43"/>
    <s v="Female"/>
    <s v="Instagram"/>
    <s v="Providus"/>
    <s v="YES"/>
    <n v="0"/>
    <x v="0"/>
  </r>
  <r>
    <x v="293"/>
    <x v="117"/>
    <x v="0"/>
    <x v="8"/>
    <s v="Orange"/>
    <n v="9838"/>
    <m/>
    <n v="1"/>
    <n v="9838"/>
    <m/>
    <n v="6687"/>
    <n v="6687"/>
    <n v="3151"/>
    <n v="0"/>
    <n v="40"/>
    <s v="Female"/>
    <s v="Instagram"/>
    <s v="Providus"/>
    <s v="YES"/>
    <n v="0"/>
    <x v="1"/>
  </r>
  <r>
    <x v="293"/>
    <x v="117"/>
    <x v="0"/>
    <x v="1"/>
    <s v="Nude/brown combo"/>
    <n v="12395"/>
    <m/>
    <n v="1"/>
    <n v="12395"/>
    <m/>
    <n v="7909"/>
    <n v="7909"/>
    <n v="4486"/>
    <n v="0"/>
    <n v="43"/>
    <s v="Female"/>
    <s v="Instagram"/>
    <s v="Providus"/>
    <s v="YES"/>
    <n v="0"/>
    <x v="1"/>
  </r>
  <r>
    <x v="294"/>
    <x v="117"/>
    <x v="9"/>
    <x v="6"/>
    <s v="Light brown"/>
    <n v="20500"/>
    <m/>
    <n v="1"/>
    <n v="20500"/>
    <n v="21500"/>
    <n v="17339"/>
    <n v="17339"/>
    <n v="3161"/>
    <n v="1000"/>
    <n v="42"/>
    <s v="Female"/>
    <s v="Instagram DM"/>
    <s v="Providus"/>
    <s v="YES"/>
    <n v="0"/>
    <x v="0"/>
  </r>
  <r>
    <x v="295"/>
    <x v="118"/>
    <x v="0"/>
    <x v="4"/>
    <s v="Lemon"/>
    <n v="22728"/>
    <m/>
    <n v="1"/>
    <n v="22728"/>
    <n v="22000"/>
    <n v="20451"/>
    <n v="20451"/>
    <n v="2277"/>
    <n v="-728"/>
    <n v="41"/>
    <s v="Female"/>
    <s v="Instagram"/>
    <s v="Polaris"/>
    <s v="YES"/>
    <n v="0"/>
    <x v="2"/>
  </r>
  <r>
    <x v="296"/>
    <x v="118"/>
    <x v="0"/>
    <x v="1"/>
    <s v="Royal blue"/>
    <n v="12395"/>
    <m/>
    <n v="1"/>
    <n v="12395"/>
    <n v="42500"/>
    <n v="7909"/>
    <n v="7909"/>
    <n v="4486"/>
    <n v="7377"/>
    <n v="40"/>
    <s v="Female"/>
    <s v="Instagram"/>
    <s v="Polaris"/>
    <s v="YES"/>
    <n v="0"/>
    <x v="0"/>
  </r>
  <r>
    <x v="296"/>
    <x v="119"/>
    <x v="0"/>
    <x v="4"/>
    <s v="Wine polka"/>
    <n v="22728"/>
    <m/>
    <n v="1"/>
    <n v="22728"/>
    <m/>
    <n v="20451"/>
    <n v="20451"/>
    <n v="2277"/>
    <n v="0"/>
    <n v="42"/>
    <s v="Female"/>
    <s v="Instagram"/>
    <s v="Polaris"/>
    <s v="YES"/>
    <n v="0"/>
    <x v="1"/>
  </r>
  <r>
    <x v="297"/>
    <x v="119"/>
    <x v="0"/>
    <x v="24"/>
    <s v="Black"/>
    <n v="14862"/>
    <m/>
    <n v="1"/>
    <n v="14862"/>
    <n v="64500"/>
    <n v="10157"/>
    <n v="10157"/>
    <n v="4705"/>
    <n v="4182"/>
    <n v="43"/>
    <s v="Female"/>
    <s v="Whatsapp"/>
    <s v="GTB"/>
    <s v="YES"/>
    <n v="0"/>
    <x v="0"/>
  </r>
  <r>
    <x v="297"/>
    <x v="119"/>
    <x v="0"/>
    <x v="4"/>
    <s v="Peach"/>
    <n v="22728"/>
    <m/>
    <n v="1"/>
    <n v="22728"/>
    <m/>
    <n v="20451"/>
    <n v="20451"/>
    <n v="2277"/>
    <n v="0"/>
    <n v="43"/>
    <s v="Female"/>
    <s v="Whatsapp"/>
    <s v="GTB"/>
    <s v="YES"/>
    <n v="0"/>
    <x v="1"/>
  </r>
  <r>
    <x v="297"/>
    <x v="119"/>
    <x v="0"/>
    <x v="4"/>
    <s v="Navy blue"/>
    <n v="22728"/>
    <m/>
    <n v="1"/>
    <n v="22728"/>
    <m/>
    <n v="20451"/>
    <n v="20451"/>
    <n v="2277"/>
    <n v="0"/>
    <n v="43"/>
    <s v="Female"/>
    <s v="Whatsapp"/>
    <s v="GTB"/>
    <s v="YES"/>
    <n v="0"/>
    <x v="1"/>
  </r>
  <r>
    <x v="298"/>
    <x v="119"/>
    <x v="0"/>
    <x v="1"/>
    <s v="Pink/Orange combo"/>
    <n v="12395"/>
    <m/>
    <n v="1"/>
    <n v="12395"/>
    <n v="23000"/>
    <n v="7909"/>
    <n v="7909"/>
    <n v="4486"/>
    <n v="10605"/>
    <n v="41"/>
    <s v="Female"/>
    <s v="Instagram"/>
    <s v="Polaris"/>
    <s v="YES"/>
    <n v="0"/>
    <x v="0"/>
  </r>
  <r>
    <x v="299"/>
    <x v="119"/>
    <x v="0"/>
    <x v="23"/>
    <s v="Dark Grey"/>
    <n v="12633"/>
    <m/>
    <n v="1"/>
    <n v="12633"/>
    <n v="23000"/>
    <n v="8399"/>
    <n v="8399"/>
    <n v="4234"/>
    <n v="10367"/>
    <n v="42"/>
    <s v="Female"/>
    <s v="Instagram"/>
    <s v="Polaris"/>
    <s v="YES"/>
    <n v="0"/>
    <x v="0"/>
  </r>
  <r>
    <x v="300"/>
    <x v="119"/>
    <x v="9"/>
    <x v="6"/>
    <s v="Light brown"/>
    <n v="20500"/>
    <m/>
    <n v="1"/>
    <n v="20500"/>
    <n v="21500"/>
    <n v="17339"/>
    <n v="17339"/>
    <n v="3161"/>
    <n v="1000"/>
    <n v="43"/>
    <s v="Female"/>
    <s v="Instagram DM"/>
    <s v="Providus"/>
    <s v="YES"/>
    <n v="0"/>
    <x v="0"/>
  </r>
  <r>
    <x v="301"/>
    <x v="118"/>
    <x v="0"/>
    <x v="1"/>
    <s v="Black"/>
    <n v="12395"/>
    <m/>
    <n v="1"/>
    <n v="12395"/>
    <n v="70000"/>
    <n v="7909"/>
    <n v="7909"/>
    <n v="4486"/>
    <n v="27267"/>
    <n v="36"/>
    <s v="Female"/>
    <s v="Instagram"/>
    <s v="GTB"/>
    <s v="YES"/>
    <n v="0"/>
    <x v="0"/>
  </r>
  <r>
    <x v="301"/>
    <x v="120"/>
    <x v="0"/>
    <x v="8"/>
    <s v="Red"/>
    <n v="9838"/>
    <m/>
    <n v="1"/>
    <n v="9838"/>
    <m/>
    <n v="6687"/>
    <n v="6687"/>
    <n v="3151"/>
    <n v="0"/>
    <n v="36"/>
    <s v="Female"/>
    <s v="Instagram"/>
    <s v="GTB"/>
    <s v="YES"/>
    <n v="0"/>
    <x v="1"/>
  </r>
  <r>
    <x v="301"/>
    <x v="120"/>
    <x v="0"/>
    <x v="6"/>
    <s v="Yellow"/>
    <n v="20500"/>
    <m/>
    <n v="1"/>
    <n v="20500"/>
    <m/>
    <n v="17339"/>
    <n v="17339"/>
    <n v="3161"/>
    <n v="0"/>
    <n v="36"/>
    <s v="Female"/>
    <s v="Instagram"/>
    <s v="GTB"/>
    <s v="YES"/>
    <n v="0"/>
    <x v="1"/>
  </r>
  <r>
    <x v="302"/>
    <x v="120"/>
    <x v="0"/>
    <x v="4"/>
    <s v="Green"/>
    <n v="22728"/>
    <m/>
    <n v="1"/>
    <n v="22728"/>
    <n v="10000"/>
    <n v="20451"/>
    <n v="20451"/>
    <n v="2277"/>
    <n v="-12728"/>
    <n v="36"/>
    <s v="Female"/>
    <s v="Instagram"/>
    <s v="GTB"/>
    <s v="YES"/>
    <n v="0"/>
    <x v="2"/>
  </r>
  <r>
    <x v="303"/>
    <x v="120"/>
    <x v="0"/>
    <x v="1"/>
    <s v="Wine"/>
    <n v="12395"/>
    <m/>
    <n v="1"/>
    <n v="12395"/>
    <n v="23000"/>
    <n v="7909"/>
    <n v="7909"/>
    <n v="4486"/>
    <n v="10605"/>
    <n v="41"/>
    <s v="Female"/>
    <s v="Whatsapp"/>
    <s v="Polaris"/>
    <s v="YES"/>
    <n v="0"/>
    <x v="0"/>
  </r>
  <r>
    <x v="304"/>
    <x v="121"/>
    <x v="0"/>
    <x v="1"/>
    <s v="Orange/pink combo"/>
    <n v="12395"/>
    <m/>
    <n v="1"/>
    <n v="12395"/>
    <n v="22500"/>
    <n v="7909"/>
    <n v="7909"/>
    <n v="4486"/>
    <n v="10105"/>
    <n v="39"/>
    <s v="Female"/>
    <s v="Website"/>
    <s v="Providus"/>
    <s v="YES"/>
    <n v="0"/>
    <x v="0"/>
  </r>
  <r>
    <x v="305"/>
    <x v="122"/>
    <x v="0"/>
    <x v="1"/>
    <s v="Orange"/>
    <n v="12395"/>
    <m/>
    <n v="1"/>
    <n v="12395"/>
    <n v="58500"/>
    <n v="7909"/>
    <n v="7909"/>
    <n v="4486"/>
    <n v="23872"/>
    <n v="40"/>
    <s v="Female"/>
    <s v="Instagram"/>
    <s v="GTB"/>
    <s v="YES"/>
    <n v="0"/>
    <x v="0"/>
  </r>
  <r>
    <x v="305"/>
    <x v="121"/>
    <x v="0"/>
    <x v="8"/>
    <s v="Orange"/>
    <n v="9838"/>
    <m/>
    <n v="1"/>
    <n v="9838"/>
    <m/>
    <n v="6687"/>
    <n v="6687"/>
    <n v="3151"/>
    <n v="0"/>
    <n v="40"/>
    <s v="Female"/>
    <s v="Instagram"/>
    <s v="GTB"/>
    <s v="YES"/>
    <n v="0"/>
    <x v="1"/>
  </r>
  <r>
    <x v="305"/>
    <x v="121"/>
    <x v="0"/>
    <x v="1"/>
    <s v="Light pink"/>
    <n v="12395"/>
    <m/>
    <n v="1"/>
    <n v="12395"/>
    <m/>
    <n v="7909"/>
    <n v="7909"/>
    <n v="4486"/>
    <n v="0"/>
    <n v="40"/>
    <s v="Female"/>
    <s v="Instagram"/>
    <s v="GTB"/>
    <s v="YES"/>
    <n v="0"/>
    <x v="1"/>
  </r>
  <r>
    <x v="306"/>
    <x v="121"/>
    <x v="7"/>
    <x v="4"/>
    <s v="Purple patterned "/>
    <n v="22728"/>
    <m/>
    <n v="1"/>
    <n v="22728"/>
    <n v="45000"/>
    <n v="20451"/>
    <n v="20451"/>
    <n v="2277"/>
    <n v="1772"/>
    <n v="38"/>
    <s v="Female"/>
    <s v="Whatsapp"/>
    <s v="Providus"/>
    <s v="YES"/>
    <n v="0"/>
    <x v="0"/>
  </r>
  <r>
    <x v="306"/>
    <x v="122"/>
    <x v="7"/>
    <x v="6"/>
    <s v="Light brown"/>
    <n v="20500"/>
    <m/>
    <n v="1"/>
    <n v="20500"/>
    <m/>
    <n v="17339"/>
    <n v="17339"/>
    <n v="3161"/>
    <n v="0"/>
    <n v="39"/>
    <s v="Female"/>
    <s v="Whatsapp"/>
    <s v="Providus"/>
    <s v="YES"/>
    <n v="0"/>
    <x v="1"/>
  </r>
  <r>
    <x v="307"/>
    <x v="122"/>
    <x v="0"/>
    <x v="4"/>
    <s v="Lemon"/>
    <n v="22728"/>
    <m/>
    <n v="1"/>
    <n v="22728"/>
    <n v="19500"/>
    <n v="20451"/>
    <n v="20451"/>
    <n v="2277"/>
    <n v="-3228"/>
    <n v="42"/>
    <s v="Female"/>
    <s v="Instagram DM"/>
    <s v="Providus"/>
    <s v="YES"/>
    <n v="0"/>
    <x v="2"/>
  </r>
  <r>
    <x v="308"/>
    <x v="123"/>
    <x v="0"/>
    <x v="1"/>
    <s v="Light brown"/>
    <n v="12395"/>
    <m/>
    <n v="1"/>
    <n v="12395"/>
    <n v="19500"/>
    <n v="7909"/>
    <n v="7909"/>
    <n v="4486"/>
    <n v="7105"/>
    <n v="40"/>
    <s v="Female"/>
    <s v="Whatsapp"/>
    <s v="Polaris"/>
    <s v="YES"/>
    <n v="0"/>
    <x v="0"/>
  </r>
  <r>
    <x v="309"/>
    <x v="123"/>
    <x v="0"/>
    <x v="8"/>
    <s v="Light Grey "/>
    <n v="9838"/>
    <m/>
    <n v="1"/>
    <n v="9838"/>
    <n v="48725"/>
    <n v="6687"/>
    <n v="6687"/>
    <n v="3151"/>
    <n v="26492"/>
    <n v="39"/>
    <s v="Female"/>
    <s v="Website"/>
    <s v="Polaris"/>
    <s v="YES"/>
    <n v="0"/>
    <x v="0"/>
  </r>
  <r>
    <x v="309"/>
    <x v="124"/>
    <x v="0"/>
    <x v="1"/>
    <s v="Black"/>
    <n v="12395"/>
    <m/>
    <n v="1"/>
    <n v="12395"/>
    <m/>
    <n v="7909"/>
    <n v="7909"/>
    <n v="4486"/>
    <n v="0"/>
    <n v="39"/>
    <s v="Female"/>
    <s v="Website"/>
    <s v="Polaris"/>
    <s v="YES"/>
    <n v="0"/>
    <x v="1"/>
  </r>
  <r>
    <x v="310"/>
    <x v="124"/>
    <x v="0"/>
    <x v="8"/>
    <s v="Dark pink"/>
    <n v="9838"/>
    <m/>
    <n v="1"/>
    <n v="9838"/>
    <n v="20962.5"/>
    <n v="6687"/>
    <n v="6687"/>
    <n v="3151"/>
    <n v="11124.5"/>
    <n v="39"/>
    <s v="Female"/>
    <s v="Website"/>
    <s v="Polaris"/>
    <s v="YES"/>
    <n v="0"/>
    <x v="0"/>
  </r>
  <r>
    <x v="311"/>
    <x v="125"/>
    <x v="0"/>
    <x v="11"/>
    <s v="Combo colors"/>
    <n v="14873"/>
    <m/>
    <n v="1"/>
    <n v="14873"/>
    <n v="26112.5"/>
    <n v="11503"/>
    <n v="11503"/>
    <n v="3370"/>
    <n v="11239.5"/>
    <n v="39"/>
    <s v="Female"/>
    <s v="Website"/>
    <s v="Providus"/>
    <s v="YES"/>
    <n v="0"/>
    <x v="0"/>
  </r>
  <r>
    <x v="312"/>
    <x v="124"/>
    <x v="7"/>
    <x v="1"/>
    <s v="Black"/>
    <n v="12395"/>
    <m/>
    <n v="1"/>
    <n v="12395"/>
    <n v="110000"/>
    <n v="7909"/>
    <n v="7909"/>
    <n v="4486"/>
    <n v="13397"/>
    <n v="40"/>
    <s v="Female"/>
    <s v="Instagram DM"/>
    <s v="Providus"/>
    <s v="YES"/>
    <n v="0"/>
    <x v="0"/>
  </r>
  <r>
    <x v="312"/>
    <x v="124"/>
    <x v="7"/>
    <x v="1"/>
    <s v="Wine"/>
    <n v="12395"/>
    <m/>
    <n v="1"/>
    <n v="12395"/>
    <m/>
    <n v="7909"/>
    <n v="7909"/>
    <n v="4486"/>
    <n v="0"/>
    <n v="40"/>
    <s v="Female"/>
    <s v="Instagram DM"/>
    <s v="Providus"/>
    <s v="YES"/>
    <n v="0"/>
    <x v="1"/>
  </r>
  <r>
    <x v="312"/>
    <x v="124"/>
    <x v="7"/>
    <x v="1"/>
    <s v="Yellow"/>
    <n v="12395"/>
    <m/>
    <n v="1"/>
    <n v="12395"/>
    <m/>
    <n v="7909"/>
    <n v="7909"/>
    <n v="4486"/>
    <n v="0"/>
    <n v="40"/>
    <s v="Female"/>
    <s v="Instagram DM"/>
    <s v="Providus"/>
    <s v="YES"/>
    <n v="0"/>
    <x v="1"/>
  </r>
  <r>
    <x v="312"/>
    <x v="124"/>
    <x v="7"/>
    <x v="1"/>
    <s v="Sky blue"/>
    <n v="12395"/>
    <m/>
    <n v="1"/>
    <n v="12395"/>
    <m/>
    <n v="7909"/>
    <n v="7909"/>
    <n v="4486"/>
    <n v="0"/>
    <n v="40"/>
    <s v="Female"/>
    <s v="Instagram DM"/>
    <s v="Providus"/>
    <s v="YES"/>
    <n v="0"/>
    <x v="1"/>
  </r>
  <r>
    <x v="312"/>
    <x v="124"/>
    <x v="7"/>
    <x v="1"/>
    <s v="Orange"/>
    <n v="12395"/>
    <m/>
    <n v="1"/>
    <n v="12395"/>
    <m/>
    <n v="7909"/>
    <n v="7909"/>
    <n v="4486"/>
    <n v="0"/>
    <n v="40"/>
    <s v="Female"/>
    <s v="Instagram DM"/>
    <s v="Providus"/>
    <s v="NO"/>
    <n v="1"/>
    <x v="1"/>
  </r>
  <r>
    <x v="312"/>
    <x v="124"/>
    <x v="7"/>
    <x v="1"/>
    <s v="Light brown"/>
    <n v="12395"/>
    <m/>
    <n v="1"/>
    <n v="12395"/>
    <m/>
    <n v="7909"/>
    <n v="7909"/>
    <n v="4486"/>
    <n v="0"/>
    <n v="40"/>
    <s v="Female"/>
    <s v="Instagram DM"/>
    <s v="Providus"/>
    <s v="NO"/>
    <n v="1"/>
    <x v="1"/>
  </r>
  <r>
    <x v="312"/>
    <x v="124"/>
    <x v="7"/>
    <x v="1"/>
    <s v="Dark pink"/>
    <n v="12395"/>
    <m/>
    <n v="1"/>
    <n v="12395"/>
    <m/>
    <n v="7909"/>
    <n v="7909"/>
    <n v="4486"/>
    <n v="0"/>
    <n v="40"/>
    <s v="Female"/>
    <s v="Instagram DM"/>
    <s v="Providus"/>
    <s v="NO"/>
    <n v="1"/>
    <x v="1"/>
  </r>
  <r>
    <x v="312"/>
    <x v="124"/>
    <x v="7"/>
    <x v="8"/>
    <s v="White"/>
    <n v="9838"/>
    <m/>
    <n v="1"/>
    <n v="9838"/>
    <m/>
    <n v="6687"/>
    <n v="6687"/>
    <n v="3151"/>
    <n v="0"/>
    <n v="41"/>
    <s v="Female"/>
    <s v="Instagram DM"/>
    <s v="Providus"/>
    <s v="NO"/>
    <n v="1"/>
    <x v="1"/>
  </r>
  <r>
    <x v="313"/>
    <x v="126"/>
    <x v="0"/>
    <x v="4"/>
    <s v="Sky blue"/>
    <n v="22728"/>
    <m/>
    <n v="1"/>
    <n v="22728"/>
    <m/>
    <n v="20451"/>
    <n v="20451"/>
    <n v="2277"/>
    <n v="0"/>
    <n v="39"/>
    <s v="Female"/>
    <s v="Instagram DM"/>
    <s v="GTB"/>
    <s v="NO"/>
    <n v="1"/>
    <x v="1"/>
  </r>
  <r>
    <x v="313"/>
    <x v="126"/>
    <x v="0"/>
    <x v="1"/>
    <s v="Nude/brown combo"/>
    <n v="12395"/>
    <m/>
    <n v="1"/>
    <n v="12395"/>
    <m/>
    <n v="7909"/>
    <n v="7909"/>
    <n v="4486"/>
    <n v="0"/>
    <n v="39"/>
    <s v="Female"/>
    <s v="Instagram DM"/>
    <s v="GTB"/>
    <s v="NO"/>
    <n v="1"/>
    <x v="1"/>
  </r>
  <r>
    <x v="313"/>
    <x v="126"/>
    <x v="0"/>
    <x v="7"/>
    <s v="Red"/>
    <n v="11007"/>
    <m/>
    <n v="1"/>
    <n v="11007"/>
    <m/>
    <n v="8327"/>
    <n v="8327"/>
    <n v="2680"/>
    <n v="0"/>
    <n v="39"/>
    <s v="Female"/>
    <s v="Instagram DM"/>
    <s v="GTB"/>
    <s v="NO"/>
    <n v="1"/>
    <x v="1"/>
  </r>
  <r>
    <x v="313"/>
    <x v="126"/>
    <x v="0"/>
    <x v="8"/>
    <s v="Black"/>
    <n v="9838"/>
    <m/>
    <n v="1"/>
    <n v="9838"/>
    <m/>
    <n v="6687"/>
    <n v="6687"/>
    <n v="3151"/>
    <n v="0"/>
    <n v="39"/>
    <s v="Female"/>
    <s v="Instagram DM"/>
    <s v="GTB"/>
    <s v="NO"/>
    <n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910D9E-9996-4321-A0DB-2362D17523E8}" name="PivotTable7" cacheId="17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S1:U13" firstHeaderRow="1" firstDataRow="2"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axis="axisRow" showAll="0" measureFilter="1">
      <items count="19">
        <item x="15"/>
        <item x="13"/>
        <item x="8"/>
        <item x="12"/>
        <item x="10"/>
        <item x="11"/>
        <item x="6"/>
        <item x="7"/>
        <item x="3"/>
        <item x="1"/>
        <item x="16"/>
        <item x="0"/>
        <item x="5"/>
        <item x="2"/>
        <item x="4"/>
        <item x="9"/>
        <item x="14"/>
        <item m="1" x="17"/>
        <item t="default"/>
      </items>
    </pivotField>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numFmtId="164" showAll="0"/>
    <pivotField dataField="1" numFmtId="164" showAll="0"/>
    <pivotField showAll="0"/>
    <pivotField showAll="0"/>
    <pivotField showAll="0"/>
    <pivotField numFmtId="43" showAll="0"/>
    <pivotField numFmtId="43"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x="0"/>
        <item x="5"/>
        <item t="default"/>
      </items>
    </pivotField>
    <pivotField axis="axisCol" showAll="0">
      <items count="5">
        <item sd="0" x="1"/>
        <item sd="0" x="2"/>
        <item x="0"/>
        <item x="3"/>
        <item t="default"/>
      </items>
    </pivotField>
  </pivotFields>
  <rowFields count="1">
    <field x="2"/>
  </rowFields>
  <rowItems count="11">
    <i>
      <x v="1"/>
    </i>
    <i>
      <x v="2"/>
    </i>
    <i>
      <x v="3"/>
    </i>
    <i>
      <x v="6"/>
    </i>
    <i>
      <x v="7"/>
    </i>
    <i>
      <x v="8"/>
    </i>
    <i>
      <x v="11"/>
    </i>
    <i>
      <x v="12"/>
    </i>
    <i>
      <x v="14"/>
    </i>
    <i>
      <x v="15"/>
    </i>
    <i t="grand">
      <x/>
    </i>
  </rowItems>
  <colFields count="1">
    <field x="23"/>
  </colFields>
  <colItems count="2">
    <i>
      <x/>
    </i>
    <i>
      <x v="1"/>
    </i>
  </colItems>
  <dataFields count="1">
    <dataField name="Sum of TOTAL SALES" fld="8" baseField="7" baseItem="1" numFmtId="164"/>
  </dataField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F2DAC3-9BFA-49AE-967A-D2067733F083}" name="PivotTable4" cacheId="17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M1:N13" firstHeaderRow="1" firstDataRow="1" firstDataCol="1"/>
  <pivotFields count="24">
    <pivotField axis="axisRow" showAll="0" measureFilter="1" sortType="ascending">
      <items count="318">
        <item x="0"/>
        <item x="9"/>
        <item x="10"/>
        <item x="11"/>
        <item x="12"/>
        <item x="13"/>
        <item x="14"/>
        <item x="15"/>
        <item x="16"/>
        <item x="17"/>
        <item x="18"/>
        <item x="1"/>
        <item x="19"/>
        <item x="20"/>
        <item x="21"/>
        <item x="22"/>
        <item x="23"/>
        <item x="24"/>
        <item x="25"/>
        <item x="26"/>
        <item x="27"/>
        <item x="28"/>
        <item x="2"/>
        <item x="29"/>
        <item x="30"/>
        <item x="31"/>
        <item x="32"/>
        <item x="3"/>
        <item x="4"/>
        <item x="5"/>
        <item x="6"/>
        <item x="7"/>
        <item x="8"/>
        <item x="215"/>
        <item x="216"/>
        <item x="217"/>
        <item x="218"/>
        <item x="219"/>
        <item x="220"/>
        <item x="221"/>
        <item x="222"/>
        <item x="223"/>
        <item x="224"/>
        <item x="207"/>
        <item x="225"/>
        <item x="226"/>
        <item x="227"/>
        <item x="228"/>
        <item x="229"/>
        <item x="230"/>
        <item x="231"/>
        <item x="232"/>
        <item x="233"/>
        <item x="234"/>
        <item x="208"/>
        <item x="235"/>
        <item x="236"/>
        <item x="237"/>
        <item x="238"/>
        <item x="239"/>
        <item x="240"/>
        <item x="241"/>
        <item x="209"/>
        <item x="210"/>
        <item x="211"/>
        <item x="212"/>
        <item x="213"/>
        <item x="214"/>
        <item x="290"/>
        <item x="299"/>
        <item x="300"/>
        <item x="301"/>
        <item x="302"/>
        <item x="303"/>
        <item x="304"/>
        <item x="305"/>
        <item x="306"/>
        <item x="307"/>
        <item x="308"/>
        <item x="291"/>
        <item x="309"/>
        <item x="310"/>
        <item x="311"/>
        <item x="312"/>
        <item x="313"/>
        <item x="292"/>
        <item x="293"/>
        <item x="294"/>
        <item x="295"/>
        <item x="296"/>
        <item x="297"/>
        <item x="298"/>
        <item x="242"/>
        <item x="251"/>
        <item x="252"/>
        <item x="253"/>
        <item x="254"/>
        <item x="255"/>
        <item x="256"/>
        <item x="257"/>
        <item x="258"/>
        <item x="259"/>
        <item x="260"/>
        <item x="243"/>
        <item x="261"/>
        <item x="262"/>
        <item x="263"/>
        <item x="264"/>
        <item x="265"/>
        <item x="266"/>
        <item x="267"/>
        <item x="268"/>
        <item x="269"/>
        <item x="270"/>
        <item x="244"/>
        <item x="271"/>
        <item x="272"/>
        <item x="273"/>
        <item x="274"/>
        <item x="275"/>
        <item x="276"/>
        <item x="277"/>
        <item x="278"/>
        <item x="279"/>
        <item x="280"/>
        <item x="245"/>
        <item x="281"/>
        <item x="282"/>
        <item x="283"/>
        <item x="284"/>
        <item x="285"/>
        <item x="286"/>
        <item x="287"/>
        <item x="288"/>
        <item x="289"/>
        <item x="246"/>
        <item x="247"/>
        <item x="248"/>
        <item x="249"/>
        <item x="250"/>
        <item x="162"/>
        <item x="171"/>
        <item x="172"/>
        <item x="173"/>
        <item x="174"/>
        <item x="175"/>
        <item x="176"/>
        <item x="177"/>
        <item x="178"/>
        <item x="179"/>
        <item x="180"/>
        <item x="163"/>
        <item x="181"/>
        <item x="182"/>
        <item x="183"/>
        <item x="184"/>
        <item x="185"/>
        <item x="186"/>
        <item x="187"/>
        <item x="188"/>
        <item x="189"/>
        <item x="190"/>
        <item x="164"/>
        <item x="191"/>
        <item x="192"/>
        <item x="193"/>
        <item x="194"/>
        <item x="195"/>
        <item x="196"/>
        <item x="197"/>
        <item x="198"/>
        <item x="199"/>
        <item x="200"/>
        <item x="165"/>
        <item x="201"/>
        <item x="202"/>
        <item x="203"/>
        <item x="204"/>
        <item x="205"/>
        <item x="206"/>
        <item x="166"/>
        <item x="167"/>
        <item x="168"/>
        <item x="169"/>
        <item x="170"/>
        <item x="92"/>
        <item x="93"/>
        <item x="102"/>
        <item x="103"/>
        <item x="104"/>
        <item x="105"/>
        <item x="106"/>
        <item x="107"/>
        <item x="108"/>
        <item x="109"/>
        <item x="110"/>
        <item x="111"/>
        <item x="94"/>
        <item x="112"/>
        <item x="113"/>
        <item x="114"/>
        <item x="115"/>
        <item x="116"/>
        <item x="117"/>
        <item x="118"/>
        <item x="119"/>
        <item x="120"/>
        <item x="121"/>
        <item x="95"/>
        <item x="122"/>
        <item x="123"/>
        <item x="124"/>
        <item x="125"/>
        <item x="126"/>
        <item x="127"/>
        <item x="128"/>
        <item x="129"/>
        <item x="130"/>
        <item x="131"/>
        <item x="96"/>
        <item x="132"/>
        <item x="133"/>
        <item x="134"/>
        <item x="135"/>
        <item x="136"/>
        <item x="137"/>
        <item x="138"/>
        <item x="139"/>
        <item x="140"/>
        <item x="141"/>
        <item x="97"/>
        <item x="142"/>
        <item x="143"/>
        <item x="144"/>
        <item x="145"/>
        <item x="146"/>
        <item x="147"/>
        <item x="148"/>
        <item x="149"/>
        <item x="150"/>
        <item x="151"/>
        <item x="98"/>
        <item x="152"/>
        <item x="153"/>
        <item x="154"/>
        <item x="155"/>
        <item x="156"/>
        <item x="157"/>
        <item x="158"/>
        <item x="159"/>
        <item x="160"/>
        <item x="161"/>
        <item x="99"/>
        <item x="100"/>
        <item x="101"/>
        <item x="33"/>
        <item x="41"/>
        <item x="42"/>
        <item x="43"/>
        <item x="44"/>
        <item x="45"/>
        <item x="46"/>
        <item x="47"/>
        <item x="48"/>
        <item x="49"/>
        <item x="50"/>
        <item m="1" x="314"/>
        <item x="51"/>
        <item x="52"/>
        <item x="53"/>
        <item x="54"/>
        <item x="55"/>
        <item x="56"/>
        <item x="57"/>
        <item x="58"/>
        <item x="59"/>
        <item x="60"/>
        <item x="34"/>
        <item x="61"/>
        <item x="62"/>
        <item x="63"/>
        <item x="64"/>
        <item x="65"/>
        <item x="66"/>
        <item x="67"/>
        <item x="68"/>
        <item x="69"/>
        <item x="70"/>
        <item x="35"/>
        <item x="71"/>
        <item x="72"/>
        <item x="73"/>
        <item x="74"/>
        <item x="75"/>
        <item x="76"/>
        <item x="77"/>
        <item x="78"/>
        <item x="79"/>
        <item x="80"/>
        <item x="36"/>
        <item x="81"/>
        <item x="82"/>
        <item x="83"/>
        <item x="84"/>
        <item x="85"/>
        <item x="86"/>
        <item x="87"/>
        <item x="88"/>
        <item x="89"/>
        <item x="90"/>
        <item x="37"/>
        <item x="91"/>
        <item x="38"/>
        <item x="39"/>
        <item x="40"/>
        <item m="1" x="316"/>
        <item m="1" x="315"/>
        <item t="default"/>
      </items>
      <autoSortScope>
        <pivotArea dataOnly="0" outline="0" fieldPosition="0">
          <references count="1">
            <reference field="4294967294" count="1" selected="0">
              <x v="0"/>
            </reference>
          </references>
        </pivotArea>
      </autoSortScope>
    </pivotField>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numFmtId="164" showAll="0"/>
    <pivotField numFmtId="164" showAll="0"/>
    <pivotField showAll="0"/>
    <pivotField showAll="0"/>
    <pivotField showAll="0"/>
    <pivotField numFmtId="43" showAll="0"/>
    <pivotField dataField="1" numFmtId="43" showAll="0"/>
    <pivotField showAll="0"/>
    <pivotField showAll="0"/>
    <pivotField showAll="0"/>
    <pivotField showAll="0"/>
    <pivotField showAll="0"/>
    <pivotField showAll="0"/>
    <pivotField axis="axisRow" showAll="0">
      <items count="4">
        <item x="2"/>
        <item h="1" x="0"/>
        <item h="1" x="1"/>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Fields count="2">
    <field x="20"/>
    <field x="0"/>
  </rowFields>
  <rowItems count="12">
    <i>
      <x/>
    </i>
    <i r="1">
      <x v="13"/>
    </i>
    <i r="1">
      <x v="234"/>
    </i>
    <i r="1">
      <x v="280"/>
    </i>
    <i r="1">
      <x v="46"/>
    </i>
    <i r="1">
      <x v="212"/>
    </i>
    <i r="1">
      <x v="213"/>
    </i>
    <i r="1">
      <x v="170"/>
    </i>
    <i r="1">
      <x v="10"/>
    </i>
    <i r="1">
      <x v="202"/>
    </i>
    <i r="1">
      <x v="120"/>
    </i>
    <i t="grand">
      <x/>
    </i>
  </rowItems>
  <colItems count="1">
    <i/>
  </colItems>
  <dataFields count="1">
    <dataField name="Sum of DEFICIT /SURPLUS" fld="13" baseField="0" baseItem="0" numFmtId="43"/>
  </dataFields>
  <formats count="2">
    <format dxfId="7">
      <pivotArea field="20" grandRow="1" outline="0" collapsedLevelsAreSubtotals="1" axis="axisRow" fieldPosition="0">
        <references count="1">
          <reference field="4294967294" count="1" selected="0">
            <x v="0"/>
          </reference>
        </references>
      </pivotArea>
    </format>
    <format dxfId="6">
      <pivotArea collapsedLevelsAreSubtotals="1" fieldPosition="0">
        <references count="2">
          <reference field="4294967294" count="1" selected="0">
            <x v="0"/>
          </reference>
          <reference field="20" count="2">
            <x v="0"/>
            <x v="1"/>
          </reference>
        </references>
      </pivotArea>
    </format>
  </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38B0D4-6ED6-478A-AF96-F5742C0A9362}" name="PivotTable6" cacheId="171"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I1:K28" firstHeaderRow="1" firstDataRow="2"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axis="axisRow" showAll="0" sortType="descending">
      <items count="34">
        <item m="1" x="31"/>
        <item x="10"/>
        <item x="15"/>
        <item x="19"/>
        <item x="5"/>
        <item m="1" x="32"/>
        <item x="21"/>
        <item x="0"/>
        <item x="8"/>
        <item m="1" x="27"/>
        <item m="1" x="25"/>
        <item x="7"/>
        <item m="1" x="28"/>
        <item x="24"/>
        <item x="6"/>
        <item m="1" x="29"/>
        <item x="2"/>
        <item x="23"/>
        <item x="20"/>
        <item x="17"/>
        <item x="11"/>
        <item x="18"/>
        <item x="9"/>
        <item x="1"/>
        <item x="12"/>
        <item x="16"/>
        <item x="4"/>
        <item x="14"/>
        <item x="3"/>
        <item m="1" x="26"/>
        <item x="13"/>
        <item x="22"/>
        <item m="1" x="30"/>
        <item t="default"/>
      </items>
      <autoSortScope>
        <pivotArea dataOnly="0" outline="0" fieldPosition="0">
          <references count="2">
            <reference field="4294967294" count="1" selected="0">
              <x v="0"/>
            </reference>
            <reference field="23" count="1" selected="0">
              <x v="0"/>
            </reference>
          </references>
        </pivotArea>
      </autoSortScope>
    </pivotField>
    <pivotField showAll="0"/>
    <pivotField numFmtId="43" showAll="0"/>
    <pivotField showAll="0"/>
    <pivotField numFmtId="164" showAll="0"/>
    <pivotField dataField="1" numFmtId="164" showAll="0"/>
    <pivotField showAll="0"/>
    <pivotField showAll="0"/>
    <pivotField showAll="0"/>
    <pivotField numFmtId="43" showAll="0"/>
    <pivotField numFmtId="43"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axis="axisCol" showAll="0">
      <items count="5">
        <item x="1"/>
        <item x="2"/>
        <item x="0"/>
        <item x="3"/>
        <item t="default"/>
      </items>
    </pivotField>
  </pivotFields>
  <rowFields count="1">
    <field x="3"/>
  </rowFields>
  <rowItems count="26">
    <i>
      <x v="23"/>
    </i>
    <i>
      <x v="14"/>
    </i>
    <i>
      <x v="26"/>
    </i>
    <i>
      <x v="4"/>
    </i>
    <i>
      <x v="8"/>
    </i>
    <i>
      <x v="1"/>
    </i>
    <i>
      <x v="11"/>
    </i>
    <i>
      <x v="16"/>
    </i>
    <i>
      <x v="7"/>
    </i>
    <i>
      <x v="24"/>
    </i>
    <i>
      <x v="25"/>
    </i>
    <i>
      <x v="20"/>
    </i>
    <i>
      <x v="2"/>
    </i>
    <i>
      <x v="19"/>
    </i>
    <i>
      <x v="18"/>
    </i>
    <i>
      <x v="22"/>
    </i>
    <i>
      <x v="30"/>
    </i>
    <i>
      <x v="6"/>
    </i>
    <i>
      <x v="28"/>
    </i>
    <i>
      <x v="3"/>
    </i>
    <i>
      <x v="21"/>
    </i>
    <i>
      <x v="27"/>
    </i>
    <i>
      <x v="31"/>
    </i>
    <i>
      <x v="13"/>
    </i>
    <i>
      <x v="17"/>
    </i>
    <i t="grand">
      <x/>
    </i>
  </rowItems>
  <colFields count="1">
    <field x="23"/>
  </colFields>
  <colItems count="2">
    <i>
      <x/>
    </i>
    <i>
      <x v="1"/>
    </i>
  </colItems>
  <dataFields count="1">
    <dataField name="Sum of TOTAL SALES" fld="8" baseField="7"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F55BF5-CE7F-4B05-B150-E28269646346}" name="PivotTable1" cacheId="17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location ref="E34:E36" firstHeaderRow="1" firstDataRow="1"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showAll="0"/>
    <pivotField numFmtId="164" showAll="0"/>
    <pivotField showAll="0"/>
    <pivotField showAll="0"/>
    <pivotField showAll="0"/>
    <pivotField numFmtId="43" showAll="0"/>
    <pivotField numFmtId="43" showAll="0"/>
    <pivotField showAll="0"/>
    <pivotField showAll="0"/>
    <pivotField showAll="0"/>
    <pivotField showAll="0"/>
    <pivotField showAll="0" countASubtotal="1" countSubtotal="1"/>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x="0"/>
        <item x="5"/>
        <item t="default"/>
      </items>
    </pivotField>
    <pivotField axis="axisRow" showAll="0">
      <items count="5">
        <item sd="0" x="1"/>
        <item sd="0" x="2"/>
        <item x="0"/>
        <item x="3"/>
        <item t="default"/>
      </items>
    </pivotField>
  </pivotFields>
  <rowFields count="1">
    <field x="23"/>
  </rowFields>
  <rowItems count="2">
    <i>
      <x/>
    </i>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1B662D-BABE-4994-B7AE-533193AB6455}" name="PivotTable12" cacheId="17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E30:E31" firstHeaderRow="1" firstDataRow="1" firstDataCol="0"/>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showAll="0"/>
    <pivotField numFmtId="164" showAll="0"/>
    <pivotField showAll="0"/>
    <pivotField showAll="0"/>
    <pivotField showAll="0"/>
    <pivotField numFmtId="43" showAll="0"/>
    <pivotField numFmtId="43" showAll="0"/>
    <pivotField showAll="0"/>
    <pivotField showAll="0"/>
    <pivotField showAll="0"/>
    <pivotField showAll="0"/>
    <pivotField showAll="0" countASubtotal="1" countSubtotal="1"/>
    <pivotField dataField="1"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Items count="1">
    <i/>
  </rowItems>
  <colItems count="1">
    <i/>
  </colItems>
  <dataFields count="1">
    <dataField name="Sum of Not delivered"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91A46B-5F33-43AE-802B-DA8239E8C8F2}" name="PivotTable5" cacheId="17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M21:O24" firstHeaderRow="0" firstDataRow="1"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numFmtId="164" showAll="0"/>
    <pivotField numFmtId="164" showAll="0"/>
    <pivotField showAll="0"/>
    <pivotField showAll="0"/>
    <pivotField showAll="0"/>
    <pivotField numFmtId="43" showAll="0"/>
    <pivotField dataField="1" numFmtId="43" showAll="0"/>
    <pivotField showAll="0"/>
    <pivotField showAll="0"/>
    <pivotField showAll="0"/>
    <pivotField showAll="0"/>
    <pivotField showAll="0"/>
    <pivotField showAll="0"/>
    <pivotField axis="axisRow" dataField="1" showAll="0">
      <items count="4">
        <item sd="0" x="2"/>
        <item x="0"/>
        <item h="1" x="1"/>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Fields count="1">
    <field x="20"/>
  </rowFields>
  <rowItems count="3">
    <i>
      <x/>
    </i>
    <i>
      <x v="1"/>
    </i>
    <i t="grand">
      <x/>
    </i>
  </rowItems>
  <colFields count="1">
    <field x="-2"/>
  </colFields>
  <colItems count="2">
    <i>
      <x/>
    </i>
    <i i="1">
      <x v="1"/>
    </i>
  </colItems>
  <dataFields count="2">
    <dataField name="Count of Deficit or surplus" fld="20" subtotal="count" baseField="0" baseItem="0"/>
    <dataField name="Sum of DEFICIT /SURPLUS" fld="13" baseField="0" baseItem="0" numFmtId="43"/>
  </dataFields>
  <formats count="2">
    <format dxfId="9">
      <pivotArea field="20" grandRow="1" outline="0" collapsedLevelsAreSubtotals="1" axis="axisRow" fieldPosition="0">
        <references count="1">
          <reference field="4294967294" count="1" selected="0">
            <x v="1"/>
          </reference>
        </references>
      </pivotArea>
    </format>
    <format dxfId="8">
      <pivotArea collapsedLevelsAreSubtotals="1" fieldPosition="0">
        <references count="2">
          <reference field="4294967294" count="1" selected="0">
            <x v="1"/>
          </reference>
          <reference field="20"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3A64DC-F8DC-485B-A08F-C303469A2AB9}" name="PivotTable2" cacheId="17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chartFormat="110">
  <location ref="A10:B17" firstHeaderRow="1" firstDataRow="1"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numFmtId="164" showAll="0"/>
    <pivotField dataField="1" numFmtId="164" showAll="0"/>
    <pivotField showAll="0"/>
    <pivotField showAll="0"/>
    <pivotField showAll="0"/>
    <pivotField numFmtId="43" showAll="0"/>
    <pivotField numFmtId="43"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Fields count="1">
    <field x="21"/>
  </rowFields>
  <rowItems count="7">
    <i>
      <x v="1"/>
    </i>
    <i>
      <x v="2"/>
    </i>
    <i>
      <x v="8"/>
    </i>
    <i>
      <x v="9"/>
    </i>
    <i>
      <x v="10"/>
    </i>
    <i>
      <x v="11"/>
    </i>
    <i>
      <x v="12"/>
    </i>
  </rowItems>
  <colItems count="1">
    <i/>
  </colItems>
  <dataFields count="1">
    <dataField name="Sum of TOTAL SALES" fld="8" baseField="0" baseItem="0" numFmtId="164"/>
  </dataFields>
  <chartFormats count="1">
    <chartFormat chart="10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A9E51E-0A45-46C5-97C2-B5CBF6A8A737}" name="PivotTable8" cacheId="17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Q1:Q27" firstHeaderRow="1" firstDataRow="1"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axis="axisRow" showAll="0">
      <items count="34">
        <item m="1" x="31"/>
        <item x="10"/>
        <item x="15"/>
        <item x="19"/>
        <item x="5"/>
        <item m="1" x="32"/>
        <item x="21"/>
        <item x="0"/>
        <item x="8"/>
        <item m="1" x="27"/>
        <item m="1" x="25"/>
        <item x="7"/>
        <item m="1" x="28"/>
        <item x="24"/>
        <item x="6"/>
        <item m="1" x="29"/>
        <item x="2"/>
        <item x="23"/>
        <item x="20"/>
        <item x="17"/>
        <item x="11"/>
        <item x="18"/>
        <item x="9"/>
        <item x="1"/>
        <item x="12"/>
        <item x="16"/>
        <item x="4"/>
        <item x="14"/>
        <item x="3"/>
        <item m="1" x="26"/>
        <item x="13"/>
        <item x="22"/>
        <item m="1" x="30"/>
        <item t="default"/>
      </items>
    </pivotField>
    <pivotField showAll="0"/>
    <pivotField numFmtId="43" showAll="0"/>
    <pivotField showAll="0"/>
    <pivotField numFmtId="164" showAll="0"/>
    <pivotField numFmtId="164" showAll="0"/>
    <pivotField showAll="0"/>
    <pivotField showAll="0"/>
    <pivotField showAll="0"/>
    <pivotField numFmtId="43" showAll="0"/>
    <pivotField numFmtId="43"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Fields count="1">
    <field x="3"/>
  </rowFields>
  <rowItems count="26">
    <i>
      <x v="1"/>
    </i>
    <i>
      <x v="2"/>
    </i>
    <i>
      <x v="3"/>
    </i>
    <i>
      <x v="4"/>
    </i>
    <i>
      <x v="6"/>
    </i>
    <i>
      <x v="7"/>
    </i>
    <i>
      <x v="8"/>
    </i>
    <i>
      <x v="11"/>
    </i>
    <i>
      <x v="13"/>
    </i>
    <i>
      <x v="14"/>
    </i>
    <i>
      <x v="16"/>
    </i>
    <i>
      <x v="17"/>
    </i>
    <i>
      <x v="18"/>
    </i>
    <i>
      <x v="19"/>
    </i>
    <i>
      <x v="20"/>
    </i>
    <i>
      <x v="21"/>
    </i>
    <i>
      <x v="22"/>
    </i>
    <i>
      <x v="23"/>
    </i>
    <i>
      <x v="24"/>
    </i>
    <i>
      <x v="25"/>
    </i>
    <i>
      <x v="26"/>
    </i>
    <i>
      <x v="27"/>
    </i>
    <i>
      <x v="28"/>
    </i>
    <i>
      <x v="30"/>
    </i>
    <i>
      <x v="3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D2647C-235B-430A-92E2-3AF3BA54252D}" name="PivotTable3" cacheId="17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B4" firstHeaderRow="0" firstDataRow="1" firstDataCol="0"/>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dataField="1" showAll="0"/>
    <pivotField dataField="1" numFmtId="164" showAll="0"/>
    <pivotField showAll="0"/>
    <pivotField showAll="0"/>
    <pivotField showAll="0"/>
    <pivotField numFmtId="43" showAll="0"/>
    <pivotField numFmtId="43" showAll="0"/>
    <pivotField showAll="0"/>
    <pivotField showAll="0"/>
    <pivotField showAll="0"/>
    <pivotField showAll="0"/>
    <pivotField showAll="0" countASubtotal="1" countSubtotal="1"/>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5">
        <item x="1"/>
        <item x="2"/>
        <item x="0"/>
        <item x="3"/>
        <item t="default"/>
      </items>
    </pivotField>
  </pivotFields>
  <rowItems count="1">
    <i/>
  </rowItems>
  <colFields count="1">
    <field x="-2"/>
  </colFields>
  <colItems count="2">
    <i>
      <x/>
    </i>
    <i i="1">
      <x v="1"/>
    </i>
  </colItems>
  <dataFields count="2">
    <dataField name="Sum of TOTAL SALES" fld="8" baseField="0" baseItem="0" numFmtId="165"/>
    <dataField name="Sum of Quantity sold" fld="7" baseField="0" baseItem="0"/>
  </dataFields>
  <formats count="1">
    <format dxfId="1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84D3B58-B22B-41A4-AE73-77486E8FC9C2}" name="PivotTable10" cacheId="17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chartFormat="106">
  <location ref="E3:G8" firstHeaderRow="0" firstDataRow="1" firstDataCol="1"/>
  <pivotFields count="24">
    <pivotField showAll="0"/>
    <pivotField numFmtId="14" showAll="0">
      <items count="128">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39"/>
        <item x="40"/>
        <item x="41"/>
        <item x="42"/>
        <item x="43"/>
        <item x="45"/>
        <item x="46"/>
        <item x="47"/>
        <item x="48"/>
        <item x="49"/>
        <item x="44"/>
        <item x="50"/>
        <item x="51"/>
        <item x="52"/>
        <item x="53"/>
        <item x="54"/>
        <item x="55"/>
        <item x="56"/>
        <item x="57"/>
        <item x="58"/>
        <item x="59"/>
        <item x="60"/>
        <item x="61"/>
        <item x="62"/>
        <item x="63"/>
        <item x="64"/>
        <item x="65"/>
        <item x="66"/>
        <item x="68"/>
        <item x="67"/>
        <item x="73"/>
        <item x="69"/>
        <item x="70"/>
        <item x="71"/>
        <item x="74"/>
        <item x="72"/>
        <item x="75"/>
        <item x="76"/>
        <item x="77"/>
        <item x="78"/>
        <item x="80"/>
        <item x="81"/>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showAll="0"/>
    <pivotField showAll="0">
      <items count="34">
        <item m="1" x="31"/>
        <item x="10"/>
        <item x="15"/>
        <item x="19"/>
        <item x="5"/>
        <item m="1" x="32"/>
        <item x="21"/>
        <item x="0"/>
        <item x="8"/>
        <item m="1" x="27"/>
        <item m="1" x="25"/>
        <item x="7"/>
        <item x="22"/>
        <item m="1" x="28"/>
        <item x="24"/>
        <item x="6"/>
        <item m="1" x="29"/>
        <item x="2"/>
        <item x="23"/>
        <item x="20"/>
        <item x="17"/>
        <item x="11"/>
        <item x="18"/>
        <item x="9"/>
        <item x="1"/>
        <item x="12"/>
        <item x="16"/>
        <item x="4"/>
        <item x="14"/>
        <item x="3"/>
        <item m="1" x="26"/>
        <item x="13"/>
        <item m="1" x="30"/>
        <item t="default"/>
      </items>
    </pivotField>
    <pivotField showAll="0"/>
    <pivotField numFmtId="43" showAll="0"/>
    <pivotField showAll="0"/>
    <pivotField dataField="1" numFmtId="164" showAll="0"/>
    <pivotField dataField="1" numFmtId="164" showAll="0"/>
    <pivotField showAll="0"/>
    <pivotField showAll="0"/>
    <pivotField showAll="0"/>
    <pivotField numFmtId="43" showAll="0"/>
    <pivotField numFmtId="43"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axis="axisRow" showAll="0">
      <items count="7">
        <item x="1"/>
        <item x="2"/>
        <item x="3"/>
        <item x="4"/>
        <item x="0"/>
        <item x="5"/>
        <item t="default"/>
      </items>
    </pivotField>
    <pivotField axis="axisRow" showAll="0">
      <items count="5">
        <item x="1"/>
        <item x="2"/>
        <item x="0"/>
        <item x="3"/>
        <item t="default"/>
      </items>
    </pivotField>
  </pivotFields>
  <rowFields count="2">
    <field x="23"/>
    <field x="22"/>
  </rowFields>
  <rowItems count="5">
    <i>
      <x/>
    </i>
    <i r="1">
      <x v="2"/>
    </i>
    <i r="1">
      <x v="3"/>
    </i>
    <i>
      <x v="1"/>
    </i>
    <i r="1">
      <x/>
    </i>
  </rowItems>
  <colFields count="1">
    <field x="-2"/>
  </colFields>
  <colItems count="2">
    <i>
      <x/>
    </i>
    <i i="1">
      <x v="1"/>
    </i>
  </colItems>
  <dataFields count="2">
    <dataField name="Sum of Quantity sold" fld="7" baseField="0" baseItem="0" numFmtId="164"/>
    <dataField name="Sum of TOTAL SALES" fld="8" baseField="0" baseItem="0" numFmtId="44"/>
  </dataFields>
  <formats count="1">
    <format dxfId="11">
      <pivotArea outline="0" collapsedLevelsAreSubtotals="1" fieldPosition="0">
        <references count="1">
          <reference field="4294967294" count="1" selected="0">
            <x v="1"/>
          </reference>
        </references>
      </pivotArea>
    </format>
  </formats>
  <chartFormats count="10">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63" format="0" series="1">
      <pivotArea type="data" outline="0" fieldPosition="0">
        <references count="1">
          <reference field="4294967294" count="1" selected="0">
            <x v="0"/>
          </reference>
        </references>
      </pivotArea>
    </chartFormat>
    <chartFormat chart="63" format="1" series="1">
      <pivotArea type="data" outline="0" fieldPosition="0">
        <references count="1">
          <reference field="4294967294" count="1" selected="0">
            <x v="1"/>
          </reference>
        </references>
      </pivotArea>
    </chartFormat>
    <chartFormat chart="76" format="8" series="1">
      <pivotArea type="data" outline="0" fieldPosition="0">
        <references count="1">
          <reference field="4294967294" count="1" selected="0">
            <x v="1"/>
          </reference>
        </references>
      </pivotArea>
    </chartFormat>
    <chartFormat chart="76" format="9" series="1">
      <pivotArea type="data" outline="0" fieldPosition="0">
        <references count="1">
          <reference field="4294967294" count="1" selected="0">
            <x v="0"/>
          </reference>
        </references>
      </pivotArea>
    </chartFormat>
    <chartFormat chart="91" format="0" series="1">
      <pivotArea type="data" outline="0" fieldPosition="0">
        <references count="1">
          <reference field="4294967294" count="1" selected="0">
            <x v="0"/>
          </reference>
        </references>
      </pivotArea>
    </chartFormat>
    <chartFormat chart="9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e_style1" xr10:uid="{69A3D072-5042-4520-8850-1E0D3CB6A869}" sourceName="Shoe style">
  <pivotTables>
    <pivotTable tabId="11" name="PivotTable8"/>
    <pivotTable tabId="11" name="PivotTable10"/>
    <pivotTable tabId="11" name="PivotTable2"/>
    <pivotTable tabId="11" name="PivotTable3"/>
    <pivotTable tabId="11" name="PivotTable4"/>
    <pivotTable tabId="11" name="PivotTable6"/>
    <pivotTable tabId="11" name="PivotTable7"/>
    <pivotTable tabId="11" name="PivotTable5"/>
    <pivotTable tabId="11" name="PivotTable12"/>
    <pivotTable tabId="11" name="PivotTable1"/>
  </pivotTables>
  <data>
    <tabular pivotCacheId="651523468">
      <items count="33">
        <i x="10" s="1"/>
        <i x="15" s="1"/>
        <i x="19" s="1"/>
        <i x="5" s="1"/>
        <i x="21" s="1"/>
        <i x="0" s="1"/>
        <i x="8" s="1"/>
        <i x="7" s="1"/>
        <i x="22" s="1"/>
        <i x="24" s="1"/>
        <i x="6" s="1"/>
        <i x="2" s="1"/>
        <i x="23" s="1"/>
        <i x="20" s="1"/>
        <i x="17" s="1"/>
        <i x="11" s="1"/>
        <i x="18" s="1"/>
        <i x="9" s="1"/>
        <i x="1" s="1"/>
        <i x="12" s="1"/>
        <i x="16" s="1"/>
        <i x="4" s="1"/>
        <i x="14" s="1"/>
        <i x="3" s="1"/>
        <i x="13" s="1"/>
        <i x="31" s="1" nd="1"/>
        <i x="32" s="1" nd="1"/>
        <i x="27" s="1" nd="1"/>
        <i x="25" s="1" nd="1"/>
        <i x="28" s="1" nd="1"/>
        <i x="29" s="1" nd="1"/>
        <i x="26" s="1" nd="1"/>
        <i x="3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FA6E65E2-B844-4940-9AD6-E147099A5D9A}" sourceName="Years (Date)">
  <pivotTables>
    <pivotTable tabId="11" name="PivotTable1"/>
    <pivotTable tabId="11" name="PivotTable10"/>
    <pivotTable tabId="11" name="PivotTable12"/>
    <pivotTable tabId="11" name="PivotTable2"/>
    <pivotTable tabId="11" name="PivotTable3"/>
    <pivotTable tabId="11" name="PivotTable4"/>
    <pivotTable tabId="11" name="PivotTable5"/>
    <pivotTable tabId="11" name="PivotTable6"/>
    <pivotTable tabId="11" name="PivotTable7"/>
    <pivotTable tabId="11" name="PivotTable8"/>
  </pivotTables>
  <data>
    <tabular pivotCacheId="651523468">
      <items count="4">
        <i x="1" s="1"/>
        <i x="2" s="1"/>
        <i x="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e style 2" xr10:uid="{53A02C71-FFD2-4970-AC73-47014886094B}" cache="Slicer_Shoe_style1" caption="Shoe style" columnCount="3" style="Slicer Style 2 2" rowHeight="241300"/>
  <slicer name="Years (Date) 1" xr10:uid="{403EA9D4-12D5-453A-9E67-BB6451AA43A7}" cache="Slicer_Years__Date" caption="Years (Date)" style="Slicer Style 2 2"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13B212-B7FF-4B2E-B83A-61942E4D9DF1}" name="Table2" displayName="Table2" ref="A1:U583" totalsRowShown="0" headerRowDxfId="55" headerRowBorderDxfId="54" tableBorderDxfId="53">
  <autoFilter ref="A1:U583" xr:uid="{0213B212-B7FF-4B2E-B83A-61942E4D9DF1}"/>
  <tableColumns count="21">
    <tableColumn id="1" xr3:uid="{161B9D54-695A-4D2D-9E41-F2218F4C99A3}" name="Order ID" dataDxfId="52"/>
    <tableColumn id="2" xr3:uid="{F6ECE822-2CBE-47F8-BE2F-5861F1E06BA7}" name="Date" dataDxfId="51" totalsRowDxfId="50"/>
    <tableColumn id="7" xr3:uid="{38EEB296-AABD-4377-8384-EA7DC8813BE5}" name="STATE" dataDxfId="49"/>
    <tableColumn id="30" xr3:uid="{446AB4EF-148D-4549-8BD2-BF44EF62F01D}" name="Shoe style" dataDxfId="48"/>
    <tableColumn id="29" xr3:uid="{39956552-55A3-430C-A101-32797189A396}" name="Shoe Colour" dataDxfId="47"/>
    <tableColumn id="21" xr3:uid="{73AAE39A-9CFA-48DD-B517-30EC94F8127A}" name="UNIT PRICE" dataDxfId="46" totalsRowDxfId="45" dataCellStyle="Comma">
      <calculatedColumnFormula>_xlfn.XLOOKUP(Table2[[#This Row],[Shoe style]],val[SHOE STYLE],val[UNIT PRICE])</calculatedColumnFormula>
    </tableColumn>
    <tableColumn id="26" xr3:uid="{918CFFB2-0E65-4812-B7BB-D92019F340AE}" name="Discount" dataDxfId="44" totalsRowDxfId="43" dataCellStyle="Comma"/>
    <tableColumn id="22" xr3:uid="{E851CB86-1182-409C-9662-7072A20E9931}" name="Quantity sold" dataDxfId="42" totalsRowDxfId="41" dataCellStyle="Comma"/>
    <tableColumn id="23" xr3:uid="{A12FCBFA-3D0E-4F04-8F21-90E939F19BDF}" name="TOTAL SALES" dataDxfId="40" totalsRowDxfId="39" dataCellStyle="Comma">
      <calculatedColumnFormula>IF(Table2[[#This Row],[Discount]]&lt;(Table2[[#This Row],[UNIT PRICE]]*Table2[[#This Row],[Quantity sold]]),Table2[[#This Row],[UNIT PRICE]]*Table2[[#This Row],[Quantity sold]]-Table2[[#This Row],[Discount]],0)</calculatedColumnFormula>
    </tableColumn>
    <tableColumn id="8" xr3:uid="{04F11087-97B8-49CB-AD44-9AA0BD288636}" name="Amount Paid" dataDxfId="38" totalsRowDxfId="37" dataCellStyle="Comma"/>
    <tableColumn id="9" xr3:uid="{448F5DBB-5A0F-4245-8319-EA30D28CEF6C}" name="COST PRICE" dataDxfId="36"/>
    <tableColumn id="10" xr3:uid="{9793AF34-F52E-401A-845D-679CDB42C053}" name="TOTAL COST PRICE" dataDxfId="35" totalsRowDxfId="34" dataCellStyle="Comma">
      <calculatedColumnFormula>(Table2[[#This Row],[COST PRICE]]*Table2[[#This Row],[Quantity sold]])+#REF!</calculatedColumnFormula>
    </tableColumn>
    <tableColumn id="28" xr3:uid="{CC668873-B43A-43B7-B00A-F3A9E3C098C8}" name="Total Profit" dataDxfId="33" totalsRowDxfId="32" dataCellStyle="Comma">
      <calculatedColumnFormula>Table2[[#This Row],[TOTAL SALES]]-Table2[[#This Row],[TOTAL COST PRICE]]</calculatedColumnFormula>
    </tableColumn>
    <tableColumn id="27" xr3:uid="{1516F405-B63E-4682-AEFC-A4159CB9FFF0}" name="DEFICIT /SURPLUS" dataDxfId="31" totalsRowDxfId="30" dataCellStyle="Comma">
      <calculatedColumnFormula>IF(Table2[[#This Row],[Amount Paid]]&gt;0,(SUMIF(Table2[Order ID],Table2[[#This Row],[Order ID]],Table2[Amount Paid])-SUMIF(Table2[Order ID],Table2[[#This Row],[Order ID]],Table2[TOTAL SALES])),0)</calculatedColumnFormula>
    </tableColumn>
    <tableColumn id="15" xr3:uid="{FC18D22E-0886-4C07-B76C-B6A08030C852}" name="Size " dataDxfId="29"/>
    <tableColumn id="16" xr3:uid="{01562DBD-DFA2-420E-B1C5-6089656101FD}" name="Gender " dataDxfId="28"/>
    <tableColumn id="17" xr3:uid="{2A509882-126E-4512-9079-D2EB8497F366}" name="Channel" dataDxfId="27"/>
    <tableColumn id="18" xr3:uid="{A3F0934D-5DF5-4FA3-BDFD-9B7DB4541A78}" name="Bank" dataDxfId="26"/>
    <tableColumn id="20" xr3:uid="{A8D149BD-80D3-449A-8F1E-1B93D416C294}" name="Delivery status " dataDxfId="25"/>
    <tableColumn id="31" xr3:uid="{4A067766-A731-4A6E-9017-687D2955D6A7}" name="Not delivered" dataDxfId="24">
      <calculatedColumnFormula>IF(S2="YES",0,1)</calculatedColumnFormula>
    </tableColumn>
    <tableColumn id="32" xr3:uid="{7B469F4D-121B-4B20-A964-9D96ABA2E204}" name="Deficit or surplus" dataDxfId="23">
      <calculatedColumnFormula array="1">_xlfn.IFNA(_xlfn.IFS(Table2[[#This Row],[DEFICIT /SURPLUS]]&lt;0,"Deficit",Table2[[#This Row],[DEFICIT /SURPLUS]]&gt;0,"surplus"),"-")</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985F78-CD59-4CE8-B66C-4BEAAC4041B9}" name="val" displayName="val" ref="A1:I39" totalsRowShown="0" headerRowDxfId="22" dataDxfId="21">
  <autoFilter ref="A1:I39" xr:uid="{B9985F78-CD59-4CE8-B66C-4BEAAC4041B9}"/>
  <tableColumns count="9">
    <tableColumn id="1" xr3:uid="{791E5EFB-EC79-422C-B82B-4D8AC0EB80F9}" name="STATES" dataDxfId="20"/>
    <tableColumn id="2" xr3:uid="{94D190CC-63DC-44EA-996C-E3B6D794CB35}" name="SHOE STYLE" dataDxfId="19"/>
    <tableColumn id="9" xr3:uid="{E1F51D4E-1DF9-40A2-A58F-35BC23E7C650}" name="UNIT PRICE" dataDxfId="18" dataCellStyle="Comma"/>
    <tableColumn id="8" xr3:uid="{FE7C2562-CCCE-44E1-98C0-A8B061103B72}" name="COST PRICE" dataDxfId="17">
      <calculatedColumnFormula array="1">_xlfn.RANDARRAY( , ,val[[#This Row],[UNIT PRICE]]-1000,val[[#This Row],[UNIT PRICE]],TRUE)</calculatedColumnFormula>
    </tableColumn>
    <tableColumn id="3" xr3:uid="{D5DF4B5B-0EA5-4BD5-BF3B-A6321F5BB49B}" name="SHOE COLOUR" dataDxfId="16"/>
    <tableColumn id="4" xr3:uid="{09B3FBD7-CC89-4AD5-AEDC-095F25B36B33}" name="SIZE" dataDxfId="15"/>
    <tableColumn id="5" xr3:uid="{CF2337D2-ED84-43D4-8159-7DE51DB5C447}" name="GENDER" dataDxfId="14"/>
    <tableColumn id="6" xr3:uid="{BC6D6C4D-6BAB-4758-A3FB-8C0613AF07FE}" name="CHANNEL" dataDxfId="13"/>
    <tableColumn id="7" xr3:uid="{6B4B87D8-B662-495C-AE8F-199A2AD5E927}" name="BANK" dataDxfId="12"/>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A1:U583"/>
  <sheetViews>
    <sheetView zoomScale="80" zoomScaleNormal="80" workbookViewId="0">
      <pane xSplit="1" topLeftCell="J1" activePane="topRight" state="frozen"/>
      <selection pane="topRight" activeCell="A2" sqref="A2:A583 I2:J583"/>
    </sheetView>
  </sheetViews>
  <sheetFormatPr defaultRowHeight="15" customHeight="1"/>
  <cols>
    <col min="1" max="1" width="19.7265625" style="8" customWidth="1"/>
    <col min="2" max="2" width="19.7265625" style="9" customWidth="1"/>
    <col min="3" max="3" width="10.7265625" style="8" customWidth="1"/>
    <col min="4" max="4" width="19.453125" style="8" customWidth="1"/>
    <col min="5" max="5" width="18.453125" style="8" customWidth="1"/>
    <col min="6" max="6" width="20.453125" customWidth="1"/>
    <col min="7" max="7" width="13.453125" style="10" customWidth="1"/>
    <col min="8" max="8" width="19.453125" style="11" customWidth="1"/>
    <col min="9" max="9" width="19.453125" style="6" customWidth="1"/>
    <col min="10" max="10" width="18.7265625" style="10" customWidth="1"/>
    <col min="11" max="11" width="17.7265625" customWidth="1"/>
    <col min="12" max="12" width="23.08984375" style="2" customWidth="1"/>
    <col min="13" max="14" width="20.453125" style="2" customWidth="1"/>
    <col min="15" max="15" width="17.26953125" style="8" customWidth="1"/>
    <col min="16" max="16" width="17.1796875" style="8" customWidth="1"/>
    <col min="17" max="17" width="15.7265625" style="8" customWidth="1"/>
    <col min="18" max="18" width="13.26953125" style="8" customWidth="1"/>
    <col min="19" max="19" width="16.1796875" style="8" customWidth="1"/>
    <col min="20" max="20" width="13.26953125" style="8" hidden="1" customWidth="1"/>
    <col min="21" max="21" width="19.54296875" style="8" customWidth="1"/>
  </cols>
  <sheetData>
    <row r="1" spans="1:21" ht="14.5">
      <c r="A1" s="7" t="s">
        <v>0</v>
      </c>
      <c r="B1" s="7" t="s">
        <v>1</v>
      </c>
      <c r="C1" s="7" t="s">
        <v>2</v>
      </c>
      <c r="D1" s="7" t="s">
        <v>3</v>
      </c>
      <c r="E1" s="7" t="s">
        <v>4</v>
      </c>
      <c r="F1" s="32" t="s">
        <v>5</v>
      </c>
      <c r="G1" s="7" t="s">
        <v>6</v>
      </c>
      <c r="H1" s="7" t="s">
        <v>7</v>
      </c>
      <c r="I1" s="5" t="s">
        <v>8</v>
      </c>
      <c r="J1" s="12" t="s">
        <v>9</v>
      </c>
      <c r="K1" s="33" t="s">
        <v>10</v>
      </c>
      <c r="L1" s="3" t="s">
        <v>11</v>
      </c>
      <c r="M1" s="3" t="s">
        <v>12</v>
      </c>
      <c r="N1" s="3" t="s">
        <v>13</v>
      </c>
      <c r="O1" s="7" t="s">
        <v>14</v>
      </c>
      <c r="P1" s="7" t="s">
        <v>15</v>
      </c>
      <c r="Q1" s="7" t="s">
        <v>16</v>
      </c>
      <c r="R1" s="7" t="s">
        <v>17</v>
      </c>
      <c r="S1" s="7" t="s">
        <v>18</v>
      </c>
      <c r="T1" s="37" t="s">
        <v>19</v>
      </c>
      <c r="U1" s="33" t="s">
        <v>20</v>
      </c>
    </row>
    <row r="2" spans="1:21" ht="14.5">
      <c r="A2" s="8" t="s">
        <v>21</v>
      </c>
      <c r="B2" s="9">
        <v>45505</v>
      </c>
      <c r="C2" s="8" t="s">
        <v>22</v>
      </c>
      <c r="D2" s="8" t="s">
        <v>23</v>
      </c>
      <c r="E2" s="8" t="s">
        <v>24</v>
      </c>
      <c r="F2" s="31">
        <f>_xlfn.XLOOKUP(Table2[[#This Row],[Shoe style]],val[SHOE STYLE],val[UNIT PRICE])</f>
        <v>14975</v>
      </c>
      <c r="H2" s="11">
        <v>1</v>
      </c>
      <c r="I2" s="6">
        <f>IF(Table2[[#This Row],[Discount]]&lt;(Table2[[#This Row],[UNIT PRICE]]*Table2[[#This Row],[Quantity sold]]),Table2[[#This Row],[UNIT PRICE]]*Table2[[#This Row],[Quantity sold]]-Table2[[#This Row],[Discount]],0)</f>
        <v>14975</v>
      </c>
      <c r="J2" s="10">
        <v>44000</v>
      </c>
      <c r="K2" s="2">
        <f>_xlfn.XLOOKUP(Table2[[#This Row],[Shoe style]],val[SHOE STYLE],val[COST PRICE])</f>
        <v>10813</v>
      </c>
      <c r="L2" s="2">
        <f>(Table2[[#This Row],[COST PRICE]]*Table2[[#This Row],[Quantity sold]])</f>
        <v>10813</v>
      </c>
      <c r="M2" s="2">
        <f>Table2[[#This Row],[TOTAL SALES]]-Table2[[#This Row],[TOTAL COST PRICE]]</f>
        <v>4162</v>
      </c>
      <c r="N2" s="2">
        <f>IF(Table2[[#This Row],[Amount Paid]]&gt;0,(SUMIF(Table2[Order ID],Table2[[#This Row],[Order ID]],Table2[Amount Paid])-SUMIF(Table2[Order ID],Table2[[#This Row],[Order ID]],Table2[TOTAL SALES])),0)</f>
        <v>1655</v>
      </c>
      <c r="O2" s="8">
        <v>40</v>
      </c>
      <c r="P2" s="8" t="s">
        <v>25</v>
      </c>
      <c r="Q2" s="8" t="s">
        <v>26</v>
      </c>
      <c r="R2" s="8" t="s">
        <v>27</v>
      </c>
      <c r="S2" s="8" t="s">
        <v>28</v>
      </c>
      <c r="T2" s="8">
        <f>IF(S2="NO",1,0)</f>
        <v>0</v>
      </c>
      <c r="U2" t="str" cm="1">
        <f t="array" ref="U2">_xlfn.IFNA(_xlfn.IFS(Table2[[#This Row],[DEFICIT /SURPLUS]]&lt;0,"Deficit",Table2[[#This Row],[DEFICIT /SURPLUS]]&gt;0,"surplus"),"-")</f>
        <v>surplus</v>
      </c>
    </row>
    <row r="3" spans="1:21" ht="14.5">
      <c r="A3" s="8" t="s">
        <v>21</v>
      </c>
      <c r="B3" s="9">
        <v>45505</v>
      </c>
      <c r="C3" s="8" t="s">
        <v>22</v>
      </c>
      <c r="D3" s="8" t="s">
        <v>23</v>
      </c>
      <c r="E3" s="8" t="s">
        <v>24</v>
      </c>
      <c r="F3" s="31">
        <f>_xlfn.XLOOKUP(Table2[[#This Row],[Shoe style]],val[SHOE STYLE],val[UNIT PRICE])</f>
        <v>14975</v>
      </c>
      <c r="H3" s="11">
        <v>1</v>
      </c>
      <c r="I3" s="6">
        <f>IF(Table2[[#This Row],[Discount]]&lt;(Table2[[#This Row],[UNIT PRICE]]*Table2[[#This Row],[Quantity sold]]),Table2[[#This Row],[UNIT PRICE]]*Table2[[#This Row],[Quantity sold]]-Table2[[#This Row],[Discount]],0)</f>
        <v>14975</v>
      </c>
      <c r="K3" s="2">
        <f>_xlfn.XLOOKUP(Table2[[#This Row],[Shoe style]],val[SHOE STYLE],val[COST PRICE])</f>
        <v>10813</v>
      </c>
      <c r="L3" s="2">
        <f>(Table2[[#This Row],[COST PRICE]]*Table2[[#This Row],[Quantity sold]])</f>
        <v>10813</v>
      </c>
      <c r="M3" s="2">
        <f>Table2[[#This Row],[TOTAL SALES]]-Table2[[#This Row],[TOTAL COST PRICE]]</f>
        <v>4162</v>
      </c>
      <c r="N3" s="2">
        <f>IF(Table2[[#This Row],[Amount Paid]]&gt;0,(SUMIF(Table2[Order ID],Table2[[#This Row],[Order ID]],Table2[Amount Paid])-SUMIF(Table2[Order ID],Table2[[#This Row],[Order ID]],Table2[TOTAL SALES])),0)</f>
        <v>0</v>
      </c>
      <c r="O3" s="8">
        <v>40</v>
      </c>
      <c r="P3" s="8" t="s">
        <v>25</v>
      </c>
      <c r="Q3" s="8" t="s">
        <v>26</v>
      </c>
      <c r="R3" s="8" t="s">
        <v>27</v>
      </c>
      <c r="S3" s="8" t="s">
        <v>28</v>
      </c>
      <c r="T3" s="8">
        <f t="shared" ref="T3:T64" si="0">IF(S3="NO",1,0)</f>
        <v>0</v>
      </c>
      <c r="U3" t="str" cm="1">
        <f t="array" ref="U3">_xlfn.IFNA(_xlfn.IFS(Table2[[#This Row],[DEFICIT /SURPLUS]]&lt;0,"Deficit",Table2[[#This Row],[DEFICIT /SURPLUS]]&gt;0,"surplus"),"-")</f>
        <v>-</v>
      </c>
    </row>
    <row r="4" spans="1:21" ht="14.5">
      <c r="A4" s="8" t="s">
        <v>21</v>
      </c>
      <c r="B4" s="9">
        <v>45505</v>
      </c>
      <c r="C4" s="8" t="s">
        <v>22</v>
      </c>
      <c r="D4" s="8" t="s">
        <v>29</v>
      </c>
      <c r="E4" s="8" t="s">
        <v>30</v>
      </c>
      <c r="F4" s="31">
        <f>_xlfn.XLOOKUP(Table2[[#This Row],[Shoe style]],val[SHOE STYLE],val[UNIT PRICE])</f>
        <v>12395</v>
      </c>
      <c r="H4" s="11">
        <v>1</v>
      </c>
      <c r="I4" s="6">
        <f>IF(Table2[[#This Row],[Discount]]&lt;(Table2[[#This Row],[UNIT PRICE]]*Table2[[#This Row],[Quantity sold]]),Table2[[#This Row],[UNIT PRICE]]*Table2[[#This Row],[Quantity sold]]-Table2[[#This Row],[Discount]],0)</f>
        <v>12395</v>
      </c>
      <c r="K4" s="2">
        <f>_xlfn.XLOOKUP(Table2[[#This Row],[Shoe style]],val[SHOE STYLE],val[COST PRICE])</f>
        <v>7909</v>
      </c>
      <c r="L4" s="2">
        <f>(Table2[[#This Row],[COST PRICE]]*Table2[[#This Row],[Quantity sold]])</f>
        <v>7909</v>
      </c>
      <c r="M4" s="2">
        <f>Table2[[#This Row],[TOTAL SALES]]-Table2[[#This Row],[TOTAL COST PRICE]]</f>
        <v>4486</v>
      </c>
      <c r="N4" s="2">
        <f>IF(Table2[[#This Row],[Amount Paid]]&gt;0,(SUMIF(Table2[Order ID],Table2[[#This Row],[Order ID]],Table2[Amount Paid])-SUMIF(Table2[Order ID],Table2[[#This Row],[Order ID]],Table2[TOTAL SALES])),0)</f>
        <v>0</v>
      </c>
      <c r="O4" s="8">
        <v>40</v>
      </c>
      <c r="P4" s="8" t="s">
        <v>25</v>
      </c>
      <c r="Q4" s="8" t="s">
        <v>26</v>
      </c>
      <c r="R4" s="8" t="s">
        <v>27</v>
      </c>
      <c r="S4" s="8" t="s">
        <v>28</v>
      </c>
      <c r="T4" s="8">
        <f t="shared" si="0"/>
        <v>0</v>
      </c>
      <c r="U4" t="str" cm="1">
        <f t="array" ref="U4">_xlfn.IFNA(_xlfn.IFS(Table2[[#This Row],[DEFICIT /SURPLUS]]&lt;0,"Deficit",Table2[[#This Row],[DEFICIT /SURPLUS]]&gt;0,"surplus"),"-")</f>
        <v>-</v>
      </c>
    </row>
    <row r="5" spans="1:21" ht="14.5">
      <c r="A5" s="8" t="s">
        <v>31</v>
      </c>
      <c r="B5" s="9">
        <v>45505</v>
      </c>
      <c r="C5" s="8" t="s">
        <v>22</v>
      </c>
      <c r="D5" s="8" t="s">
        <v>32</v>
      </c>
      <c r="E5" s="8" t="s">
        <v>33</v>
      </c>
      <c r="F5" s="31">
        <f>_xlfn.XLOOKUP(Table2[[#This Row],[Shoe style]],val[SHOE STYLE],val[UNIT PRICE])</f>
        <v>19295</v>
      </c>
      <c r="H5" s="11">
        <v>1</v>
      </c>
      <c r="I5" s="6">
        <f>IF(Table2[[#This Row],[Discount]]&lt;(Table2[[#This Row],[UNIT PRICE]]*Table2[[#This Row],[Quantity sold]]),Table2[[#This Row],[UNIT PRICE]]*Table2[[#This Row],[Quantity sold]]-Table2[[#This Row],[Discount]],0)</f>
        <v>19295</v>
      </c>
      <c r="J5" s="10">
        <v>15000</v>
      </c>
      <c r="K5" s="2">
        <f>_xlfn.XLOOKUP(Table2[[#This Row],[Shoe style]],val[SHOE STYLE],val[COST PRICE])</f>
        <v>16705</v>
      </c>
      <c r="L5" s="2">
        <f>(Table2[[#This Row],[COST PRICE]]*Table2[[#This Row],[Quantity sold]])</f>
        <v>16705</v>
      </c>
      <c r="M5" s="2">
        <f>Table2[[#This Row],[TOTAL SALES]]-Table2[[#This Row],[TOTAL COST PRICE]]</f>
        <v>2590</v>
      </c>
      <c r="N5" s="2">
        <f>IF(Table2[[#This Row],[Amount Paid]]&gt;0,(SUMIF(Table2[Order ID],Table2[[#This Row],[Order ID]],Table2[Amount Paid])-SUMIF(Table2[Order ID],Table2[[#This Row],[Order ID]],Table2[TOTAL SALES])),0)</f>
        <v>-4295</v>
      </c>
      <c r="O5" s="8">
        <v>41</v>
      </c>
      <c r="P5" s="8" t="s">
        <v>25</v>
      </c>
      <c r="Q5" s="8" t="s">
        <v>26</v>
      </c>
      <c r="R5" s="8" t="s">
        <v>27</v>
      </c>
      <c r="S5" s="8" t="s">
        <v>28</v>
      </c>
      <c r="T5" s="8">
        <f t="shared" si="0"/>
        <v>0</v>
      </c>
      <c r="U5" t="str" cm="1">
        <f t="array" ref="U5">_xlfn.IFNA(_xlfn.IFS(Table2[[#This Row],[DEFICIT /SURPLUS]]&lt;0,"Deficit",Table2[[#This Row],[DEFICIT /SURPLUS]]&gt;0,"surplus"),"-")</f>
        <v>Deficit</v>
      </c>
    </row>
    <row r="6" spans="1:21" ht="14.5">
      <c r="A6" s="8" t="s">
        <v>34</v>
      </c>
      <c r="B6" s="9">
        <v>45505</v>
      </c>
      <c r="C6" s="8" t="s">
        <v>22</v>
      </c>
      <c r="D6" s="8" t="s">
        <v>35</v>
      </c>
      <c r="E6" s="8" t="s">
        <v>24</v>
      </c>
      <c r="F6" s="31">
        <f>_xlfn.XLOOKUP(Table2[[#This Row],[Shoe style]],val[SHOE STYLE],val[UNIT PRICE])</f>
        <v>16646</v>
      </c>
      <c r="H6" s="11">
        <v>1</v>
      </c>
      <c r="I6" s="6">
        <f>IF(Table2[[#This Row],[Discount]]&lt;(Table2[[#This Row],[UNIT PRICE]]*Table2[[#This Row],[Quantity sold]]),Table2[[#This Row],[UNIT PRICE]]*Table2[[#This Row],[Quantity sold]]-Table2[[#This Row],[Discount]],0)</f>
        <v>16646</v>
      </c>
      <c r="J6" s="10">
        <v>21000</v>
      </c>
      <c r="K6" s="2">
        <f>_xlfn.XLOOKUP(Table2[[#This Row],[Shoe style]],val[SHOE STYLE],val[COST PRICE])</f>
        <v>13546</v>
      </c>
      <c r="L6" s="2">
        <f>(Table2[[#This Row],[COST PRICE]]*Table2[[#This Row],[Quantity sold]])</f>
        <v>13546</v>
      </c>
      <c r="M6" s="2">
        <f>Table2[[#This Row],[TOTAL SALES]]-Table2[[#This Row],[TOTAL COST PRICE]]</f>
        <v>3100</v>
      </c>
      <c r="N6" s="2">
        <f>IF(Table2[[#This Row],[Amount Paid]]&gt;0,(SUMIF(Table2[Order ID],Table2[[#This Row],[Order ID]],Table2[Amount Paid])-SUMIF(Table2[Order ID],Table2[[#This Row],[Order ID]],Table2[TOTAL SALES])),0)</f>
        <v>4354</v>
      </c>
      <c r="O6" s="8">
        <v>40</v>
      </c>
      <c r="P6" s="8" t="s">
        <v>25</v>
      </c>
      <c r="Q6" s="8" t="s">
        <v>26</v>
      </c>
      <c r="R6" s="8" t="s">
        <v>27</v>
      </c>
      <c r="S6" s="8" t="s">
        <v>28</v>
      </c>
      <c r="T6" s="8">
        <f t="shared" si="0"/>
        <v>0</v>
      </c>
      <c r="U6" t="str" cm="1">
        <f t="array" ref="U6">_xlfn.IFNA(_xlfn.IFS(Table2[[#This Row],[DEFICIT /SURPLUS]]&lt;0,"Deficit",Table2[[#This Row],[DEFICIT /SURPLUS]]&gt;0,"surplus"),"-")</f>
        <v>surplus</v>
      </c>
    </row>
    <row r="7" spans="1:21" ht="14.5">
      <c r="A7" s="8" t="s">
        <v>36</v>
      </c>
      <c r="B7" s="9">
        <v>45507</v>
      </c>
      <c r="C7" s="8" t="s">
        <v>22</v>
      </c>
      <c r="D7" s="8" t="s">
        <v>37</v>
      </c>
      <c r="E7" s="8" t="s">
        <v>38</v>
      </c>
      <c r="F7" s="31">
        <f>_xlfn.XLOOKUP(Table2[[#This Row],[Shoe style]],val[SHOE STYLE],val[UNIT PRICE])</f>
        <v>22728</v>
      </c>
      <c r="H7" s="11">
        <v>1</v>
      </c>
      <c r="I7" s="6">
        <f>IF(Table2[[#This Row],[Discount]]&lt;(Table2[[#This Row],[UNIT PRICE]]*Table2[[#This Row],[Quantity sold]]),Table2[[#This Row],[UNIT PRICE]]*Table2[[#This Row],[Quantity sold]]-Table2[[#This Row],[Discount]],0)</f>
        <v>22728</v>
      </c>
      <c r="J7" s="10">
        <v>13500</v>
      </c>
      <c r="K7" s="2">
        <f>_xlfn.XLOOKUP(Table2[[#This Row],[Shoe style]],val[SHOE STYLE],val[COST PRICE])</f>
        <v>20451</v>
      </c>
      <c r="L7" s="2">
        <f>(Table2[[#This Row],[COST PRICE]]*Table2[[#This Row],[Quantity sold]])</f>
        <v>20451</v>
      </c>
      <c r="M7" s="2">
        <f>Table2[[#This Row],[TOTAL SALES]]-Table2[[#This Row],[TOTAL COST PRICE]]</f>
        <v>2277</v>
      </c>
      <c r="N7" s="2">
        <f>IF(Table2[[#This Row],[Amount Paid]]&gt;0,(SUMIF(Table2[Order ID],Table2[[#This Row],[Order ID]],Table2[Amount Paid])-SUMIF(Table2[Order ID],Table2[[#This Row],[Order ID]],Table2[TOTAL SALES])),0)</f>
        <v>-9228</v>
      </c>
      <c r="O7" s="8">
        <v>40</v>
      </c>
      <c r="P7" s="8" t="s">
        <v>25</v>
      </c>
      <c r="Q7" s="8" t="s">
        <v>26</v>
      </c>
      <c r="R7" s="8" t="s">
        <v>27</v>
      </c>
      <c r="S7" s="8" t="s">
        <v>28</v>
      </c>
      <c r="T7" s="8">
        <f t="shared" si="0"/>
        <v>0</v>
      </c>
      <c r="U7" t="str" cm="1">
        <f t="array" ref="U7">_xlfn.IFNA(_xlfn.IFS(Table2[[#This Row],[DEFICIT /SURPLUS]]&lt;0,"Deficit",Table2[[#This Row],[DEFICIT /SURPLUS]]&gt;0,"surplus"),"-")</f>
        <v>Deficit</v>
      </c>
    </row>
    <row r="8" spans="1:21" ht="14.5">
      <c r="A8" s="8" t="s">
        <v>39</v>
      </c>
      <c r="B8" s="9">
        <v>45507</v>
      </c>
      <c r="C8" s="8" t="s">
        <v>22</v>
      </c>
      <c r="D8" s="8" t="s">
        <v>37</v>
      </c>
      <c r="E8" s="8" t="s">
        <v>40</v>
      </c>
      <c r="F8" s="31">
        <f>_xlfn.XLOOKUP(Table2[[#This Row],[Shoe style]],val[SHOE STYLE],val[UNIT PRICE])</f>
        <v>22728</v>
      </c>
      <c r="H8" s="11">
        <v>1</v>
      </c>
      <c r="I8" s="6">
        <f>IF(Table2[[#This Row],[Discount]]&lt;(Table2[[#This Row],[UNIT PRICE]]*Table2[[#This Row],[Quantity sold]]),Table2[[#This Row],[UNIT PRICE]]*Table2[[#This Row],[Quantity sold]]-Table2[[#This Row],[Discount]],0)</f>
        <v>22728</v>
      </c>
      <c r="J8" s="10">
        <v>16000</v>
      </c>
      <c r="K8" s="2">
        <f>_xlfn.XLOOKUP(Table2[[#This Row],[Shoe style]],val[SHOE STYLE],val[COST PRICE])</f>
        <v>20451</v>
      </c>
      <c r="L8" s="2">
        <f>(Table2[[#This Row],[COST PRICE]]*Table2[[#This Row],[Quantity sold]])</f>
        <v>20451</v>
      </c>
      <c r="M8" s="2">
        <f>Table2[[#This Row],[TOTAL SALES]]-Table2[[#This Row],[TOTAL COST PRICE]]</f>
        <v>2277</v>
      </c>
      <c r="N8" s="2">
        <f>IF(Table2[[#This Row],[Amount Paid]]&gt;0,(SUMIF(Table2[Order ID],Table2[[#This Row],[Order ID]],Table2[Amount Paid])-SUMIF(Table2[Order ID],Table2[[#This Row],[Order ID]],Table2[TOTAL SALES])),0)</f>
        <v>-6728</v>
      </c>
      <c r="O8" s="8">
        <v>38</v>
      </c>
      <c r="P8" s="8" t="s">
        <v>25</v>
      </c>
      <c r="Q8" s="8" t="s">
        <v>26</v>
      </c>
      <c r="R8" s="8" t="s">
        <v>27</v>
      </c>
      <c r="S8" s="8" t="s">
        <v>28</v>
      </c>
      <c r="T8" s="8">
        <f t="shared" si="0"/>
        <v>0</v>
      </c>
      <c r="U8" t="str" cm="1">
        <f t="array" ref="U8">_xlfn.IFNA(_xlfn.IFS(Table2[[#This Row],[DEFICIT /SURPLUS]]&lt;0,"Deficit",Table2[[#This Row],[DEFICIT /SURPLUS]]&gt;0,"surplus"),"-")</f>
        <v>Deficit</v>
      </c>
    </row>
    <row r="9" spans="1:21" ht="14.5">
      <c r="A9" s="8" t="s">
        <v>41</v>
      </c>
      <c r="B9" s="9">
        <v>45508</v>
      </c>
      <c r="C9" s="8" t="s">
        <v>22</v>
      </c>
      <c r="D9" s="8" t="s">
        <v>42</v>
      </c>
      <c r="E9" s="8" t="s">
        <v>43</v>
      </c>
      <c r="F9" s="31">
        <f>_xlfn.XLOOKUP(Table2[[#This Row],[Shoe style]],val[SHOE STYLE],val[UNIT PRICE])</f>
        <v>17614</v>
      </c>
      <c r="H9" s="11">
        <v>1</v>
      </c>
      <c r="I9" s="6">
        <f>IF(Table2[[#This Row],[Discount]]&lt;(Table2[[#This Row],[UNIT PRICE]]*Table2[[#This Row],[Quantity sold]]),Table2[[#This Row],[UNIT PRICE]]*Table2[[#This Row],[Quantity sold]]-Table2[[#This Row],[Discount]],0)</f>
        <v>17614</v>
      </c>
      <c r="J9" s="10">
        <v>22500</v>
      </c>
      <c r="K9" s="2">
        <f>_xlfn.XLOOKUP(Table2[[#This Row],[Shoe style]],val[SHOE STYLE],val[COST PRICE])</f>
        <v>14912</v>
      </c>
      <c r="L9" s="2">
        <f>(Table2[[#This Row],[COST PRICE]]*Table2[[#This Row],[Quantity sold]])</f>
        <v>14912</v>
      </c>
      <c r="M9" s="2">
        <f>Table2[[#This Row],[TOTAL SALES]]-Table2[[#This Row],[TOTAL COST PRICE]]</f>
        <v>2702</v>
      </c>
      <c r="N9" s="2">
        <f>IF(Table2[[#This Row],[Amount Paid]]&gt;0,(SUMIF(Table2[Order ID],Table2[[#This Row],[Order ID]],Table2[Amount Paid])-SUMIF(Table2[Order ID],Table2[[#This Row],[Order ID]],Table2[TOTAL SALES])),0)</f>
        <v>-12728</v>
      </c>
      <c r="O9" s="8">
        <v>40</v>
      </c>
      <c r="P9" s="8" t="s">
        <v>25</v>
      </c>
      <c r="Q9" s="8" t="s">
        <v>26</v>
      </c>
      <c r="R9" s="8" t="s">
        <v>44</v>
      </c>
      <c r="S9" s="8" t="s">
        <v>28</v>
      </c>
      <c r="T9" s="8">
        <f t="shared" si="0"/>
        <v>0</v>
      </c>
      <c r="U9" t="str" cm="1">
        <f t="array" ref="U9">_xlfn.IFNA(_xlfn.IFS(Table2[[#This Row],[DEFICIT /SURPLUS]]&lt;0,"Deficit",Table2[[#This Row],[DEFICIT /SURPLUS]]&gt;0,"surplus"),"-")</f>
        <v>Deficit</v>
      </c>
    </row>
    <row r="10" spans="1:21" ht="14.5">
      <c r="A10" s="8" t="s">
        <v>41</v>
      </c>
      <c r="B10" s="9">
        <v>45508</v>
      </c>
      <c r="C10" s="8" t="s">
        <v>22</v>
      </c>
      <c r="D10" s="8" t="s">
        <v>42</v>
      </c>
      <c r="E10" s="8" t="s">
        <v>43</v>
      </c>
      <c r="F10" s="31">
        <f>_xlfn.XLOOKUP(Table2[[#This Row],[Shoe style]],val[SHOE STYLE],val[UNIT PRICE])</f>
        <v>17614</v>
      </c>
      <c r="H10" s="11">
        <v>1</v>
      </c>
      <c r="I10" s="6">
        <f>IF(Table2[[#This Row],[Discount]]&lt;(Table2[[#This Row],[UNIT PRICE]]*Table2[[#This Row],[Quantity sold]]),Table2[[#This Row],[UNIT PRICE]]*Table2[[#This Row],[Quantity sold]]-Table2[[#This Row],[Discount]],0)</f>
        <v>17614</v>
      </c>
      <c r="K10" s="2">
        <f>_xlfn.XLOOKUP(Table2[[#This Row],[Shoe style]],val[SHOE STYLE],val[COST PRICE])</f>
        <v>14912</v>
      </c>
      <c r="L10" s="2">
        <f>(Table2[[#This Row],[COST PRICE]]*Table2[[#This Row],[Quantity sold]])</f>
        <v>14912</v>
      </c>
      <c r="M10" s="2">
        <f>Table2[[#This Row],[TOTAL SALES]]-Table2[[#This Row],[TOTAL COST PRICE]]</f>
        <v>2702</v>
      </c>
      <c r="N10" s="2">
        <f>IF(Table2[[#This Row],[Amount Paid]]&gt;0,(SUMIF(Table2[Order ID],Table2[[#This Row],[Order ID]],Table2[Amount Paid])-SUMIF(Table2[Order ID],Table2[[#This Row],[Order ID]],Table2[TOTAL SALES])),0)</f>
        <v>0</v>
      </c>
      <c r="O10" s="8">
        <v>40</v>
      </c>
      <c r="P10" s="8" t="s">
        <v>25</v>
      </c>
      <c r="Q10" s="8" t="s">
        <v>26</v>
      </c>
      <c r="R10" s="8" t="s">
        <v>44</v>
      </c>
      <c r="S10" s="8" t="s">
        <v>28</v>
      </c>
      <c r="T10" s="8">
        <f t="shared" si="0"/>
        <v>0</v>
      </c>
      <c r="U10" t="str" cm="1">
        <f t="array" ref="U10">_xlfn.IFNA(_xlfn.IFS(Table2[[#This Row],[DEFICIT /SURPLUS]]&lt;0,"Deficit",Table2[[#This Row],[DEFICIT /SURPLUS]]&gt;0,"surplus"),"-")</f>
        <v>-</v>
      </c>
    </row>
    <row r="11" spans="1:21" ht="14.5">
      <c r="A11" s="8" t="s">
        <v>45</v>
      </c>
      <c r="B11" s="9">
        <v>45510</v>
      </c>
      <c r="C11" s="8" t="s">
        <v>22</v>
      </c>
      <c r="D11" s="8" t="s">
        <v>42</v>
      </c>
      <c r="E11" s="8" t="s">
        <v>24</v>
      </c>
      <c r="F11" s="31">
        <f>_xlfn.XLOOKUP(Table2[[#This Row],[Shoe style]],val[SHOE STYLE],val[UNIT PRICE])</f>
        <v>17614</v>
      </c>
      <c r="H11" s="11">
        <v>1</v>
      </c>
      <c r="I11" s="6">
        <f>IF(Table2[[#This Row],[Discount]]&lt;(Table2[[#This Row],[UNIT PRICE]]*Table2[[#This Row],[Quantity sold]]),Table2[[#This Row],[UNIT PRICE]]*Table2[[#This Row],[Quantity sold]]-Table2[[#This Row],[Discount]],0)</f>
        <v>17614</v>
      </c>
      <c r="J11" s="10">
        <v>14500</v>
      </c>
      <c r="K11" s="2">
        <f>_xlfn.XLOOKUP(Table2[[#This Row],[Shoe style]],val[SHOE STYLE],val[COST PRICE])</f>
        <v>14912</v>
      </c>
      <c r="L11" s="2">
        <f>(Table2[[#This Row],[COST PRICE]]*Table2[[#This Row],[Quantity sold]])</f>
        <v>14912</v>
      </c>
      <c r="M11" s="2">
        <f>Table2[[#This Row],[TOTAL SALES]]-Table2[[#This Row],[TOTAL COST PRICE]]</f>
        <v>2702</v>
      </c>
      <c r="N11" s="2">
        <f>IF(Table2[[#This Row],[Amount Paid]]&gt;0,(SUMIF(Table2[Order ID],Table2[[#This Row],[Order ID]],Table2[Amount Paid])-SUMIF(Table2[Order ID],Table2[[#This Row],[Order ID]],Table2[TOTAL SALES])),0)</f>
        <v>-3114</v>
      </c>
      <c r="O11" s="8">
        <v>42</v>
      </c>
      <c r="P11" s="8" t="s">
        <v>25</v>
      </c>
      <c r="Q11" s="8" t="s">
        <v>26</v>
      </c>
      <c r="R11" s="8" t="s">
        <v>27</v>
      </c>
      <c r="S11" s="8" t="s">
        <v>28</v>
      </c>
      <c r="T11" s="8">
        <f t="shared" si="0"/>
        <v>0</v>
      </c>
      <c r="U11" t="str" cm="1">
        <f t="array" ref="U11">_xlfn.IFNA(_xlfn.IFS(Table2[[#This Row],[DEFICIT /SURPLUS]]&lt;0,"Deficit",Table2[[#This Row],[DEFICIT /SURPLUS]]&gt;0,"surplus"),"-")</f>
        <v>Deficit</v>
      </c>
    </row>
    <row r="12" spans="1:21" ht="14.5">
      <c r="A12" s="8" t="s">
        <v>46</v>
      </c>
      <c r="B12" s="9">
        <v>45510</v>
      </c>
      <c r="C12" s="8" t="s">
        <v>22</v>
      </c>
      <c r="D12" s="8" t="s">
        <v>42</v>
      </c>
      <c r="E12" s="8" t="s">
        <v>24</v>
      </c>
      <c r="F12" s="31">
        <f>_xlfn.XLOOKUP(Table2[[#This Row],[Shoe style]],val[SHOE STYLE],val[UNIT PRICE])</f>
        <v>17614</v>
      </c>
      <c r="H12" s="11">
        <v>1</v>
      </c>
      <c r="I12" s="6">
        <f>IF(Table2[[#This Row],[Discount]]&lt;(Table2[[#This Row],[UNIT PRICE]]*Table2[[#This Row],[Quantity sold]]),Table2[[#This Row],[UNIT PRICE]]*Table2[[#This Row],[Quantity sold]]-Table2[[#This Row],[Discount]],0)</f>
        <v>17614</v>
      </c>
      <c r="J12" s="10">
        <v>32500</v>
      </c>
      <c r="K12" s="2">
        <f>_xlfn.XLOOKUP(Table2[[#This Row],[Shoe style]],val[SHOE STYLE],val[COST PRICE])</f>
        <v>14912</v>
      </c>
      <c r="L12" s="2">
        <f>(Table2[[#This Row],[COST PRICE]]*Table2[[#This Row],[Quantity sold]])</f>
        <v>14912</v>
      </c>
      <c r="M12" s="2">
        <f>Table2[[#This Row],[TOTAL SALES]]-Table2[[#This Row],[TOTAL COST PRICE]]</f>
        <v>2702</v>
      </c>
      <c r="N12" s="2">
        <f>IF(Table2[[#This Row],[Amount Paid]]&gt;0,(SUMIF(Table2[Order ID],Table2[[#This Row],[Order ID]],Table2[Amount Paid])-SUMIF(Table2[Order ID],Table2[[#This Row],[Order ID]],Table2[TOTAL SALES])),0)</f>
        <v>14886</v>
      </c>
      <c r="O12" s="8">
        <v>43</v>
      </c>
      <c r="P12" s="8" t="s">
        <v>25</v>
      </c>
      <c r="Q12" s="8" t="s">
        <v>26</v>
      </c>
      <c r="R12" s="8" t="s">
        <v>27</v>
      </c>
      <c r="S12" s="8" t="s">
        <v>492</v>
      </c>
      <c r="T12" s="8">
        <f t="shared" si="0"/>
        <v>1</v>
      </c>
      <c r="U12" t="str" cm="1">
        <f t="array" ref="U12">_xlfn.IFNA(_xlfn.IFS(Table2[[#This Row],[DEFICIT /SURPLUS]]&lt;0,"Deficit",Table2[[#This Row],[DEFICIT /SURPLUS]]&gt;0,"surplus"),"-")</f>
        <v>surplus</v>
      </c>
    </row>
    <row r="13" spans="1:21" ht="14.5">
      <c r="A13" s="8" t="s">
        <v>47</v>
      </c>
      <c r="B13" s="9">
        <v>45512</v>
      </c>
      <c r="C13" s="8" t="s">
        <v>22</v>
      </c>
      <c r="D13" s="8" t="s">
        <v>29</v>
      </c>
      <c r="E13" s="8" t="s">
        <v>30</v>
      </c>
      <c r="F13" s="31">
        <f>_xlfn.XLOOKUP(Table2[[#This Row],[Shoe style]],val[SHOE STYLE],val[UNIT PRICE])</f>
        <v>12395</v>
      </c>
      <c r="H13" s="11">
        <v>1</v>
      </c>
      <c r="I13" s="6">
        <f>IF(Table2[[#This Row],[Discount]]&lt;(Table2[[#This Row],[UNIT PRICE]]*Table2[[#This Row],[Quantity sold]]),Table2[[#This Row],[UNIT PRICE]]*Table2[[#This Row],[Quantity sold]]-Table2[[#This Row],[Discount]],0)</f>
        <v>12395</v>
      </c>
      <c r="J13" s="10">
        <v>10000</v>
      </c>
      <c r="K13" s="2">
        <f>_xlfn.XLOOKUP(Table2[[#This Row],[Shoe style]],val[SHOE STYLE],val[COST PRICE])</f>
        <v>7909</v>
      </c>
      <c r="L13" s="2">
        <f>(Table2[[#This Row],[COST PRICE]]*Table2[[#This Row],[Quantity sold]])</f>
        <v>7909</v>
      </c>
      <c r="M13" s="2">
        <f>Table2[[#This Row],[TOTAL SALES]]-Table2[[#This Row],[TOTAL COST PRICE]]</f>
        <v>4486</v>
      </c>
      <c r="N13" s="2">
        <f>IF(Table2[[#This Row],[Amount Paid]]&gt;0,(SUMIF(Table2[Order ID],Table2[[#This Row],[Order ID]],Table2[Amount Paid])-SUMIF(Table2[Order ID],Table2[[#This Row],[Order ID]],Table2[TOTAL SALES])),0)</f>
        <v>-2395</v>
      </c>
      <c r="O13" s="8">
        <v>37</v>
      </c>
      <c r="P13" s="8" t="s">
        <v>25</v>
      </c>
      <c r="Q13" s="8" t="s">
        <v>26</v>
      </c>
      <c r="R13" s="8" t="s">
        <v>27</v>
      </c>
      <c r="S13" s="8" t="s">
        <v>28</v>
      </c>
      <c r="T13" s="8">
        <f t="shared" si="0"/>
        <v>0</v>
      </c>
      <c r="U13" t="str" cm="1">
        <f t="array" ref="U13">_xlfn.IFNA(_xlfn.IFS(Table2[[#This Row],[DEFICIT /SURPLUS]]&lt;0,"Deficit",Table2[[#This Row],[DEFICIT /SURPLUS]]&gt;0,"surplus"),"-")</f>
        <v>Deficit</v>
      </c>
    </row>
    <row r="14" spans="1:21" ht="14.5">
      <c r="A14" s="8" t="s">
        <v>48</v>
      </c>
      <c r="B14" s="9">
        <v>45513</v>
      </c>
      <c r="C14" s="8" t="s">
        <v>22</v>
      </c>
      <c r="D14" s="8" t="s">
        <v>49</v>
      </c>
      <c r="E14" s="8" t="s">
        <v>50</v>
      </c>
      <c r="F14" s="31">
        <f>_xlfn.XLOOKUP(Table2[[#This Row],[Shoe style]],val[SHOE STYLE],val[UNIT PRICE])</f>
        <v>20500</v>
      </c>
      <c r="H14" s="11">
        <v>1</v>
      </c>
      <c r="I14" s="6">
        <f>IF(Table2[[#This Row],[Discount]]&lt;(Table2[[#This Row],[UNIT PRICE]]*Table2[[#This Row],[Quantity sold]]),Table2[[#This Row],[UNIT PRICE]]*Table2[[#This Row],[Quantity sold]]-Table2[[#This Row],[Discount]],0)</f>
        <v>20500</v>
      </c>
      <c r="J14" s="10">
        <v>31000</v>
      </c>
      <c r="K14" s="2">
        <f>_xlfn.XLOOKUP(Table2[[#This Row],[Shoe style]],val[SHOE STYLE],val[COST PRICE])</f>
        <v>17339</v>
      </c>
      <c r="L14" s="2">
        <f>(Table2[[#This Row],[COST PRICE]]*Table2[[#This Row],[Quantity sold]])</f>
        <v>17339</v>
      </c>
      <c r="M14" s="2">
        <f>Table2[[#This Row],[TOTAL SALES]]-Table2[[#This Row],[TOTAL COST PRICE]]</f>
        <v>3161</v>
      </c>
      <c r="N14" s="2">
        <f>IF(Table2[[#This Row],[Amount Paid]]&gt;0,(SUMIF(Table2[Order ID],Table2[[#This Row],[Order ID]],Table2[Amount Paid])-SUMIF(Table2[Order ID],Table2[[#This Row],[Order ID]],Table2[TOTAL SALES])),0)</f>
        <v>-507</v>
      </c>
      <c r="O14" s="8">
        <v>40</v>
      </c>
      <c r="P14" s="8" t="s">
        <v>25</v>
      </c>
      <c r="Q14" s="8" t="s">
        <v>26</v>
      </c>
      <c r="R14" s="8" t="s">
        <v>27</v>
      </c>
      <c r="S14" s="8" t="s">
        <v>28</v>
      </c>
      <c r="T14" s="8">
        <f t="shared" si="0"/>
        <v>0</v>
      </c>
      <c r="U14" t="str" cm="1">
        <f t="array" ref="U14">_xlfn.IFNA(_xlfn.IFS(Table2[[#This Row],[DEFICIT /SURPLUS]]&lt;0,"Deficit",Table2[[#This Row],[DEFICIT /SURPLUS]]&gt;0,"surplus"),"-")</f>
        <v>Deficit</v>
      </c>
    </row>
    <row r="15" spans="1:21" ht="14.5">
      <c r="A15" s="8" t="s">
        <v>48</v>
      </c>
      <c r="B15" s="9">
        <v>45513</v>
      </c>
      <c r="C15" s="8" t="s">
        <v>22</v>
      </c>
      <c r="D15" s="8" t="s">
        <v>51</v>
      </c>
      <c r="E15" s="8" t="s">
        <v>30</v>
      </c>
      <c r="F15" s="31">
        <f>_xlfn.XLOOKUP(Table2[[#This Row],[Shoe style]],val[SHOE STYLE],val[UNIT PRICE])</f>
        <v>11007</v>
      </c>
      <c r="H15" s="11">
        <v>1</v>
      </c>
      <c r="I15" s="6">
        <f>IF(Table2[[#This Row],[Discount]]&lt;(Table2[[#This Row],[UNIT PRICE]]*Table2[[#This Row],[Quantity sold]]),Table2[[#This Row],[UNIT PRICE]]*Table2[[#This Row],[Quantity sold]]-Table2[[#This Row],[Discount]],0)</f>
        <v>11007</v>
      </c>
      <c r="K15" s="2">
        <f>_xlfn.XLOOKUP(Table2[[#This Row],[Shoe style]],val[SHOE STYLE],val[COST PRICE])</f>
        <v>8327</v>
      </c>
      <c r="L15" s="2">
        <f>(Table2[[#This Row],[COST PRICE]]*Table2[[#This Row],[Quantity sold]])</f>
        <v>8327</v>
      </c>
      <c r="M15" s="2">
        <f>Table2[[#This Row],[TOTAL SALES]]-Table2[[#This Row],[TOTAL COST PRICE]]</f>
        <v>2680</v>
      </c>
      <c r="N15" s="2">
        <f>IF(Table2[[#This Row],[Amount Paid]]&gt;0,(SUMIF(Table2[Order ID],Table2[[#This Row],[Order ID]],Table2[Amount Paid])-SUMIF(Table2[Order ID],Table2[[#This Row],[Order ID]],Table2[TOTAL SALES])),0)</f>
        <v>0</v>
      </c>
      <c r="O15" s="8">
        <v>40</v>
      </c>
      <c r="P15" s="8" t="s">
        <v>25</v>
      </c>
      <c r="Q15" s="8" t="s">
        <v>26</v>
      </c>
      <c r="R15" s="8" t="s">
        <v>27</v>
      </c>
      <c r="S15" s="8" t="s">
        <v>28</v>
      </c>
      <c r="T15" s="8">
        <f t="shared" si="0"/>
        <v>0</v>
      </c>
      <c r="U15" t="str" cm="1">
        <f t="array" ref="U15">_xlfn.IFNA(_xlfn.IFS(Table2[[#This Row],[DEFICIT /SURPLUS]]&lt;0,"Deficit",Table2[[#This Row],[DEFICIT /SURPLUS]]&gt;0,"surplus"),"-")</f>
        <v>-</v>
      </c>
    </row>
    <row r="16" spans="1:21" ht="14.5">
      <c r="A16" s="8" t="s">
        <v>52</v>
      </c>
      <c r="B16" s="9">
        <v>45513</v>
      </c>
      <c r="C16" s="8" t="s">
        <v>22</v>
      </c>
      <c r="D16" s="8" t="s">
        <v>53</v>
      </c>
      <c r="E16" s="8" t="s">
        <v>30</v>
      </c>
      <c r="F16" s="31">
        <f>_xlfn.XLOOKUP(Table2[[#This Row],[Shoe style]],val[SHOE STYLE],val[UNIT PRICE])</f>
        <v>9838</v>
      </c>
      <c r="H16" s="11">
        <v>1</v>
      </c>
      <c r="I16" s="6">
        <f>IF(Table2[[#This Row],[Discount]]&lt;(Table2[[#This Row],[UNIT PRICE]]*Table2[[#This Row],[Quantity sold]]),Table2[[#This Row],[UNIT PRICE]]*Table2[[#This Row],[Quantity sold]]-Table2[[#This Row],[Discount]],0)</f>
        <v>9838</v>
      </c>
      <c r="J16" s="10">
        <v>34400</v>
      </c>
      <c r="K16" s="2">
        <f>_xlfn.XLOOKUP(Table2[[#This Row],[Shoe style]],val[SHOE STYLE],val[COST PRICE])</f>
        <v>6687</v>
      </c>
      <c r="L16" s="2">
        <f>(Table2[[#This Row],[COST PRICE]]*Table2[[#This Row],[Quantity sold]])</f>
        <v>6687</v>
      </c>
      <c r="M16" s="2">
        <f>Table2[[#This Row],[TOTAL SALES]]-Table2[[#This Row],[TOTAL COST PRICE]]</f>
        <v>3151</v>
      </c>
      <c r="N16" s="2">
        <f>IF(Table2[[#This Row],[Amount Paid]]&gt;0,(SUMIF(Table2[Order ID],Table2[[#This Row],[Order ID]],Table2[Amount Paid])-SUMIF(Table2[Order ID],Table2[[#This Row],[Order ID]],Table2[TOTAL SALES])),0)</f>
        <v>1834</v>
      </c>
      <c r="O16" s="8">
        <v>38</v>
      </c>
      <c r="P16" s="8" t="s">
        <v>25</v>
      </c>
      <c r="Q16" s="8" t="s">
        <v>54</v>
      </c>
      <c r="R16" s="8" t="s">
        <v>27</v>
      </c>
      <c r="S16" s="8" t="s">
        <v>28</v>
      </c>
      <c r="T16" s="8">
        <f t="shared" si="0"/>
        <v>0</v>
      </c>
      <c r="U16" t="str" cm="1">
        <f t="array" ref="U16">_xlfn.IFNA(_xlfn.IFS(Table2[[#This Row],[DEFICIT /SURPLUS]]&lt;0,"Deficit",Table2[[#This Row],[DEFICIT /SURPLUS]]&gt;0,"surplus"),"-")</f>
        <v>surplus</v>
      </c>
    </row>
    <row r="17" spans="1:21" ht="14.5">
      <c r="A17" s="8" t="s">
        <v>52</v>
      </c>
      <c r="B17" s="9">
        <v>45513</v>
      </c>
      <c r="C17" s="8" t="s">
        <v>22</v>
      </c>
      <c r="D17" s="8" t="s">
        <v>37</v>
      </c>
      <c r="E17" s="8" t="s">
        <v>55</v>
      </c>
      <c r="F17" s="31">
        <f>_xlfn.XLOOKUP(Table2[[#This Row],[Shoe style]],val[SHOE STYLE],val[UNIT PRICE])</f>
        <v>22728</v>
      </c>
      <c r="H17" s="11">
        <v>1</v>
      </c>
      <c r="I17" s="6">
        <f>IF(Table2[[#This Row],[Discount]]&lt;(Table2[[#This Row],[UNIT PRICE]]*Table2[[#This Row],[Quantity sold]]),Table2[[#This Row],[UNIT PRICE]]*Table2[[#This Row],[Quantity sold]]-Table2[[#This Row],[Discount]],0)</f>
        <v>22728</v>
      </c>
      <c r="K17" s="2">
        <f>_xlfn.XLOOKUP(Table2[[#This Row],[Shoe style]],val[SHOE STYLE],val[COST PRICE])</f>
        <v>20451</v>
      </c>
      <c r="L17" s="2">
        <f>(Table2[[#This Row],[COST PRICE]]*Table2[[#This Row],[Quantity sold]])</f>
        <v>20451</v>
      </c>
      <c r="M17" s="2">
        <f>Table2[[#This Row],[TOTAL SALES]]-Table2[[#This Row],[TOTAL COST PRICE]]</f>
        <v>2277</v>
      </c>
      <c r="N17" s="2">
        <f>IF(Table2[[#This Row],[Amount Paid]]&gt;0,(SUMIF(Table2[Order ID],Table2[[#This Row],[Order ID]],Table2[Amount Paid])-SUMIF(Table2[Order ID],Table2[[#This Row],[Order ID]],Table2[TOTAL SALES])),0)</f>
        <v>0</v>
      </c>
      <c r="O17" s="8">
        <v>38</v>
      </c>
      <c r="P17" s="8" t="s">
        <v>25</v>
      </c>
      <c r="Q17" s="8" t="s">
        <v>54</v>
      </c>
      <c r="R17" s="8" t="s">
        <v>27</v>
      </c>
      <c r="S17" s="8" t="s">
        <v>28</v>
      </c>
      <c r="T17" s="8">
        <f t="shared" si="0"/>
        <v>0</v>
      </c>
      <c r="U17" t="str" cm="1">
        <f t="array" ref="U17">_xlfn.IFNA(_xlfn.IFS(Table2[[#This Row],[DEFICIT /SURPLUS]]&lt;0,"Deficit",Table2[[#This Row],[DEFICIT /SURPLUS]]&gt;0,"surplus"),"-")</f>
        <v>-</v>
      </c>
    </row>
    <row r="18" spans="1:21" ht="14.5">
      <c r="A18" s="8" t="s">
        <v>56</v>
      </c>
      <c r="B18" s="9">
        <v>45514</v>
      </c>
      <c r="C18" s="8" t="s">
        <v>22</v>
      </c>
      <c r="D18" s="8" t="s">
        <v>57</v>
      </c>
      <c r="E18" s="8" t="s">
        <v>43</v>
      </c>
      <c r="F18" s="31">
        <f>_xlfn.XLOOKUP(Table2[[#This Row],[Shoe style]],val[SHOE STYLE],val[UNIT PRICE])</f>
        <v>10196</v>
      </c>
      <c r="H18" s="11">
        <v>1</v>
      </c>
      <c r="I18" s="6">
        <f>IF(Table2[[#This Row],[Discount]]&lt;(Table2[[#This Row],[UNIT PRICE]]*Table2[[#This Row],[Quantity sold]]),Table2[[#This Row],[UNIT PRICE]]*Table2[[#This Row],[Quantity sold]]-Table2[[#This Row],[Discount]],0)</f>
        <v>10196</v>
      </c>
      <c r="J18" s="10">
        <v>50000</v>
      </c>
      <c r="K18" s="2">
        <f>_xlfn.XLOOKUP(Table2[[#This Row],[Shoe style]],val[SHOE STYLE],val[COST PRICE])</f>
        <v>7050</v>
      </c>
      <c r="L18" s="2">
        <f>(Table2[[#This Row],[COST PRICE]]*Table2[[#This Row],[Quantity sold]])</f>
        <v>7050</v>
      </c>
      <c r="M18" s="2">
        <f>Table2[[#This Row],[TOTAL SALES]]-Table2[[#This Row],[TOTAL COST PRICE]]</f>
        <v>3146</v>
      </c>
      <c r="N18" s="2">
        <f>IF(Table2[[#This Row],[Amount Paid]]&gt;0,(SUMIF(Table2[Order ID],Table2[[#This Row],[Order ID]],Table2[Amount Paid])-SUMIF(Table2[Order ID],Table2[[#This Row],[Order ID]],Table2[TOTAL SALES])),0)</f>
        <v>19412</v>
      </c>
      <c r="O18" s="8">
        <v>45</v>
      </c>
      <c r="P18" s="8" t="s">
        <v>25</v>
      </c>
      <c r="Q18" s="8" t="s">
        <v>26</v>
      </c>
      <c r="R18" s="8" t="s">
        <v>27</v>
      </c>
      <c r="S18" s="8" t="s">
        <v>28</v>
      </c>
      <c r="T18" s="8">
        <f t="shared" si="0"/>
        <v>0</v>
      </c>
      <c r="U18" t="str" cm="1">
        <f t="array" ref="U18">_xlfn.IFNA(_xlfn.IFS(Table2[[#This Row],[DEFICIT /SURPLUS]]&lt;0,"Deficit",Table2[[#This Row],[DEFICIT /SURPLUS]]&gt;0,"surplus"),"-")</f>
        <v>surplus</v>
      </c>
    </row>
    <row r="19" spans="1:21" ht="14.5">
      <c r="A19" s="8" t="s">
        <v>56</v>
      </c>
      <c r="B19" s="9">
        <v>45514</v>
      </c>
      <c r="C19" s="8" t="s">
        <v>22</v>
      </c>
      <c r="D19" s="8" t="s">
        <v>57</v>
      </c>
      <c r="E19" s="8" t="s">
        <v>50</v>
      </c>
      <c r="F19" s="31">
        <f>_xlfn.XLOOKUP(Table2[[#This Row],[Shoe style]],val[SHOE STYLE],val[UNIT PRICE])</f>
        <v>10196</v>
      </c>
      <c r="H19" s="11">
        <v>1</v>
      </c>
      <c r="I19" s="6">
        <f>IF(Table2[[#This Row],[Discount]]&lt;(Table2[[#This Row],[UNIT PRICE]]*Table2[[#This Row],[Quantity sold]]),Table2[[#This Row],[UNIT PRICE]]*Table2[[#This Row],[Quantity sold]]-Table2[[#This Row],[Discount]],0)</f>
        <v>10196</v>
      </c>
      <c r="K19" s="2">
        <f>_xlfn.XLOOKUP(Table2[[#This Row],[Shoe style]],val[SHOE STYLE],val[COST PRICE])</f>
        <v>7050</v>
      </c>
      <c r="L19" s="2">
        <f>(Table2[[#This Row],[COST PRICE]]*Table2[[#This Row],[Quantity sold]])</f>
        <v>7050</v>
      </c>
      <c r="M19" s="2">
        <f>Table2[[#This Row],[TOTAL SALES]]-Table2[[#This Row],[TOTAL COST PRICE]]</f>
        <v>3146</v>
      </c>
      <c r="N19" s="2">
        <f>IF(Table2[[#This Row],[Amount Paid]]&gt;0,(SUMIF(Table2[Order ID],Table2[[#This Row],[Order ID]],Table2[Amount Paid])-SUMIF(Table2[Order ID],Table2[[#This Row],[Order ID]],Table2[TOTAL SALES])),0)</f>
        <v>0</v>
      </c>
      <c r="O19" s="8">
        <v>45</v>
      </c>
      <c r="P19" s="8" t="s">
        <v>25</v>
      </c>
      <c r="Q19" s="8" t="s">
        <v>26</v>
      </c>
      <c r="R19" s="8" t="s">
        <v>27</v>
      </c>
      <c r="S19" s="8" t="s">
        <v>28</v>
      </c>
      <c r="T19" s="8">
        <f t="shared" si="0"/>
        <v>0</v>
      </c>
      <c r="U19" t="str" cm="1">
        <f t="array" ref="U19">_xlfn.IFNA(_xlfn.IFS(Table2[[#This Row],[DEFICIT /SURPLUS]]&lt;0,"Deficit",Table2[[#This Row],[DEFICIT /SURPLUS]]&gt;0,"surplus"),"-")</f>
        <v>-</v>
      </c>
    </row>
    <row r="20" spans="1:21" ht="14.5">
      <c r="A20" s="8" t="s">
        <v>56</v>
      </c>
      <c r="B20" s="9">
        <v>45514</v>
      </c>
      <c r="C20" s="8" t="s">
        <v>22</v>
      </c>
      <c r="D20" s="8" t="s">
        <v>57</v>
      </c>
      <c r="E20" s="8" t="s">
        <v>43</v>
      </c>
      <c r="F20" s="31">
        <f>_xlfn.XLOOKUP(Table2[[#This Row],[Shoe style]],val[SHOE STYLE],val[UNIT PRICE])</f>
        <v>10196</v>
      </c>
      <c r="H20" s="11">
        <v>1</v>
      </c>
      <c r="I20" s="6">
        <f>IF(Table2[[#This Row],[Discount]]&lt;(Table2[[#This Row],[UNIT PRICE]]*Table2[[#This Row],[Quantity sold]]),Table2[[#This Row],[UNIT PRICE]]*Table2[[#This Row],[Quantity sold]]-Table2[[#This Row],[Discount]],0)</f>
        <v>10196</v>
      </c>
      <c r="K20" s="2">
        <f>_xlfn.XLOOKUP(Table2[[#This Row],[Shoe style]],val[SHOE STYLE],val[COST PRICE])</f>
        <v>7050</v>
      </c>
      <c r="L20" s="2">
        <f>(Table2[[#This Row],[COST PRICE]]*Table2[[#This Row],[Quantity sold]])</f>
        <v>7050</v>
      </c>
      <c r="M20" s="2">
        <f>Table2[[#This Row],[TOTAL SALES]]-Table2[[#This Row],[TOTAL COST PRICE]]</f>
        <v>3146</v>
      </c>
      <c r="N20" s="2">
        <f>IF(Table2[[#This Row],[Amount Paid]]&gt;0,(SUMIF(Table2[Order ID],Table2[[#This Row],[Order ID]],Table2[Amount Paid])-SUMIF(Table2[Order ID],Table2[[#This Row],[Order ID]],Table2[TOTAL SALES])),0)</f>
        <v>0</v>
      </c>
      <c r="O20" s="8">
        <v>45</v>
      </c>
      <c r="P20" s="8" t="s">
        <v>25</v>
      </c>
      <c r="Q20" s="8" t="s">
        <v>26</v>
      </c>
      <c r="R20" s="8" t="s">
        <v>27</v>
      </c>
      <c r="S20" s="8" t="s">
        <v>28</v>
      </c>
      <c r="T20" s="8">
        <f t="shared" si="0"/>
        <v>0</v>
      </c>
      <c r="U20" t="str" cm="1">
        <f t="array" ref="U20">_xlfn.IFNA(_xlfn.IFS(Table2[[#This Row],[DEFICIT /SURPLUS]]&lt;0,"Deficit",Table2[[#This Row],[DEFICIT /SURPLUS]]&gt;0,"surplus"),"-")</f>
        <v>-</v>
      </c>
    </row>
    <row r="21" spans="1:21" ht="22.15" customHeight="1">
      <c r="A21" s="8" t="s">
        <v>58</v>
      </c>
      <c r="B21" s="9">
        <v>45514</v>
      </c>
      <c r="C21" s="8" t="s">
        <v>22</v>
      </c>
      <c r="D21" s="8" t="s">
        <v>29</v>
      </c>
      <c r="E21" s="8" t="s">
        <v>30</v>
      </c>
      <c r="F21" s="31">
        <f>_xlfn.XLOOKUP(Table2[[#This Row],[Shoe style]],val[SHOE STYLE],val[UNIT PRICE])</f>
        <v>12395</v>
      </c>
      <c r="H21" s="11">
        <v>1</v>
      </c>
      <c r="I21" s="6">
        <f>IF(Table2[[#This Row],[Discount]]&lt;(Table2[[#This Row],[UNIT PRICE]]*Table2[[#This Row],[Quantity sold]]),Table2[[#This Row],[UNIT PRICE]]*Table2[[#This Row],[Quantity sold]]-Table2[[#This Row],[Discount]],0)</f>
        <v>12395</v>
      </c>
      <c r="J21" s="10">
        <v>29500</v>
      </c>
      <c r="K21" s="2">
        <f>_xlfn.XLOOKUP(Table2[[#This Row],[Shoe style]],val[SHOE STYLE],val[COST PRICE])</f>
        <v>7909</v>
      </c>
      <c r="L21" s="2">
        <f>(Table2[[#This Row],[COST PRICE]]*Table2[[#This Row],[Quantity sold]])</f>
        <v>7909</v>
      </c>
      <c r="M21" s="2">
        <f>Table2[[#This Row],[TOTAL SALES]]-Table2[[#This Row],[TOTAL COST PRICE]]</f>
        <v>4486</v>
      </c>
      <c r="N21" s="2">
        <f>IF(Table2[[#This Row],[Amount Paid]]&gt;0,(SUMIF(Table2[Order ID],Table2[[#This Row],[Order ID]],Table2[Amount Paid])-SUMIF(Table2[Order ID],Table2[[#This Row],[Order ID]],Table2[TOTAL SALES])),0)</f>
        <v>4710</v>
      </c>
      <c r="O21" s="8">
        <v>43</v>
      </c>
      <c r="P21" s="8" t="s">
        <v>25</v>
      </c>
      <c r="Q21" s="8" t="s">
        <v>26</v>
      </c>
      <c r="R21" s="8" t="s">
        <v>27</v>
      </c>
      <c r="S21" s="8" t="s">
        <v>28</v>
      </c>
      <c r="T21" s="8">
        <f t="shared" si="0"/>
        <v>0</v>
      </c>
      <c r="U21" t="str" cm="1">
        <f t="array" ref="U21">_xlfn.IFNA(_xlfn.IFS(Table2[[#This Row],[DEFICIT /SURPLUS]]&lt;0,"Deficit",Table2[[#This Row],[DEFICIT /SURPLUS]]&gt;0,"surplus"),"-")</f>
        <v>surplus</v>
      </c>
    </row>
    <row r="22" spans="1:21" ht="21.75" customHeight="1">
      <c r="A22" s="8" t="s">
        <v>58</v>
      </c>
      <c r="B22" s="9">
        <v>45514</v>
      </c>
      <c r="C22" s="8" t="s">
        <v>22</v>
      </c>
      <c r="D22" s="8" t="s">
        <v>29</v>
      </c>
      <c r="E22" s="8" t="s">
        <v>40</v>
      </c>
      <c r="F22" s="31">
        <f>_xlfn.XLOOKUP(Table2[[#This Row],[Shoe style]],val[SHOE STYLE],val[UNIT PRICE])</f>
        <v>12395</v>
      </c>
      <c r="H22" s="11">
        <v>1</v>
      </c>
      <c r="I22" s="6">
        <f>IF(Table2[[#This Row],[Discount]]&lt;(Table2[[#This Row],[UNIT PRICE]]*Table2[[#This Row],[Quantity sold]]),Table2[[#This Row],[UNIT PRICE]]*Table2[[#This Row],[Quantity sold]]-Table2[[#This Row],[Discount]],0)</f>
        <v>12395</v>
      </c>
      <c r="K22" s="2">
        <f>_xlfn.XLOOKUP(Table2[[#This Row],[Shoe style]],val[SHOE STYLE],val[COST PRICE])</f>
        <v>7909</v>
      </c>
      <c r="L22" s="2">
        <f>(Table2[[#This Row],[COST PRICE]]*Table2[[#This Row],[Quantity sold]])</f>
        <v>7909</v>
      </c>
      <c r="M22" s="2">
        <f>Table2[[#This Row],[TOTAL SALES]]-Table2[[#This Row],[TOTAL COST PRICE]]</f>
        <v>4486</v>
      </c>
      <c r="N22" s="2">
        <f>IF(Table2[[#This Row],[Amount Paid]]&gt;0,(SUMIF(Table2[Order ID],Table2[[#This Row],[Order ID]],Table2[Amount Paid])-SUMIF(Table2[Order ID],Table2[[#This Row],[Order ID]],Table2[TOTAL SALES])),0)</f>
        <v>0</v>
      </c>
      <c r="O22" s="8">
        <v>43</v>
      </c>
      <c r="P22" s="8" t="s">
        <v>25</v>
      </c>
      <c r="Q22" s="8" t="s">
        <v>26</v>
      </c>
      <c r="R22" s="8" t="s">
        <v>27</v>
      </c>
      <c r="S22" s="8" t="s">
        <v>28</v>
      </c>
      <c r="T22" s="8">
        <f t="shared" si="0"/>
        <v>0</v>
      </c>
      <c r="U22" t="str" cm="1">
        <f t="array" ref="U22">_xlfn.IFNA(_xlfn.IFS(Table2[[#This Row],[DEFICIT /SURPLUS]]&lt;0,"Deficit",Table2[[#This Row],[DEFICIT /SURPLUS]]&gt;0,"surplus"),"-")</f>
        <v>-</v>
      </c>
    </row>
    <row r="23" spans="1:21" ht="14.5">
      <c r="A23" s="8" t="s">
        <v>59</v>
      </c>
      <c r="B23" s="9">
        <v>45515</v>
      </c>
      <c r="C23" s="8" t="s">
        <v>22</v>
      </c>
      <c r="D23" s="8" t="s">
        <v>53</v>
      </c>
      <c r="E23" s="8" t="s">
        <v>40</v>
      </c>
      <c r="F23" s="31">
        <f>_xlfn.XLOOKUP(Table2[[#This Row],[Shoe style]],val[SHOE STYLE],val[UNIT PRICE])</f>
        <v>9838</v>
      </c>
      <c r="H23" s="11">
        <v>1</v>
      </c>
      <c r="I23" s="6">
        <f>IF(Table2[[#This Row],[Discount]]&lt;(Table2[[#This Row],[UNIT PRICE]]*Table2[[#This Row],[Quantity sold]]),Table2[[#This Row],[UNIT PRICE]]*Table2[[#This Row],[Quantity sold]]-Table2[[#This Row],[Discount]],0)</f>
        <v>9838</v>
      </c>
      <c r="J23" s="10">
        <v>13500</v>
      </c>
      <c r="K23" s="2">
        <f>_xlfn.XLOOKUP(Table2[[#This Row],[Shoe style]],val[SHOE STYLE],val[COST PRICE])</f>
        <v>6687</v>
      </c>
      <c r="L23" s="2">
        <f>(Table2[[#This Row],[COST PRICE]]*Table2[[#This Row],[Quantity sold]])</f>
        <v>6687</v>
      </c>
      <c r="M23" s="2">
        <f>Table2[[#This Row],[TOTAL SALES]]-Table2[[#This Row],[TOTAL COST PRICE]]</f>
        <v>3151</v>
      </c>
      <c r="N23" s="2">
        <f>IF(Table2[[#This Row],[Amount Paid]]&gt;0,(SUMIF(Table2[Order ID],Table2[[#This Row],[Order ID]],Table2[Amount Paid])-SUMIF(Table2[Order ID],Table2[[#This Row],[Order ID]],Table2[TOTAL SALES])),0)</f>
        <v>3662</v>
      </c>
      <c r="O23" s="8">
        <v>42</v>
      </c>
      <c r="P23" s="8" t="s">
        <v>25</v>
      </c>
      <c r="Q23" s="8" t="s">
        <v>26</v>
      </c>
      <c r="R23" s="8" t="s">
        <v>27</v>
      </c>
      <c r="S23" s="8" t="s">
        <v>28</v>
      </c>
      <c r="T23" s="8">
        <f t="shared" si="0"/>
        <v>0</v>
      </c>
      <c r="U23" t="str" cm="1">
        <f t="array" ref="U23">_xlfn.IFNA(_xlfn.IFS(Table2[[#This Row],[DEFICIT /SURPLUS]]&lt;0,"Deficit",Table2[[#This Row],[DEFICIT /SURPLUS]]&gt;0,"surplus"),"-")</f>
        <v>surplus</v>
      </c>
    </row>
    <row r="24" spans="1:21" ht="14.5">
      <c r="A24" s="8" t="s">
        <v>60</v>
      </c>
      <c r="B24" s="9">
        <v>45516</v>
      </c>
      <c r="C24" s="8" t="s">
        <v>22</v>
      </c>
      <c r="D24" s="8" t="s">
        <v>29</v>
      </c>
      <c r="E24" s="8" t="s">
        <v>61</v>
      </c>
      <c r="F24" s="31">
        <f>_xlfn.XLOOKUP(Table2[[#This Row],[Shoe style]],val[SHOE STYLE],val[UNIT PRICE])</f>
        <v>12395</v>
      </c>
      <c r="H24" s="11">
        <v>1</v>
      </c>
      <c r="I24" s="6">
        <f>IF(Table2[[#This Row],[Discount]]&lt;(Table2[[#This Row],[UNIT PRICE]]*Table2[[#This Row],[Quantity sold]]),Table2[[#This Row],[UNIT PRICE]]*Table2[[#This Row],[Quantity sold]]-Table2[[#This Row],[Discount]],0)</f>
        <v>12395</v>
      </c>
      <c r="J24" s="10">
        <v>106500</v>
      </c>
      <c r="K24" s="2">
        <f>_xlfn.XLOOKUP(Table2[[#This Row],[Shoe style]],val[SHOE STYLE],val[COST PRICE])</f>
        <v>7909</v>
      </c>
      <c r="L24" s="2">
        <f>(Table2[[#This Row],[COST PRICE]]*Table2[[#This Row],[Quantity sold]])</f>
        <v>7909</v>
      </c>
      <c r="M24" s="2">
        <f>Table2[[#This Row],[TOTAL SALES]]-Table2[[#This Row],[TOTAL COST PRICE]]</f>
        <v>4486</v>
      </c>
      <c r="N24" s="2">
        <f>IF(Table2[[#This Row],[Amount Paid]]&gt;0,(SUMIF(Table2[Order ID],Table2[[#This Row],[Order ID]],Table2[Amount Paid])-SUMIF(Table2[Order ID],Table2[[#This Row],[Order ID]],Table2[TOTAL SALES])),0)</f>
        <v>7340</v>
      </c>
      <c r="O24" s="8">
        <v>40</v>
      </c>
      <c r="P24" s="8" t="s">
        <v>25</v>
      </c>
      <c r="Q24" s="8" t="s">
        <v>26</v>
      </c>
      <c r="R24" s="8" t="s">
        <v>27</v>
      </c>
      <c r="S24" s="8" t="s">
        <v>28</v>
      </c>
      <c r="T24" s="8">
        <f t="shared" si="0"/>
        <v>0</v>
      </c>
      <c r="U24" t="str" cm="1">
        <f t="array" ref="U24">_xlfn.IFNA(_xlfn.IFS(Table2[[#This Row],[DEFICIT /SURPLUS]]&lt;0,"Deficit",Table2[[#This Row],[DEFICIT /SURPLUS]]&gt;0,"surplus"),"-")</f>
        <v>surplus</v>
      </c>
    </row>
    <row r="25" spans="1:21" ht="14.5">
      <c r="A25" s="8" t="s">
        <v>60</v>
      </c>
      <c r="B25" s="9">
        <v>45516</v>
      </c>
      <c r="C25" s="8" t="s">
        <v>22</v>
      </c>
      <c r="D25" s="8" t="s">
        <v>29</v>
      </c>
      <c r="E25" s="8" t="s">
        <v>30</v>
      </c>
      <c r="F25" s="31">
        <f>_xlfn.XLOOKUP(Table2[[#This Row],[Shoe style]],val[SHOE STYLE],val[UNIT PRICE])</f>
        <v>12395</v>
      </c>
      <c r="H25" s="11">
        <v>1</v>
      </c>
      <c r="I25" s="6">
        <f>IF(Table2[[#This Row],[Discount]]&lt;(Table2[[#This Row],[UNIT PRICE]]*Table2[[#This Row],[Quantity sold]]),Table2[[#This Row],[UNIT PRICE]]*Table2[[#This Row],[Quantity sold]]-Table2[[#This Row],[Discount]],0)</f>
        <v>12395</v>
      </c>
      <c r="K25" s="2">
        <f>_xlfn.XLOOKUP(Table2[[#This Row],[Shoe style]],val[SHOE STYLE],val[COST PRICE])</f>
        <v>7909</v>
      </c>
      <c r="L25" s="2">
        <f>(Table2[[#This Row],[COST PRICE]]*Table2[[#This Row],[Quantity sold]])</f>
        <v>7909</v>
      </c>
      <c r="M25" s="2">
        <f>Table2[[#This Row],[TOTAL SALES]]-Table2[[#This Row],[TOTAL COST PRICE]]</f>
        <v>4486</v>
      </c>
      <c r="N25" s="2">
        <f>IF(Table2[[#This Row],[Amount Paid]]&gt;0,(SUMIF(Table2[Order ID],Table2[[#This Row],[Order ID]],Table2[Amount Paid])-SUMIF(Table2[Order ID],Table2[[#This Row],[Order ID]],Table2[TOTAL SALES])),0)</f>
        <v>0</v>
      </c>
      <c r="O25" s="8">
        <v>40</v>
      </c>
      <c r="P25" s="8" t="s">
        <v>25</v>
      </c>
      <c r="Q25" s="8" t="s">
        <v>26</v>
      </c>
      <c r="R25" s="8" t="s">
        <v>27</v>
      </c>
      <c r="S25" s="8" t="s">
        <v>28</v>
      </c>
      <c r="T25" s="8">
        <f t="shared" si="0"/>
        <v>0</v>
      </c>
      <c r="U25" t="str" cm="1">
        <f t="array" ref="U25">_xlfn.IFNA(_xlfn.IFS(Table2[[#This Row],[DEFICIT /SURPLUS]]&lt;0,"Deficit",Table2[[#This Row],[DEFICIT /SURPLUS]]&gt;0,"surplus"),"-")</f>
        <v>-</v>
      </c>
    </row>
    <row r="26" spans="1:21" ht="14.5">
      <c r="A26" s="8" t="s">
        <v>60</v>
      </c>
      <c r="B26" s="9">
        <v>45516</v>
      </c>
      <c r="C26" s="8" t="s">
        <v>22</v>
      </c>
      <c r="D26" s="8" t="s">
        <v>29</v>
      </c>
      <c r="E26" s="8" t="s">
        <v>50</v>
      </c>
      <c r="F26" s="31">
        <f>_xlfn.XLOOKUP(Table2[[#This Row],[Shoe style]],val[SHOE STYLE],val[UNIT PRICE])</f>
        <v>12395</v>
      </c>
      <c r="H26" s="11">
        <v>1</v>
      </c>
      <c r="I26" s="6">
        <f>IF(Table2[[#This Row],[Discount]]&lt;(Table2[[#This Row],[UNIT PRICE]]*Table2[[#This Row],[Quantity sold]]),Table2[[#This Row],[UNIT PRICE]]*Table2[[#This Row],[Quantity sold]]-Table2[[#This Row],[Discount]],0)</f>
        <v>12395</v>
      </c>
      <c r="K26" s="2">
        <f>_xlfn.XLOOKUP(Table2[[#This Row],[Shoe style]],val[SHOE STYLE],val[COST PRICE])</f>
        <v>7909</v>
      </c>
      <c r="L26" s="2">
        <f>(Table2[[#This Row],[COST PRICE]]*Table2[[#This Row],[Quantity sold]])</f>
        <v>7909</v>
      </c>
      <c r="M26" s="2">
        <f>Table2[[#This Row],[TOTAL SALES]]-Table2[[#This Row],[TOTAL COST PRICE]]</f>
        <v>4486</v>
      </c>
      <c r="N26" s="2">
        <f>IF(Table2[[#This Row],[Amount Paid]]&gt;0,(SUMIF(Table2[Order ID],Table2[[#This Row],[Order ID]],Table2[Amount Paid])-SUMIF(Table2[Order ID],Table2[[#This Row],[Order ID]],Table2[TOTAL SALES])),0)</f>
        <v>0</v>
      </c>
      <c r="O26" s="8">
        <v>40</v>
      </c>
      <c r="P26" s="8" t="s">
        <v>25</v>
      </c>
      <c r="Q26" s="8" t="s">
        <v>26</v>
      </c>
      <c r="R26" s="8" t="s">
        <v>27</v>
      </c>
      <c r="S26" s="8" t="s">
        <v>28</v>
      </c>
      <c r="T26" s="8">
        <f t="shared" si="0"/>
        <v>0</v>
      </c>
      <c r="U26" t="str" cm="1">
        <f t="array" ref="U26">_xlfn.IFNA(_xlfn.IFS(Table2[[#This Row],[DEFICIT /SURPLUS]]&lt;0,"Deficit",Table2[[#This Row],[DEFICIT /SURPLUS]]&gt;0,"surplus"),"-")</f>
        <v>-</v>
      </c>
    </row>
    <row r="27" spans="1:21" ht="14.5">
      <c r="A27" s="8" t="s">
        <v>60</v>
      </c>
      <c r="B27" s="9">
        <v>45516</v>
      </c>
      <c r="C27" s="8" t="s">
        <v>22</v>
      </c>
      <c r="D27" s="8" t="s">
        <v>29</v>
      </c>
      <c r="E27" s="8" t="s">
        <v>38</v>
      </c>
      <c r="F27" s="31">
        <f>_xlfn.XLOOKUP(Table2[[#This Row],[Shoe style]],val[SHOE STYLE],val[UNIT PRICE])</f>
        <v>12395</v>
      </c>
      <c r="H27" s="11">
        <v>1</v>
      </c>
      <c r="I27" s="6">
        <f>IF(Table2[[#This Row],[Discount]]&lt;(Table2[[#This Row],[UNIT PRICE]]*Table2[[#This Row],[Quantity sold]]),Table2[[#This Row],[UNIT PRICE]]*Table2[[#This Row],[Quantity sold]]-Table2[[#This Row],[Discount]],0)</f>
        <v>12395</v>
      </c>
      <c r="K27" s="2">
        <f>_xlfn.XLOOKUP(Table2[[#This Row],[Shoe style]],val[SHOE STYLE],val[COST PRICE])</f>
        <v>7909</v>
      </c>
      <c r="L27" s="2">
        <f>(Table2[[#This Row],[COST PRICE]]*Table2[[#This Row],[Quantity sold]])</f>
        <v>7909</v>
      </c>
      <c r="M27" s="2">
        <f>Table2[[#This Row],[TOTAL SALES]]-Table2[[#This Row],[TOTAL COST PRICE]]</f>
        <v>4486</v>
      </c>
      <c r="N27" s="2">
        <f>IF(Table2[[#This Row],[Amount Paid]]&gt;0,(SUMIF(Table2[Order ID],Table2[[#This Row],[Order ID]],Table2[Amount Paid])-SUMIF(Table2[Order ID],Table2[[#This Row],[Order ID]],Table2[TOTAL SALES])),0)</f>
        <v>0</v>
      </c>
      <c r="O27" s="8">
        <v>40</v>
      </c>
      <c r="P27" s="8" t="s">
        <v>25</v>
      </c>
      <c r="Q27" s="8" t="s">
        <v>26</v>
      </c>
      <c r="R27" s="8" t="s">
        <v>27</v>
      </c>
      <c r="S27" s="8" t="s">
        <v>28</v>
      </c>
      <c r="T27" s="8">
        <f t="shared" si="0"/>
        <v>0</v>
      </c>
      <c r="U27" t="str" cm="1">
        <f t="array" ref="U27">_xlfn.IFNA(_xlfn.IFS(Table2[[#This Row],[DEFICIT /SURPLUS]]&lt;0,"Deficit",Table2[[#This Row],[DEFICIT /SURPLUS]]&gt;0,"surplus"),"-")</f>
        <v>-</v>
      </c>
    </row>
    <row r="28" spans="1:21" ht="14.5">
      <c r="A28" s="8" t="s">
        <v>60</v>
      </c>
      <c r="B28" s="9">
        <v>45516</v>
      </c>
      <c r="C28" s="8" t="s">
        <v>22</v>
      </c>
      <c r="D28" s="8" t="s">
        <v>29</v>
      </c>
      <c r="E28" s="8" t="s">
        <v>62</v>
      </c>
      <c r="F28" s="31">
        <f>_xlfn.XLOOKUP(Table2[[#This Row],[Shoe style]],val[SHOE STYLE],val[UNIT PRICE])</f>
        <v>12395</v>
      </c>
      <c r="H28" s="11">
        <v>1</v>
      </c>
      <c r="I28" s="6">
        <f>IF(Table2[[#This Row],[Discount]]&lt;(Table2[[#This Row],[UNIT PRICE]]*Table2[[#This Row],[Quantity sold]]),Table2[[#This Row],[UNIT PRICE]]*Table2[[#This Row],[Quantity sold]]-Table2[[#This Row],[Discount]],0)</f>
        <v>12395</v>
      </c>
      <c r="K28" s="2">
        <f>_xlfn.XLOOKUP(Table2[[#This Row],[Shoe style]],val[SHOE STYLE],val[COST PRICE])</f>
        <v>7909</v>
      </c>
      <c r="L28" s="2">
        <f>(Table2[[#This Row],[COST PRICE]]*Table2[[#This Row],[Quantity sold]])</f>
        <v>7909</v>
      </c>
      <c r="M28" s="2">
        <f>Table2[[#This Row],[TOTAL SALES]]-Table2[[#This Row],[TOTAL COST PRICE]]</f>
        <v>4486</v>
      </c>
      <c r="N28" s="2">
        <f>IF(Table2[[#This Row],[Amount Paid]]&gt;0,(SUMIF(Table2[Order ID],Table2[[#This Row],[Order ID]],Table2[Amount Paid])-SUMIF(Table2[Order ID],Table2[[#This Row],[Order ID]],Table2[TOTAL SALES])),0)</f>
        <v>0</v>
      </c>
      <c r="O28" s="8">
        <v>40</v>
      </c>
      <c r="P28" s="8" t="s">
        <v>25</v>
      </c>
      <c r="Q28" s="8" t="s">
        <v>26</v>
      </c>
      <c r="R28" s="8" t="s">
        <v>27</v>
      </c>
      <c r="S28" s="8" t="s">
        <v>28</v>
      </c>
      <c r="T28" s="8">
        <f t="shared" si="0"/>
        <v>0</v>
      </c>
      <c r="U28" t="str" cm="1">
        <f t="array" ref="U28">_xlfn.IFNA(_xlfn.IFS(Table2[[#This Row],[DEFICIT /SURPLUS]]&lt;0,"Deficit",Table2[[#This Row],[DEFICIT /SURPLUS]]&gt;0,"surplus"),"-")</f>
        <v>-</v>
      </c>
    </row>
    <row r="29" spans="1:21" ht="14.5">
      <c r="A29" s="8" t="s">
        <v>60</v>
      </c>
      <c r="B29" s="9">
        <v>45516</v>
      </c>
      <c r="C29" s="8" t="s">
        <v>22</v>
      </c>
      <c r="D29" s="8" t="s">
        <v>29</v>
      </c>
      <c r="E29" s="8" t="s">
        <v>40</v>
      </c>
      <c r="F29" s="31">
        <f>_xlfn.XLOOKUP(Table2[[#This Row],[Shoe style]],val[SHOE STYLE],val[UNIT PRICE])</f>
        <v>12395</v>
      </c>
      <c r="H29" s="11">
        <v>1</v>
      </c>
      <c r="I29" s="6">
        <f>IF(Table2[[#This Row],[Discount]]&lt;(Table2[[#This Row],[UNIT PRICE]]*Table2[[#This Row],[Quantity sold]]),Table2[[#This Row],[UNIT PRICE]]*Table2[[#This Row],[Quantity sold]]-Table2[[#This Row],[Discount]],0)</f>
        <v>12395</v>
      </c>
      <c r="K29" s="2">
        <f>_xlfn.XLOOKUP(Table2[[#This Row],[Shoe style]],val[SHOE STYLE],val[COST PRICE])</f>
        <v>7909</v>
      </c>
      <c r="L29" s="2">
        <f>(Table2[[#This Row],[COST PRICE]]*Table2[[#This Row],[Quantity sold]])</f>
        <v>7909</v>
      </c>
      <c r="M29" s="2">
        <f>Table2[[#This Row],[TOTAL SALES]]-Table2[[#This Row],[TOTAL COST PRICE]]</f>
        <v>4486</v>
      </c>
      <c r="N29" s="2">
        <f>IF(Table2[[#This Row],[Amount Paid]]&gt;0,(SUMIF(Table2[Order ID],Table2[[#This Row],[Order ID]],Table2[Amount Paid])-SUMIF(Table2[Order ID],Table2[[#This Row],[Order ID]],Table2[TOTAL SALES])),0)</f>
        <v>0</v>
      </c>
      <c r="O29" s="8">
        <v>40</v>
      </c>
      <c r="P29" s="8" t="s">
        <v>25</v>
      </c>
      <c r="Q29" s="8" t="s">
        <v>26</v>
      </c>
      <c r="R29" s="8" t="s">
        <v>27</v>
      </c>
      <c r="S29" s="8" t="s">
        <v>28</v>
      </c>
      <c r="T29" s="8">
        <f t="shared" si="0"/>
        <v>0</v>
      </c>
      <c r="U29" t="str" cm="1">
        <f t="array" ref="U29">_xlfn.IFNA(_xlfn.IFS(Table2[[#This Row],[DEFICIT /SURPLUS]]&lt;0,"Deficit",Table2[[#This Row],[DEFICIT /SURPLUS]]&gt;0,"surplus"),"-")</f>
        <v>-</v>
      </c>
    </row>
    <row r="30" spans="1:21" ht="14.5">
      <c r="A30" s="8" t="s">
        <v>60</v>
      </c>
      <c r="B30" s="9">
        <v>45516</v>
      </c>
      <c r="C30" s="8" t="s">
        <v>22</v>
      </c>
      <c r="D30" s="8" t="s">
        <v>29</v>
      </c>
      <c r="E30" s="8" t="s">
        <v>63</v>
      </c>
      <c r="F30" s="31">
        <f>_xlfn.XLOOKUP(Table2[[#This Row],[Shoe style]],val[SHOE STYLE],val[UNIT PRICE])</f>
        <v>12395</v>
      </c>
      <c r="H30" s="11">
        <v>1</v>
      </c>
      <c r="I30" s="6">
        <f>IF(Table2[[#This Row],[Discount]]&lt;(Table2[[#This Row],[UNIT PRICE]]*Table2[[#This Row],[Quantity sold]]),Table2[[#This Row],[UNIT PRICE]]*Table2[[#This Row],[Quantity sold]]-Table2[[#This Row],[Discount]],0)</f>
        <v>12395</v>
      </c>
      <c r="K30" s="2">
        <f>_xlfn.XLOOKUP(Table2[[#This Row],[Shoe style]],val[SHOE STYLE],val[COST PRICE])</f>
        <v>7909</v>
      </c>
      <c r="L30" s="2">
        <f>(Table2[[#This Row],[COST PRICE]]*Table2[[#This Row],[Quantity sold]])</f>
        <v>7909</v>
      </c>
      <c r="M30" s="2">
        <f>Table2[[#This Row],[TOTAL SALES]]-Table2[[#This Row],[TOTAL COST PRICE]]</f>
        <v>4486</v>
      </c>
      <c r="N30" s="2">
        <f>IF(Table2[[#This Row],[Amount Paid]]&gt;0,(SUMIF(Table2[Order ID],Table2[[#This Row],[Order ID]],Table2[Amount Paid])-SUMIF(Table2[Order ID],Table2[[#This Row],[Order ID]],Table2[TOTAL SALES])),0)</f>
        <v>0</v>
      </c>
      <c r="O30" s="8">
        <v>40</v>
      </c>
      <c r="P30" s="8" t="s">
        <v>25</v>
      </c>
      <c r="Q30" s="8" t="s">
        <v>26</v>
      </c>
      <c r="R30" s="8" t="s">
        <v>27</v>
      </c>
      <c r="S30" s="8" t="s">
        <v>28</v>
      </c>
      <c r="T30" s="8">
        <f t="shared" si="0"/>
        <v>0</v>
      </c>
      <c r="U30" t="str" cm="1">
        <f t="array" ref="U30">_xlfn.IFNA(_xlfn.IFS(Table2[[#This Row],[DEFICIT /SURPLUS]]&lt;0,"Deficit",Table2[[#This Row],[DEFICIT /SURPLUS]]&gt;0,"surplus"),"-")</f>
        <v>-</v>
      </c>
    </row>
    <row r="31" spans="1:21" ht="14.5">
      <c r="A31" s="8" t="s">
        <v>60</v>
      </c>
      <c r="B31" s="9">
        <v>45516</v>
      </c>
      <c r="C31" s="8" t="s">
        <v>22</v>
      </c>
      <c r="D31" s="8" t="s">
        <v>29</v>
      </c>
      <c r="E31" s="8" t="s">
        <v>24</v>
      </c>
      <c r="F31" s="31">
        <f>_xlfn.XLOOKUP(Table2[[#This Row],[Shoe style]],val[SHOE STYLE],val[UNIT PRICE])</f>
        <v>12395</v>
      </c>
      <c r="H31" s="11">
        <v>1</v>
      </c>
      <c r="I31" s="6">
        <f>IF(Table2[[#This Row],[Discount]]&lt;(Table2[[#This Row],[UNIT PRICE]]*Table2[[#This Row],[Quantity sold]]),Table2[[#This Row],[UNIT PRICE]]*Table2[[#This Row],[Quantity sold]]-Table2[[#This Row],[Discount]],0)</f>
        <v>12395</v>
      </c>
      <c r="K31" s="2">
        <f>_xlfn.XLOOKUP(Table2[[#This Row],[Shoe style]],val[SHOE STYLE],val[COST PRICE])</f>
        <v>7909</v>
      </c>
      <c r="L31" s="2">
        <f>(Table2[[#This Row],[COST PRICE]]*Table2[[#This Row],[Quantity sold]])</f>
        <v>7909</v>
      </c>
      <c r="M31" s="2">
        <f>Table2[[#This Row],[TOTAL SALES]]-Table2[[#This Row],[TOTAL COST PRICE]]</f>
        <v>4486</v>
      </c>
      <c r="N31" s="2">
        <f>IF(Table2[[#This Row],[Amount Paid]]&gt;0,(SUMIF(Table2[Order ID],Table2[[#This Row],[Order ID]],Table2[Amount Paid])-SUMIF(Table2[Order ID],Table2[[#This Row],[Order ID]],Table2[TOTAL SALES])),0)</f>
        <v>0</v>
      </c>
      <c r="O31" s="8">
        <v>40</v>
      </c>
      <c r="P31" s="8" t="s">
        <v>25</v>
      </c>
      <c r="Q31" s="8" t="s">
        <v>26</v>
      </c>
      <c r="R31" s="8" t="s">
        <v>27</v>
      </c>
      <c r="S31" s="8" t="s">
        <v>28</v>
      </c>
      <c r="T31" s="8">
        <f t="shared" si="0"/>
        <v>0</v>
      </c>
      <c r="U31" t="str" cm="1">
        <f t="array" ref="U31">_xlfn.IFNA(_xlfn.IFS(Table2[[#This Row],[DEFICIT /SURPLUS]]&lt;0,"Deficit",Table2[[#This Row],[DEFICIT /SURPLUS]]&gt;0,"surplus"),"-")</f>
        <v>-</v>
      </c>
    </row>
    <row r="32" spans="1:21" ht="14.5">
      <c r="A32" s="8" t="s">
        <v>64</v>
      </c>
      <c r="B32" s="9">
        <v>45516</v>
      </c>
      <c r="C32" s="8" t="s">
        <v>22</v>
      </c>
      <c r="D32" s="8" t="s">
        <v>29</v>
      </c>
      <c r="E32" s="8" t="s">
        <v>24</v>
      </c>
      <c r="F32" s="31">
        <f>_xlfn.XLOOKUP(Table2[[#This Row],[Shoe style]],val[SHOE STYLE],val[UNIT PRICE])</f>
        <v>12395</v>
      </c>
      <c r="H32" s="11">
        <v>1</v>
      </c>
      <c r="I32" s="6">
        <f>IF(Table2[[#This Row],[Discount]]&lt;(Table2[[#This Row],[UNIT PRICE]]*Table2[[#This Row],[Quantity sold]]),Table2[[#This Row],[UNIT PRICE]]*Table2[[#This Row],[Quantity sold]]-Table2[[#This Row],[Discount]],0)</f>
        <v>12395</v>
      </c>
      <c r="J32" s="10">
        <v>1000000</v>
      </c>
      <c r="K32" s="2">
        <f>_xlfn.XLOOKUP(Table2[[#This Row],[Shoe style]],val[SHOE STYLE],val[COST PRICE])</f>
        <v>7909</v>
      </c>
      <c r="L32" s="2">
        <f>(Table2[[#This Row],[COST PRICE]]*Table2[[#This Row],[Quantity sold]])</f>
        <v>7909</v>
      </c>
      <c r="M32" s="2">
        <f>Table2[[#This Row],[TOTAL SALES]]-Table2[[#This Row],[TOTAL COST PRICE]]</f>
        <v>4486</v>
      </c>
      <c r="N32" s="2">
        <f>IF(Table2[[#This Row],[Amount Paid]]&gt;0,(SUMIF(Table2[Order ID],Table2[[#This Row],[Order ID]],Table2[Amount Paid])-SUMIF(Table2[Order ID],Table2[[#This Row],[Order ID]],Table2[TOTAL SALES])),0)</f>
        <v>987605</v>
      </c>
      <c r="O32" s="8">
        <v>40</v>
      </c>
      <c r="P32" s="8" t="s">
        <v>25</v>
      </c>
      <c r="Q32" s="8" t="s">
        <v>26</v>
      </c>
      <c r="R32" s="8" t="s">
        <v>27</v>
      </c>
      <c r="S32" s="8" t="s">
        <v>28</v>
      </c>
      <c r="T32" s="8">
        <f t="shared" si="0"/>
        <v>0</v>
      </c>
      <c r="U32" t="str" cm="1">
        <f t="array" ref="U32">_xlfn.IFNA(_xlfn.IFS(Table2[[#This Row],[DEFICIT /SURPLUS]]&lt;0,"Deficit",Table2[[#This Row],[DEFICIT /SURPLUS]]&gt;0,"surplus"),"-")</f>
        <v>surplus</v>
      </c>
    </row>
    <row r="33" spans="1:21" ht="14.5">
      <c r="A33" s="8" t="s">
        <v>65</v>
      </c>
      <c r="B33" s="9">
        <v>45516</v>
      </c>
      <c r="C33" s="8" t="s">
        <v>22</v>
      </c>
      <c r="D33" s="8" t="s">
        <v>29</v>
      </c>
      <c r="E33" s="8" t="s">
        <v>50</v>
      </c>
      <c r="F33" s="31">
        <f>_xlfn.XLOOKUP(Table2[[#This Row],[Shoe style]],val[SHOE STYLE],val[UNIT PRICE])</f>
        <v>12395</v>
      </c>
      <c r="H33" s="11">
        <v>1</v>
      </c>
      <c r="I33" s="6">
        <f>IF(Table2[[#This Row],[Discount]]&lt;(Table2[[#This Row],[UNIT PRICE]]*Table2[[#This Row],[Quantity sold]]),Table2[[#This Row],[UNIT PRICE]]*Table2[[#This Row],[Quantity sold]]-Table2[[#This Row],[Discount]],0)</f>
        <v>12395</v>
      </c>
      <c r="J33" s="10">
        <v>13500</v>
      </c>
      <c r="K33" s="2">
        <f>_xlfn.XLOOKUP(Table2[[#This Row],[Shoe style]],val[SHOE STYLE],val[COST PRICE])</f>
        <v>7909</v>
      </c>
      <c r="L33" s="2">
        <f>(Table2[[#This Row],[COST PRICE]]*Table2[[#This Row],[Quantity sold]])</f>
        <v>7909</v>
      </c>
      <c r="M33" s="2">
        <f>Table2[[#This Row],[TOTAL SALES]]-Table2[[#This Row],[TOTAL COST PRICE]]</f>
        <v>4486</v>
      </c>
      <c r="N33" s="2">
        <f>IF(Table2[[#This Row],[Amount Paid]]&gt;0,(SUMIF(Table2[Order ID],Table2[[#This Row],[Order ID]],Table2[Amount Paid])-SUMIF(Table2[Order ID],Table2[[#This Row],[Order ID]],Table2[TOTAL SALES])),0)</f>
        <v>1105</v>
      </c>
      <c r="O33" s="8">
        <v>39</v>
      </c>
      <c r="P33" s="8" t="s">
        <v>25</v>
      </c>
      <c r="Q33" s="8" t="s">
        <v>26</v>
      </c>
      <c r="R33" s="8" t="s">
        <v>27</v>
      </c>
      <c r="S33" s="8" t="s">
        <v>28</v>
      </c>
      <c r="T33" s="8">
        <f t="shared" si="0"/>
        <v>0</v>
      </c>
      <c r="U33" t="str" cm="1">
        <f t="array" ref="U33">_xlfn.IFNA(_xlfn.IFS(Table2[[#This Row],[DEFICIT /SURPLUS]]&lt;0,"Deficit",Table2[[#This Row],[DEFICIT /SURPLUS]]&gt;0,"surplus"),"-")</f>
        <v>surplus</v>
      </c>
    </row>
    <row r="34" spans="1:21" ht="14.5">
      <c r="A34" s="8" t="s">
        <v>66</v>
      </c>
      <c r="B34" s="9">
        <v>45516</v>
      </c>
      <c r="C34" s="8" t="s">
        <v>22</v>
      </c>
      <c r="D34" s="8" t="s">
        <v>29</v>
      </c>
      <c r="E34" s="8" t="s">
        <v>50</v>
      </c>
      <c r="F34" s="31">
        <f>_xlfn.XLOOKUP(Table2[[#This Row],[Shoe style]],val[SHOE STYLE],val[UNIT PRICE])</f>
        <v>12395</v>
      </c>
      <c r="H34" s="11">
        <v>1</v>
      </c>
      <c r="I34" s="6">
        <f>IF(Table2[[#This Row],[Discount]]&lt;(Table2[[#This Row],[UNIT PRICE]]*Table2[[#This Row],[Quantity sold]]),Table2[[#This Row],[UNIT PRICE]]*Table2[[#This Row],[Quantity sold]]-Table2[[#This Row],[Discount]],0)</f>
        <v>12395</v>
      </c>
      <c r="J34" s="10">
        <v>27000</v>
      </c>
      <c r="K34" s="2">
        <f>_xlfn.XLOOKUP(Table2[[#This Row],[Shoe style]],val[SHOE STYLE],val[COST PRICE])</f>
        <v>7909</v>
      </c>
      <c r="L34" s="2">
        <f>(Table2[[#This Row],[COST PRICE]]*Table2[[#This Row],[Quantity sold]])</f>
        <v>7909</v>
      </c>
      <c r="M34" s="2">
        <f>Table2[[#This Row],[TOTAL SALES]]-Table2[[#This Row],[TOTAL COST PRICE]]</f>
        <v>4486</v>
      </c>
      <c r="N34" s="2">
        <f>IF(Table2[[#This Row],[Amount Paid]]&gt;0,(SUMIF(Table2[Order ID],Table2[[#This Row],[Order ID]],Table2[Amount Paid])-SUMIF(Table2[Order ID],Table2[[#This Row],[Order ID]],Table2[TOTAL SALES])),0)</f>
        <v>14605</v>
      </c>
      <c r="O34" s="8">
        <v>38</v>
      </c>
      <c r="P34" s="8" t="s">
        <v>25</v>
      </c>
      <c r="Q34" s="8" t="s">
        <v>26</v>
      </c>
      <c r="R34" s="8" t="s">
        <v>27</v>
      </c>
      <c r="S34" s="8" t="s">
        <v>28</v>
      </c>
      <c r="T34" s="8">
        <f t="shared" si="0"/>
        <v>0</v>
      </c>
      <c r="U34" t="str" cm="1">
        <f t="array" ref="U34">_xlfn.IFNA(_xlfn.IFS(Table2[[#This Row],[DEFICIT /SURPLUS]]&lt;0,"Deficit",Table2[[#This Row],[DEFICIT /SURPLUS]]&gt;0,"surplus"),"-")</f>
        <v>surplus</v>
      </c>
    </row>
    <row r="35" spans="1:21" ht="14.5">
      <c r="A35" s="8" t="s">
        <v>67</v>
      </c>
      <c r="B35" s="9">
        <v>45516</v>
      </c>
      <c r="C35" s="8" t="s">
        <v>22</v>
      </c>
      <c r="D35" s="8" t="s">
        <v>42</v>
      </c>
      <c r="E35" s="8" t="s">
        <v>38</v>
      </c>
      <c r="F35" s="31">
        <f>_xlfn.XLOOKUP(Table2[[#This Row],[Shoe style]],val[SHOE STYLE],val[UNIT PRICE])</f>
        <v>17614</v>
      </c>
      <c r="H35" s="11">
        <v>1</v>
      </c>
      <c r="I35" s="6">
        <f>IF(Table2[[#This Row],[Discount]]&lt;(Table2[[#This Row],[UNIT PRICE]]*Table2[[#This Row],[Quantity sold]]),Table2[[#This Row],[UNIT PRICE]]*Table2[[#This Row],[Quantity sold]]-Table2[[#This Row],[Discount]],0)</f>
        <v>17614</v>
      </c>
      <c r="J35" s="10">
        <v>100032</v>
      </c>
      <c r="K35" s="2">
        <f>_xlfn.XLOOKUP(Table2[[#This Row],[Shoe style]],val[SHOE STYLE],val[COST PRICE])</f>
        <v>14912</v>
      </c>
      <c r="L35" s="2">
        <f>(Table2[[#This Row],[COST PRICE]]*Table2[[#This Row],[Quantity sold]])</f>
        <v>14912</v>
      </c>
      <c r="M35" s="2">
        <f>Table2[[#This Row],[TOTAL SALES]]-Table2[[#This Row],[TOTAL COST PRICE]]</f>
        <v>2702</v>
      </c>
      <c r="N35" s="2">
        <f>IF(Table2[[#This Row],[Amount Paid]]&gt;0,(SUMIF(Table2[Order ID],Table2[[#This Row],[Order ID]],Table2[Amount Paid])-SUMIF(Table2[Order ID],Table2[[#This Row],[Order ID]],Table2[TOTAL SALES])),0)</f>
        <v>-15075</v>
      </c>
      <c r="O35" s="8">
        <v>41</v>
      </c>
      <c r="P35" s="8" t="s">
        <v>25</v>
      </c>
      <c r="Q35" s="8" t="s">
        <v>26</v>
      </c>
      <c r="R35" s="8" t="s">
        <v>27</v>
      </c>
      <c r="S35" s="8" t="s">
        <v>28</v>
      </c>
      <c r="T35" s="8">
        <f t="shared" si="0"/>
        <v>0</v>
      </c>
      <c r="U35" t="str" cm="1">
        <f t="array" ref="U35">_xlfn.IFNA(_xlfn.IFS(Table2[[#This Row],[DEFICIT /SURPLUS]]&lt;0,"Deficit",Table2[[#This Row],[DEFICIT /SURPLUS]]&gt;0,"surplus"),"-")</f>
        <v>Deficit</v>
      </c>
    </row>
    <row r="36" spans="1:21" ht="14.5">
      <c r="A36" s="8" t="s">
        <v>67</v>
      </c>
      <c r="B36" s="9">
        <v>45516</v>
      </c>
      <c r="C36" s="8" t="s">
        <v>22</v>
      </c>
      <c r="D36" s="8" t="s">
        <v>49</v>
      </c>
      <c r="E36" s="8" t="s">
        <v>43</v>
      </c>
      <c r="F36" s="31">
        <f>_xlfn.XLOOKUP(Table2[[#This Row],[Shoe style]],val[SHOE STYLE],val[UNIT PRICE])</f>
        <v>20500</v>
      </c>
      <c r="H36" s="11">
        <v>1</v>
      </c>
      <c r="I36" s="6">
        <f>IF(Table2[[#This Row],[Discount]]&lt;(Table2[[#This Row],[UNIT PRICE]]*Table2[[#This Row],[Quantity sold]]),Table2[[#This Row],[UNIT PRICE]]*Table2[[#This Row],[Quantity sold]]-Table2[[#This Row],[Discount]],0)</f>
        <v>20500</v>
      </c>
      <c r="K36" s="2">
        <f>_xlfn.XLOOKUP(Table2[[#This Row],[Shoe style]],val[SHOE STYLE],val[COST PRICE])</f>
        <v>17339</v>
      </c>
      <c r="L36" s="2">
        <f>(Table2[[#This Row],[COST PRICE]]*Table2[[#This Row],[Quantity sold]])</f>
        <v>17339</v>
      </c>
      <c r="M36" s="2">
        <f>Table2[[#This Row],[TOTAL SALES]]-Table2[[#This Row],[TOTAL COST PRICE]]</f>
        <v>3161</v>
      </c>
      <c r="N36" s="2">
        <f>IF(Table2[[#This Row],[Amount Paid]]&gt;0,(SUMIF(Table2[Order ID],Table2[[#This Row],[Order ID]],Table2[Amount Paid])-SUMIF(Table2[Order ID],Table2[[#This Row],[Order ID]],Table2[TOTAL SALES])),0)</f>
        <v>0</v>
      </c>
      <c r="O36" s="8">
        <v>41</v>
      </c>
      <c r="P36" s="8" t="s">
        <v>25</v>
      </c>
      <c r="Q36" s="8" t="s">
        <v>26</v>
      </c>
      <c r="R36" s="8" t="s">
        <v>27</v>
      </c>
      <c r="S36" s="8" t="s">
        <v>28</v>
      </c>
      <c r="T36" s="8">
        <f t="shared" si="0"/>
        <v>0</v>
      </c>
      <c r="U36" t="str" cm="1">
        <f t="array" ref="U36">_xlfn.IFNA(_xlfn.IFS(Table2[[#This Row],[DEFICIT /SURPLUS]]&lt;0,"Deficit",Table2[[#This Row],[DEFICIT /SURPLUS]]&gt;0,"surplus"),"-")</f>
        <v>-</v>
      </c>
    </row>
    <row r="37" spans="1:21" ht="14.5">
      <c r="A37" s="8" t="s">
        <v>67</v>
      </c>
      <c r="B37" s="9">
        <v>45516</v>
      </c>
      <c r="C37" s="8" t="s">
        <v>22</v>
      </c>
      <c r="D37" s="8" t="s">
        <v>68</v>
      </c>
      <c r="E37" s="8" t="s">
        <v>61</v>
      </c>
      <c r="F37" s="31">
        <f>_xlfn.XLOOKUP(Table2[[#This Row],[Shoe style]],val[SHOE STYLE],val[UNIT PRICE])</f>
        <v>10509</v>
      </c>
      <c r="H37" s="11">
        <v>1</v>
      </c>
      <c r="I37" s="6">
        <f>IF(Table2[[#This Row],[Discount]]&lt;(Table2[[#This Row],[UNIT PRICE]]*Table2[[#This Row],[Quantity sold]]),Table2[[#This Row],[UNIT PRICE]]*Table2[[#This Row],[Quantity sold]]-Table2[[#This Row],[Discount]],0)</f>
        <v>10509</v>
      </c>
      <c r="K37" s="2">
        <f>_xlfn.XLOOKUP(Table2[[#This Row],[Shoe style]],val[SHOE STYLE],val[COST PRICE])</f>
        <v>7573</v>
      </c>
      <c r="L37" s="2">
        <f>(Table2[[#This Row],[COST PRICE]]*Table2[[#This Row],[Quantity sold]])</f>
        <v>7573</v>
      </c>
      <c r="M37" s="2">
        <f>Table2[[#This Row],[TOTAL SALES]]-Table2[[#This Row],[TOTAL COST PRICE]]</f>
        <v>2936</v>
      </c>
      <c r="N37" s="2">
        <f>IF(Table2[[#This Row],[Amount Paid]]&gt;0,(SUMIF(Table2[Order ID],Table2[[#This Row],[Order ID]],Table2[Amount Paid])-SUMIF(Table2[Order ID],Table2[[#This Row],[Order ID]],Table2[TOTAL SALES])),0)</f>
        <v>0</v>
      </c>
      <c r="O37" s="8">
        <v>41</v>
      </c>
      <c r="P37" s="8" t="s">
        <v>25</v>
      </c>
      <c r="Q37" s="8" t="s">
        <v>26</v>
      </c>
      <c r="R37" s="8" t="s">
        <v>27</v>
      </c>
      <c r="S37" s="8" t="s">
        <v>28</v>
      </c>
      <c r="T37" s="8">
        <f t="shared" si="0"/>
        <v>0</v>
      </c>
      <c r="U37" t="str" cm="1">
        <f t="array" ref="U37">_xlfn.IFNA(_xlfn.IFS(Table2[[#This Row],[DEFICIT /SURPLUS]]&lt;0,"Deficit",Table2[[#This Row],[DEFICIT /SURPLUS]]&gt;0,"surplus"),"-")</f>
        <v>-</v>
      </c>
    </row>
    <row r="38" spans="1:21" ht="14.5">
      <c r="A38" s="8" t="s">
        <v>67</v>
      </c>
      <c r="B38" s="9">
        <v>45516</v>
      </c>
      <c r="C38" s="8" t="s">
        <v>22</v>
      </c>
      <c r="D38" s="8" t="s">
        <v>68</v>
      </c>
      <c r="E38" s="8" t="s">
        <v>38</v>
      </c>
      <c r="F38" s="31">
        <f>_xlfn.XLOOKUP(Table2[[#This Row],[Shoe style]],val[SHOE STYLE],val[UNIT PRICE])</f>
        <v>10509</v>
      </c>
      <c r="H38" s="11">
        <v>1</v>
      </c>
      <c r="I38" s="6">
        <f>IF(Table2[[#This Row],[Discount]]&lt;(Table2[[#This Row],[UNIT PRICE]]*Table2[[#This Row],[Quantity sold]]),Table2[[#This Row],[UNIT PRICE]]*Table2[[#This Row],[Quantity sold]]-Table2[[#This Row],[Discount]],0)</f>
        <v>10509</v>
      </c>
      <c r="K38" s="2">
        <f>_xlfn.XLOOKUP(Table2[[#This Row],[Shoe style]],val[SHOE STYLE],val[COST PRICE])</f>
        <v>7573</v>
      </c>
      <c r="L38" s="2">
        <f>(Table2[[#This Row],[COST PRICE]]*Table2[[#This Row],[Quantity sold]])</f>
        <v>7573</v>
      </c>
      <c r="M38" s="2">
        <f>Table2[[#This Row],[TOTAL SALES]]-Table2[[#This Row],[TOTAL COST PRICE]]</f>
        <v>2936</v>
      </c>
      <c r="N38" s="2">
        <f>IF(Table2[[#This Row],[Amount Paid]]&gt;0,(SUMIF(Table2[Order ID],Table2[[#This Row],[Order ID]],Table2[Amount Paid])-SUMIF(Table2[Order ID],Table2[[#This Row],[Order ID]],Table2[TOTAL SALES])),0)</f>
        <v>0</v>
      </c>
      <c r="O38" s="8">
        <v>41</v>
      </c>
      <c r="P38" s="8" t="s">
        <v>25</v>
      </c>
      <c r="Q38" s="8" t="s">
        <v>26</v>
      </c>
      <c r="R38" s="8" t="s">
        <v>27</v>
      </c>
      <c r="S38" s="8" t="s">
        <v>28</v>
      </c>
      <c r="T38" s="8">
        <f t="shared" si="0"/>
        <v>0</v>
      </c>
      <c r="U38" t="str" cm="1">
        <f t="array" ref="U38">_xlfn.IFNA(_xlfn.IFS(Table2[[#This Row],[DEFICIT /SURPLUS]]&lt;0,"Deficit",Table2[[#This Row],[DEFICIT /SURPLUS]]&gt;0,"surplus"),"-")</f>
        <v>-</v>
      </c>
    </row>
    <row r="39" spans="1:21" ht="14.5">
      <c r="A39" s="8" t="s">
        <v>67</v>
      </c>
      <c r="B39" s="9">
        <v>45516</v>
      </c>
      <c r="C39" s="8" t="s">
        <v>22</v>
      </c>
      <c r="D39" s="8" t="s">
        <v>49</v>
      </c>
      <c r="E39" s="8" t="s">
        <v>43</v>
      </c>
      <c r="F39" s="31">
        <f>_xlfn.XLOOKUP(Table2[[#This Row],[Shoe style]],val[SHOE STYLE],val[UNIT PRICE])</f>
        <v>20500</v>
      </c>
      <c r="H39" s="11">
        <v>1</v>
      </c>
      <c r="I39" s="6">
        <f>IF(Table2[[#This Row],[Discount]]&lt;(Table2[[#This Row],[UNIT PRICE]]*Table2[[#This Row],[Quantity sold]]),Table2[[#This Row],[UNIT PRICE]]*Table2[[#This Row],[Quantity sold]]-Table2[[#This Row],[Discount]],0)</f>
        <v>20500</v>
      </c>
      <c r="K39" s="2">
        <f>_xlfn.XLOOKUP(Table2[[#This Row],[Shoe style]],val[SHOE STYLE],val[COST PRICE])</f>
        <v>17339</v>
      </c>
      <c r="L39" s="2">
        <f>(Table2[[#This Row],[COST PRICE]]*Table2[[#This Row],[Quantity sold]])</f>
        <v>17339</v>
      </c>
      <c r="M39" s="2">
        <f>Table2[[#This Row],[TOTAL SALES]]-Table2[[#This Row],[TOTAL COST PRICE]]</f>
        <v>3161</v>
      </c>
      <c r="N39" s="2">
        <f>IF(Table2[[#This Row],[Amount Paid]]&gt;0,(SUMIF(Table2[Order ID],Table2[[#This Row],[Order ID]],Table2[Amount Paid])-SUMIF(Table2[Order ID],Table2[[#This Row],[Order ID]],Table2[TOTAL SALES])),0)</f>
        <v>0</v>
      </c>
      <c r="O39" s="8">
        <v>41</v>
      </c>
      <c r="P39" s="8" t="s">
        <v>25</v>
      </c>
      <c r="Q39" s="8" t="s">
        <v>26</v>
      </c>
      <c r="R39" s="8" t="s">
        <v>27</v>
      </c>
      <c r="S39" s="8" t="s">
        <v>28</v>
      </c>
      <c r="T39" s="8">
        <f t="shared" si="0"/>
        <v>0</v>
      </c>
      <c r="U39" t="str" cm="1">
        <f t="array" ref="U39">_xlfn.IFNA(_xlfn.IFS(Table2[[#This Row],[DEFICIT /SURPLUS]]&lt;0,"Deficit",Table2[[#This Row],[DEFICIT /SURPLUS]]&gt;0,"surplus"),"-")</f>
        <v>-</v>
      </c>
    </row>
    <row r="40" spans="1:21" ht="14.5">
      <c r="A40" s="8" t="s">
        <v>67</v>
      </c>
      <c r="B40" s="9">
        <v>45516</v>
      </c>
      <c r="C40" s="8" t="s">
        <v>22</v>
      </c>
      <c r="D40" s="8" t="s">
        <v>49</v>
      </c>
      <c r="E40" s="8" t="s">
        <v>61</v>
      </c>
      <c r="F40" s="31">
        <f>_xlfn.XLOOKUP(Table2[[#This Row],[Shoe style]],val[SHOE STYLE],val[UNIT PRICE])</f>
        <v>20500</v>
      </c>
      <c r="H40" s="11">
        <v>1</v>
      </c>
      <c r="I40" s="6">
        <f>IF(Table2[[#This Row],[Discount]]&lt;(Table2[[#This Row],[UNIT PRICE]]*Table2[[#This Row],[Quantity sold]]),Table2[[#This Row],[UNIT PRICE]]*Table2[[#This Row],[Quantity sold]]-Table2[[#This Row],[Discount]],0)</f>
        <v>20500</v>
      </c>
      <c r="K40" s="2">
        <f>_xlfn.XLOOKUP(Table2[[#This Row],[Shoe style]],val[SHOE STYLE],val[COST PRICE])</f>
        <v>17339</v>
      </c>
      <c r="L40" s="2">
        <f>(Table2[[#This Row],[COST PRICE]]*Table2[[#This Row],[Quantity sold]])</f>
        <v>17339</v>
      </c>
      <c r="M40" s="2">
        <f>Table2[[#This Row],[TOTAL SALES]]-Table2[[#This Row],[TOTAL COST PRICE]]</f>
        <v>3161</v>
      </c>
      <c r="N40" s="2">
        <f>IF(Table2[[#This Row],[Amount Paid]]&gt;0,(SUMIF(Table2[Order ID],Table2[[#This Row],[Order ID]],Table2[Amount Paid])-SUMIF(Table2[Order ID],Table2[[#This Row],[Order ID]],Table2[TOTAL SALES])),0)</f>
        <v>0</v>
      </c>
      <c r="O40" s="8">
        <v>41</v>
      </c>
      <c r="P40" s="8" t="s">
        <v>25</v>
      </c>
      <c r="Q40" s="8" t="s">
        <v>26</v>
      </c>
      <c r="R40" s="8" t="s">
        <v>27</v>
      </c>
      <c r="S40" s="8" t="s">
        <v>28</v>
      </c>
      <c r="T40" s="8">
        <f t="shared" si="0"/>
        <v>0</v>
      </c>
      <c r="U40" t="str" cm="1">
        <f t="array" ref="U40">_xlfn.IFNA(_xlfn.IFS(Table2[[#This Row],[DEFICIT /SURPLUS]]&lt;0,"Deficit",Table2[[#This Row],[DEFICIT /SURPLUS]]&gt;0,"surplus"),"-")</f>
        <v>-</v>
      </c>
    </row>
    <row r="41" spans="1:21" ht="14.5">
      <c r="A41" s="8" t="s">
        <v>67</v>
      </c>
      <c r="B41" s="9">
        <v>45516</v>
      </c>
      <c r="C41" s="8" t="s">
        <v>22</v>
      </c>
      <c r="D41" s="8" t="s">
        <v>23</v>
      </c>
      <c r="E41" s="8" t="s">
        <v>30</v>
      </c>
      <c r="F41" s="31">
        <f>_xlfn.XLOOKUP(Table2[[#This Row],[Shoe style]],val[SHOE STYLE],val[UNIT PRICE])</f>
        <v>14975</v>
      </c>
      <c r="H41" s="11">
        <v>1</v>
      </c>
      <c r="I41" s="6">
        <f>IF(Table2[[#This Row],[Discount]]&lt;(Table2[[#This Row],[UNIT PRICE]]*Table2[[#This Row],[Quantity sold]]),Table2[[#This Row],[UNIT PRICE]]*Table2[[#This Row],[Quantity sold]]-Table2[[#This Row],[Discount]],0)</f>
        <v>14975</v>
      </c>
      <c r="K41" s="2">
        <f>_xlfn.XLOOKUP(Table2[[#This Row],[Shoe style]],val[SHOE STYLE],val[COST PRICE])</f>
        <v>10813</v>
      </c>
      <c r="L41" s="2">
        <f>(Table2[[#This Row],[COST PRICE]]*Table2[[#This Row],[Quantity sold]])</f>
        <v>10813</v>
      </c>
      <c r="M41" s="2">
        <f>Table2[[#This Row],[TOTAL SALES]]-Table2[[#This Row],[TOTAL COST PRICE]]</f>
        <v>4162</v>
      </c>
      <c r="N41" s="2">
        <f>IF(Table2[[#This Row],[Amount Paid]]&gt;0,(SUMIF(Table2[Order ID],Table2[[#This Row],[Order ID]],Table2[Amount Paid])-SUMIF(Table2[Order ID],Table2[[#This Row],[Order ID]],Table2[TOTAL SALES])),0)</f>
        <v>0</v>
      </c>
      <c r="O41" s="8">
        <v>41</v>
      </c>
      <c r="P41" s="8" t="s">
        <v>25</v>
      </c>
      <c r="Q41" s="8" t="s">
        <v>26</v>
      </c>
      <c r="R41" s="8" t="s">
        <v>27</v>
      </c>
      <c r="S41" s="8" t="s">
        <v>28</v>
      </c>
      <c r="T41" s="8">
        <f t="shared" si="0"/>
        <v>0</v>
      </c>
      <c r="U41" t="str" cm="1">
        <f t="array" ref="U41">_xlfn.IFNA(_xlfn.IFS(Table2[[#This Row],[DEFICIT /SURPLUS]]&lt;0,"Deficit",Table2[[#This Row],[DEFICIT /SURPLUS]]&gt;0,"surplus"),"-")</f>
        <v>-</v>
      </c>
    </row>
    <row r="42" spans="1:21" ht="14.5">
      <c r="A42" s="8" t="s">
        <v>69</v>
      </c>
      <c r="B42" s="9">
        <v>45516</v>
      </c>
      <c r="C42" s="8" t="s">
        <v>22</v>
      </c>
      <c r="D42" s="8" t="s">
        <v>23</v>
      </c>
      <c r="E42" s="8" t="s">
        <v>38</v>
      </c>
      <c r="F42" s="31">
        <f>_xlfn.XLOOKUP(Table2[[#This Row],[Shoe style]],val[SHOE STYLE],val[UNIT PRICE])</f>
        <v>14975</v>
      </c>
      <c r="H42" s="11">
        <v>1</v>
      </c>
      <c r="I42" s="6">
        <f>IF(Table2[[#This Row],[Discount]]&lt;(Table2[[#This Row],[UNIT PRICE]]*Table2[[#This Row],[Quantity sold]]),Table2[[#This Row],[UNIT PRICE]]*Table2[[#This Row],[Quantity sold]]-Table2[[#This Row],[Discount]],0)</f>
        <v>14975</v>
      </c>
      <c r="J42" s="10">
        <v>15630</v>
      </c>
      <c r="K42" s="2">
        <f>_xlfn.XLOOKUP(Table2[[#This Row],[Shoe style]],val[SHOE STYLE],val[COST PRICE])</f>
        <v>10813</v>
      </c>
      <c r="L42" s="2">
        <f>(Table2[[#This Row],[COST PRICE]]*Table2[[#This Row],[Quantity sold]])</f>
        <v>10813</v>
      </c>
      <c r="M42" s="2">
        <f>Table2[[#This Row],[TOTAL SALES]]-Table2[[#This Row],[TOTAL COST PRICE]]</f>
        <v>4162</v>
      </c>
      <c r="N42" s="2">
        <f>IF(Table2[[#This Row],[Amount Paid]]&gt;0,(SUMIF(Table2[Order ID],Table2[[#This Row],[Order ID]],Table2[Amount Paid])-SUMIF(Table2[Order ID],Table2[[#This Row],[Order ID]],Table2[TOTAL SALES])),0)</f>
        <v>655</v>
      </c>
      <c r="O42" s="8">
        <v>41</v>
      </c>
      <c r="P42" s="8" t="s">
        <v>25</v>
      </c>
      <c r="Q42" s="8" t="s">
        <v>26</v>
      </c>
      <c r="R42" s="8" t="s">
        <v>27</v>
      </c>
      <c r="S42" s="8" t="s">
        <v>28</v>
      </c>
      <c r="T42" s="8">
        <f t="shared" si="0"/>
        <v>0</v>
      </c>
      <c r="U42" t="str" cm="1">
        <f t="array" ref="U42">_xlfn.IFNA(_xlfn.IFS(Table2[[#This Row],[DEFICIT /SURPLUS]]&lt;0,"Deficit",Table2[[#This Row],[DEFICIT /SURPLUS]]&gt;0,"surplus"),"-")</f>
        <v>surplus</v>
      </c>
    </row>
    <row r="43" spans="1:21" ht="14.5">
      <c r="A43" s="8" t="s">
        <v>70</v>
      </c>
      <c r="B43" s="9">
        <v>45516</v>
      </c>
      <c r="C43" s="8" t="s">
        <v>22</v>
      </c>
      <c r="D43" s="8" t="s">
        <v>29</v>
      </c>
      <c r="E43" s="8" t="s">
        <v>50</v>
      </c>
      <c r="F43" s="31">
        <f>_xlfn.XLOOKUP(Table2[[#This Row],[Shoe style]],val[SHOE STYLE],val[UNIT PRICE])</f>
        <v>12395</v>
      </c>
      <c r="H43" s="11">
        <v>1</v>
      </c>
      <c r="I43" s="6">
        <f>IF(Table2[[#This Row],[Discount]]&lt;(Table2[[#This Row],[UNIT PRICE]]*Table2[[#This Row],[Quantity sold]]),Table2[[#This Row],[UNIT PRICE]]*Table2[[#This Row],[Quantity sold]]-Table2[[#This Row],[Discount]],0)</f>
        <v>12395</v>
      </c>
      <c r="J43" s="10">
        <v>27000</v>
      </c>
      <c r="K43" s="2">
        <f>_xlfn.XLOOKUP(Table2[[#This Row],[Shoe style]],val[SHOE STYLE],val[COST PRICE])</f>
        <v>7909</v>
      </c>
      <c r="L43" s="2">
        <f>(Table2[[#This Row],[COST PRICE]]*Table2[[#This Row],[Quantity sold]])</f>
        <v>7909</v>
      </c>
      <c r="M43" s="2">
        <f>Table2[[#This Row],[TOTAL SALES]]-Table2[[#This Row],[TOTAL COST PRICE]]</f>
        <v>4486</v>
      </c>
      <c r="N43" s="2">
        <f>IF(Table2[[#This Row],[Amount Paid]]&gt;0,(SUMIF(Table2[Order ID],Table2[[#This Row],[Order ID]],Table2[Amount Paid])-SUMIF(Table2[Order ID],Table2[[#This Row],[Order ID]],Table2[TOTAL SALES])),0)</f>
        <v>-25058</v>
      </c>
      <c r="O43" s="8">
        <v>38</v>
      </c>
      <c r="P43" s="8" t="s">
        <v>25</v>
      </c>
      <c r="Q43" s="8" t="s">
        <v>26</v>
      </c>
      <c r="R43" s="8" t="s">
        <v>27</v>
      </c>
      <c r="S43" s="8" t="s">
        <v>28</v>
      </c>
      <c r="T43" s="8">
        <f t="shared" si="0"/>
        <v>0</v>
      </c>
      <c r="U43" t="str" cm="1">
        <f t="array" ref="U43">_xlfn.IFNA(_xlfn.IFS(Table2[[#This Row],[DEFICIT /SURPLUS]]&lt;0,"Deficit",Table2[[#This Row],[DEFICIT /SURPLUS]]&gt;0,"surplus"),"-")</f>
        <v>Deficit</v>
      </c>
    </row>
    <row r="44" spans="1:21" ht="14.5">
      <c r="A44" s="8" t="s">
        <v>70</v>
      </c>
      <c r="B44" s="9">
        <v>45516</v>
      </c>
      <c r="C44" s="8" t="s">
        <v>22</v>
      </c>
      <c r="D44" s="8" t="s">
        <v>29</v>
      </c>
      <c r="E44" s="8" t="s">
        <v>50</v>
      </c>
      <c r="F44" s="31">
        <f>_xlfn.XLOOKUP(Table2[[#This Row],[Shoe style]],val[SHOE STYLE],val[UNIT PRICE])</f>
        <v>12395</v>
      </c>
      <c r="H44" s="11">
        <v>1</v>
      </c>
      <c r="I44" s="6">
        <f>IF(Table2[[#This Row],[Discount]]&lt;(Table2[[#This Row],[UNIT PRICE]]*Table2[[#This Row],[Quantity sold]]),Table2[[#This Row],[UNIT PRICE]]*Table2[[#This Row],[Quantity sold]]-Table2[[#This Row],[Discount]],0)</f>
        <v>12395</v>
      </c>
      <c r="K44" s="2">
        <f>_xlfn.XLOOKUP(Table2[[#This Row],[Shoe style]],val[SHOE STYLE],val[COST PRICE])</f>
        <v>7909</v>
      </c>
      <c r="L44" s="2">
        <f>(Table2[[#This Row],[COST PRICE]]*Table2[[#This Row],[Quantity sold]])</f>
        <v>7909</v>
      </c>
      <c r="M44" s="2">
        <f>Table2[[#This Row],[TOTAL SALES]]-Table2[[#This Row],[TOTAL COST PRICE]]</f>
        <v>4486</v>
      </c>
      <c r="N44" s="2">
        <f>IF(Table2[[#This Row],[Amount Paid]]&gt;0,(SUMIF(Table2[Order ID],Table2[[#This Row],[Order ID]],Table2[Amount Paid])-SUMIF(Table2[Order ID],Table2[[#This Row],[Order ID]],Table2[TOTAL SALES])),0)</f>
        <v>0</v>
      </c>
      <c r="O44" s="8">
        <v>38</v>
      </c>
      <c r="P44" s="8" t="s">
        <v>25</v>
      </c>
      <c r="Q44" s="8" t="s">
        <v>26</v>
      </c>
      <c r="R44" s="8" t="s">
        <v>27</v>
      </c>
      <c r="S44" s="8" t="s">
        <v>28</v>
      </c>
      <c r="T44" s="8">
        <f t="shared" si="0"/>
        <v>0</v>
      </c>
      <c r="U44" t="str" cm="1">
        <f t="array" ref="U44">_xlfn.IFNA(_xlfn.IFS(Table2[[#This Row],[DEFICIT /SURPLUS]]&lt;0,"Deficit",Table2[[#This Row],[DEFICIT /SURPLUS]]&gt;0,"surplus"),"-")</f>
        <v>-</v>
      </c>
    </row>
    <row r="45" spans="1:21" ht="14.5">
      <c r="A45" s="8" t="s">
        <v>70</v>
      </c>
      <c r="B45" s="9">
        <v>45516</v>
      </c>
      <c r="C45" s="8" t="s">
        <v>22</v>
      </c>
      <c r="D45" s="8" t="s">
        <v>29</v>
      </c>
      <c r="E45" s="8" t="s">
        <v>50</v>
      </c>
      <c r="F45" s="31">
        <f>_xlfn.XLOOKUP(Table2[[#This Row],[Shoe style]],val[SHOE STYLE],val[UNIT PRICE])</f>
        <v>12395</v>
      </c>
      <c r="H45" s="11">
        <v>1</v>
      </c>
      <c r="I45" s="6">
        <f>IF(Table2[[#This Row],[Discount]]&lt;(Table2[[#This Row],[UNIT PRICE]]*Table2[[#This Row],[Quantity sold]]),Table2[[#This Row],[UNIT PRICE]]*Table2[[#This Row],[Quantity sold]]-Table2[[#This Row],[Discount]],0)</f>
        <v>12395</v>
      </c>
      <c r="K45" s="2">
        <f>_xlfn.XLOOKUP(Table2[[#This Row],[Shoe style]],val[SHOE STYLE],val[COST PRICE])</f>
        <v>7909</v>
      </c>
      <c r="L45" s="2">
        <f>(Table2[[#This Row],[COST PRICE]]*Table2[[#This Row],[Quantity sold]])</f>
        <v>7909</v>
      </c>
      <c r="M45" s="2">
        <f>Table2[[#This Row],[TOTAL SALES]]-Table2[[#This Row],[TOTAL COST PRICE]]</f>
        <v>4486</v>
      </c>
      <c r="N45" s="2">
        <f>IF(Table2[[#This Row],[Amount Paid]]&gt;0,(SUMIF(Table2[Order ID],Table2[[#This Row],[Order ID]],Table2[Amount Paid])-SUMIF(Table2[Order ID],Table2[[#This Row],[Order ID]],Table2[TOTAL SALES])),0)</f>
        <v>0</v>
      </c>
      <c r="O45" s="8">
        <v>38</v>
      </c>
      <c r="P45" s="8" t="s">
        <v>25</v>
      </c>
      <c r="Q45" s="8" t="s">
        <v>26</v>
      </c>
      <c r="R45" s="8" t="s">
        <v>27</v>
      </c>
      <c r="S45" s="8" t="s">
        <v>28</v>
      </c>
      <c r="T45" s="8">
        <f t="shared" si="0"/>
        <v>0</v>
      </c>
      <c r="U45" t="str" cm="1">
        <f t="array" ref="U45">_xlfn.IFNA(_xlfn.IFS(Table2[[#This Row],[DEFICIT /SURPLUS]]&lt;0,"Deficit",Table2[[#This Row],[DEFICIT /SURPLUS]]&gt;0,"surplus"),"-")</f>
        <v>-</v>
      </c>
    </row>
    <row r="46" spans="1:21" ht="14.5">
      <c r="A46" s="8" t="s">
        <v>70</v>
      </c>
      <c r="B46" s="9">
        <v>45516</v>
      </c>
      <c r="C46" s="8" t="s">
        <v>22</v>
      </c>
      <c r="D46" s="8" t="s">
        <v>71</v>
      </c>
      <c r="E46" s="8" t="s">
        <v>24</v>
      </c>
      <c r="F46" s="31">
        <f>_xlfn.XLOOKUP(Table2[[#This Row],[Shoe style]],val[SHOE STYLE],val[UNIT PRICE])</f>
        <v>14873</v>
      </c>
      <c r="H46" s="11">
        <v>1</v>
      </c>
      <c r="I46" s="6">
        <f>IF(Table2[[#This Row],[Discount]]&lt;(Table2[[#This Row],[UNIT PRICE]]*Table2[[#This Row],[Quantity sold]]),Table2[[#This Row],[UNIT PRICE]]*Table2[[#This Row],[Quantity sold]]-Table2[[#This Row],[Discount]],0)</f>
        <v>14873</v>
      </c>
      <c r="K46" s="2">
        <f>_xlfn.XLOOKUP(Table2[[#This Row],[Shoe style]],val[SHOE STYLE],val[COST PRICE])</f>
        <v>11503</v>
      </c>
      <c r="L46" s="2">
        <f>(Table2[[#This Row],[COST PRICE]]*Table2[[#This Row],[Quantity sold]])</f>
        <v>11503</v>
      </c>
      <c r="M46" s="2">
        <f>Table2[[#This Row],[TOTAL SALES]]-Table2[[#This Row],[TOTAL COST PRICE]]</f>
        <v>3370</v>
      </c>
      <c r="N46" s="2">
        <f>IF(Table2[[#This Row],[Amount Paid]]&gt;0,(SUMIF(Table2[Order ID],Table2[[#This Row],[Order ID]],Table2[Amount Paid])-SUMIF(Table2[Order ID],Table2[[#This Row],[Order ID]],Table2[TOTAL SALES])),0)</f>
        <v>0</v>
      </c>
      <c r="O46" s="8">
        <v>39</v>
      </c>
      <c r="P46" s="8" t="s">
        <v>25</v>
      </c>
      <c r="Q46" s="8" t="s">
        <v>26</v>
      </c>
      <c r="R46" s="8" t="s">
        <v>27</v>
      </c>
      <c r="S46" s="8" t="s">
        <v>28</v>
      </c>
      <c r="T46" s="8">
        <f t="shared" si="0"/>
        <v>0</v>
      </c>
      <c r="U46" t="str" cm="1">
        <f t="array" ref="U46">_xlfn.IFNA(_xlfn.IFS(Table2[[#This Row],[DEFICIT /SURPLUS]]&lt;0,"Deficit",Table2[[#This Row],[DEFICIT /SURPLUS]]&gt;0,"surplus"),"-")</f>
        <v>-</v>
      </c>
    </row>
    <row r="47" spans="1:21" ht="14.5">
      <c r="A47" s="8" t="s">
        <v>72</v>
      </c>
      <c r="B47" s="9">
        <v>45516</v>
      </c>
      <c r="C47" s="8" t="s">
        <v>22</v>
      </c>
      <c r="D47" s="8" t="s">
        <v>71</v>
      </c>
      <c r="E47" s="8" t="s">
        <v>24</v>
      </c>
      <c r="F47" s="31">
        <f>_xlfn.XLOOKUP(Table2[[#This Row],[Shoe style]],val[SHOE STYLE],val[UNIT PRICE])</f>
        <v>14873</v>
      </c>
      <c r="H47" s="11">
        <v>1</v>
      </c>
      <c r="I47" s="6">
        <f>IF(Table2[[#This Row],[Discount]]&lt;(Table2[[#This Row],[UNIT PRICE]]*Table2[[#This Row],[Quantity sold]]),Table2[[#This Row],[UNIT PRICE]]*Table2[[#This Row],[Quantity sold]]-Table2[[#This Row],[Discount]],0)</f>
        <v>14873</v>
      </c>
      <c r="J47" s="10">
        <v>29000</v>
      </c>
      <c r="K47" s="2">
        <f>_xlfn.XLOOKUP(Table2[[#This Row],[Shoe style]],val[SHOE STYLE],val[COST PRICE])</f>
        <v>11503</v>
      </c>
      <c r="L47" s="2">
        <f>(Table2[[#This Row],[COST PRICE]]*Table2[[#This Row],[Quantity sold]])</f>
        <v>11503</v>
      </c>
      <c r="M47" s="2">
        <f>Table2[[#This Row],[TOTAL SALES]]-Table2[[#This Row],[TOTAL COST PRICE]]</f>
        <v>3370</v>
      </c>
      <c r="N47" s="2">
        <f>IF(Table2[[#This Row],[Amount Paid]]&gt;0,(SUMIF(Table2[Order ID],Table2[[#This Row],[Order ID]],Table2[Amount Paid])-SUMIF(Table2[Order ID],Table2[[#This Row],[Order ID]],Table2[TOTAL SALES])),0)</f>
        <v>-746</v>
      </c>
      <c r="O47" s="8">
        <v>38</v>
      </c>
      <c r="P47" s="8" t="s">
        <v>25</v>
      </c>
      <c r="Q47" s="8" t="s">
        <v>26</v>
      </c>
      <c r="R47" s="8" t="s">
        <v>27</v>
      </c>
      <c r="S47" s="8" t="s">
        <v>28</v>
      </c>
      <c r="T47" s="8">
        <f t="shared" si="0"/>
        <v>0</v>
      </c>
      <c r="U47" t="str" cm="1">
        <f t="array" ref="U47">_xlfn.IFNA(_xlfn.IFS(Table2[[#This Row],[DEFICIT /SURPLUS]]&lt;0,"Deficit",Table2[[#This Row],[DEFICIT /SURPLUS]]&gt;0,"surplus"),"-")</f>
        <v>Deficit</v>
      </c>
    </row>
    <row r="48" spans="1:21" ht="14.5">
      <c r="A48" s="8" t="s">
        <v>72</v>
      </c>
      <c r="B48" s="9">
        <v>45516</v>
      </c>
      <c r="C48" s="8" t="s">
        <v>22</v>
      </c>
      <c r="D48" s="8" t="s">
        <v>71</v>
      </c>
      <c r="E48" s="8" t="s">
        <v>24</v>
      </c>
      <c r="F48" s="31">
        <f>_xlfn.XLOOKUP(Table2[[#This Row],[Shoe style]],val[SHOE STYLE],val[UNIT PRICE])</f>
        <v>14873</v>
      </c>
      <c r="H48" s="11">
        <v>1</v>
      </c>
      <c r="I48" s="6">
        <f>IF(Table2[[#This Row],[Discount]]&lt;(Table2[[#This Row],[UNIT PRICE]]*Table2[[#This Row],[Quantity sold]]),Table2[[#This Row],[UNIT PRICE]]*Table2[[#This Row],[Quantity sold]]-Table2[[#This Row],[Discount]],0)</f>
        <v>14873</v>
      </c>
      <c r="K48" s="2">
        <f>_xlfn.XLOOKUP(Table2[[#This Row],[Shoe style]],val[SHOE STYLE],val[COST PRICE])</f>
        <v>11503</v>
      </c>
      <c r="L48" s="2">
        <f>(Table2[[#This Row],[COST PRICE]]*Table2[[#This Row],[Quantity sold]])</f>
        <v>11503</v>
      </c>
      <c r="M48" s="2">
        <f>Table2[[#This Row],[TOTAL SALES]]-Table2[[#This Row],[TOTAL COST PRICE]]</f>
        <v>3370</v>
      </c>
      <c r="N48" s="2">
        <f>IF(Table2[[#This Row],[Amount Paid]]&gt;0,(SUMIF(Table2[Order ID],Table2[[#This Row],[Order ID]],Table2[Amount Paid])-SUMIF(Table2[Order ID],Table2[[#This Row],[Order ID]],Table2[TOTAL SALES])),0)</f>
        <v>0</v>
      </c>
      <c r="O48" s="8">
        <v>40</v>
      </c>
      <c r="P48" s="8" t="s">
        <v>25</v>
      </c>
      <c r="Q48" s="8" t="s">
        <v>26</v>
      </c>
      <c r="R48" s="8" t="s">
        <v>27</v>
      </c>
      <c r="S48" s="8" t="s">
        <v>28</v>
      </c>
      <c r="T48" s="8">
        <f t="shared" si="0"/>
        <v>0</v>
      </c>
      <c r="U48" t="str" cm="1">
        <f t="array" ref="U48">_xlfn.IFNA(_xlfn.IFS(Table2[[#This Row],[DEFICIT /SURPLUS]]&lt;0,"Deficit",Table2[[#This Row],[DEFICIT /SURPLUS]]&gt;0,"surplus"),"-")</f>
        <v>-</v>
      </c>
    </row>
    <row r="49" spans="1:21" ht="14.5">
      <c r="A49" s="8" t="s">
        <v>73</v>
      </c>
      <c r="B49" s="9">
        <v>45517</v>
      </c>
      <c r="C49" s="8" t="s">
        <v>22</v>
      </c>
      <c r="D49" s="8" t="s">
        <v>53</v>
      </c>
      <c r="E49" s="8" t="s">
        <v>24</v>
      </c>
      <c r="F49" s="31">
        <f>_xlfn.XLOOKUP(Table2[[#This Row],[Shoe style]],val[SHOE STYLE],val[UNIT PRICE])</f>
        <v>9838</v>
      </c>
      <c r="H49" s="11">
        <v>1</v>
      </c>
      <c r="I49" s="6">
        <f>IF(Table2[[#This Row],[Discount]]&lt;(Table2[[#This Row],[UNIT PRICE]]*Table2[[#This Row],[Quantity sold]]),Table2[[#This Row],[UNIT PRICE]]*Table2[[#This Row],[Quantity sold]]-Table2[[#This Row],[Discount]],0)</f>
        <v>9838</v>
      </c>
      <c r="J49" s="10">
        <v>13000</v>
      </c>
      <c r="K49" s="2">
        <f>_xlfn.XLOOKUP(Table2[[#This Row],[Shoe style]],val[SHOE STYLE],val[COST PRICE])</f>
        <v>6687</v>
      </c>
      <c r="L49" s="2">
        <f>(Table2[[#This Row],[COST PRICE]]*Table2[[#This Row],[Quantity sold]])</f>
        <v>6687</v>
      </c>
      <c r="M49" s="2">
        <f>Table2[[#This Row],[TOTAL SALES]]-Table2[[#This Row],[TOTAL COST PRICE]]</f>
        <v>3151</v>
      </c>
      <c r="N49" s="2">
        <f>IF(Table2[[#This Row],[Amount Paid]]&gt;0,(SUMIF(Table2[Order ID],Table2[[#This Row],[Order ID]],Table2[Amount Paid])-SUMIF(Table2[Order ID],Table2[[#This Row],[Order ID]],Table2[TOTAL SALES])),0)</f>
        <v>3162</v>
      </c>
      <c r="O49" s="8">
        <v>40</v>
      </c>
      <c r="P49" s="8" t="s">
        <v>25</v>
      </c>
      <c r="Q49" s="8" t="s">
        <v>26</v>
      </c>
      <c r="R49" s="8" t="s">
        <v>27</v>
      </c>
      <c r="S49" s="8" t="s">
        <v>28</v>
      </c>
      <c r="T49" s="8">
        <f t="shared" si="0"/>
        <v>0</v>
      </c>
      <c r="U49" t="str" cm="1">
        <f t="array" ref="U49">_xlfn.IFNA(_xlfn.IFS(Table2[[#This Row],[DEFICIT /SURPLUS]]&lt;0,"Deficit",Table2[[#This Row],[DEFICIT /SURPLUS]]&gt;0,"surplus"),"-")</f>
        <v>surplus</v>
      </c>
    </row>
    <row r="50" spans="1:21" ht="14.5">
      <c r="A50" s="8" t="s">
        <v>74</v>
      </c>
      <c r="B50" s="9">
        <v>45527</v>
      </c>
      <c r="C50" s="8" t="s">
        <v>22</v>
      </c>
      <c r="D50" s="8" t="s">
        <v>29</v>
      </c>
      <c r="E50" s="8" t="s">
        <v>40</v>
      </c>
      <c r="F50" s="31">
        <f>_xlfn.XLOOKUP(Table2[[#This Row],[Shoe style]],val[SHOE STYLE],val[UNIT PRICE])</f>
        <v>12395</v>
      </c>
      <c r="H50" s="11">
        <v>1</v>
      </c>
      <c r="I50" s="6">
        <f>IF(Table2[[#This Row],[Discount]]&lt;(Table2[[#This Row],[UNIT PRICE]]*Table2[[#This Row],[Quantity sold]]),Table2[[#This Row],[UNIT PRICE]]*Table2[[#This Row],[Quantity sold]]-Table2[[#This Row],[Discount]],0)</f>
        <v>12395</v>
      </c>
      <c r="J50" s="10">
        <v>66500</v>
      </c>
      <c r="K50" s="2">
        <f>_xlfn.XLOOKUP(Table2[[#This Row],[Shoe style]],val[SHOE STYLE],val[COST PRICE])</f>
        <v>7909</v>
      </c>
      <c r="L50" s="2">
        <f>(Table2[[#This Row],[COST PRICE]]*Table2[[#This Row],[Quantity sold]])</f>
        <v>7909</v>
      </c>
      <c r="M50" s="2">
        <f>Table2[[#This Row],[TOTAL SALES]]-Table2[[#This Row],[TOTAL COST PRICE]]</f>
        <v>4486</v>
      </c>
      <c r="N50" s="2">
        <f>IF(Table2[[#This Row],[Amount Paid]]&gt;0,(SUMIF(Table2[Order ID],Table2[[#This Row],[Order ID]],Table2[Amount Paid])-SUMIF(Table2[Order ID],Table2[[#This Row],[Order ID]],Table2[TOTAL SALES])),0)</f>
        <v>54105</v>
      </c>
      <c r="O50" s="8">
        <v>40</v>
      </c>
      <c r="P50" s="8" t="s">
        <v>25</v>
      </c>
      <c r="Q50" s="8" t="s">
        <v>54</v>
      </c>
      <c r="R50" s="8" t="s">
        <v>27</v>
      </c>
      <c r="S50" s="8" t="s">
        <v>28</v>
      </c>
      <c r="T50" s="8">
        <f t="shared" si="0"/>
        <v>0</v>
      </c>
      <c r="U50" t="str" cm="1">
        <f t="array" ref="U50">_xlfn.IFNA(_xlfn.IFS(Table2[[#This Row],[DEFICIT /SURPLUS]]&lt;0,"Deficit",Table2[[#This Row],[DEFICIT /SURPLUS]]&gt;0,"surplus"),"-")</f>
        <v>surplus</v>
      </c>
    </row>
    <row r="51" spans="1:21" ht="14.5">
      <c r="A51" s="8" t="s">
        <v>75</v>
      </c>
      <c r="B51" s="9">
        <v>45528</v>
      </c>
      <c r="C51" s="8" t="s">
        <v>22</v>
      </c>
      <c r="D51" s="8" t="s">
        <v>53</v>
      </c>
      <c r="E51" s="8" t="s">
        <v>50</v>
      </c>
      <c r="F51" s="31">
        <f>_xlfn.XLOOKUP(Table2[[#This Row],[Shoe style]],val[SHOE STYLE],val[UNIT PRICE])</f>
        <v>9838</v>
      </c>
      <c r="H51" s="11">
        <v>1</v>
      </c>
      <c r="I51" s="6">
        <f>IF(Table2[[#This Row],[Discount]]&lt;(Table2[[#This Row],[UNIT PRICE]]*Table2[[#This Row],[Quantity sold]]),Table2[[#This Row],[UNIT PRICE]]*Table2[[#This Row],[Quantity sold]]-Table2[[#This Row],[Discount]],0)</f>
        <v>9838</v>
      </c>
      <c r="J51" s="10">
        <v>15500</v>
      </c>
      <c r="K51" s="2">
        <f>_xlfn.XLOOKUP(Table2[[#This Row],[Shoe style]],val[SHOE STYLE],val[COST PRICE])</f>
        <v>6687</v>
      </c>
      <c r="L51" s="2">
        <f>(Table2[[#This Row],[COST PRICE]]*Table2[[#This Row],[Quantity sold]])</f>
        <v>6687</v>
      </c>
      <c r="M51" s="2">
        <f>Table2[[#This Row],[TOTAL SALES]]-Table2[[#This Row],[TOTAL COST PRICE]]</f>
        <v>3151</v>
      </c>
      <c r="N51" s="2">
        <f>IF(Table2[[#This Row],[Amount Paid]]&gt;0,(SUMIF(Table2[Order ID],Table2[[#This Row],[Order ID]],Table2[Amount Paid])-SUMIF(Table2[Order ID],Table2[[#This Row],[Order ID]],Table2[TOTAL SALES])),0)</f>
        <v>5662</v>
      </c>
      <c r="O51" s="8">
        <v>39</v>
      </c>
      <c r="P51" s="8" t="s">
        <v>25</v>
      </c>
      <c r="Q51" s="8" t="s">
        <v>26</v>
      </c>
      <c r="R51" s="8" t="s">
        <v>27</v>
      </c>
      <c r="S51" s="8" t="s">
        <v>28</v>
      </c>
      <c r="T51" s="8">
        <f t="shared" si="0"/>
        <v>0</v>
      </c>
      <c r="U51" t="str" cm="1">
        <f t="array" ref="U51">_xlfn.IFNA(_xlfn.IFS(Table2[[#This Row],[DEFICIT /SURPLUS]]&lt;0,"Deficit",Table2[[#This Row],[DEFICIT /SURPLUS]]&gt;0,"surplus"),"-")</f>
        <v>surplus</v>
      </c>
    </row>
    <row r="52" spans="1:21" ht="14.5">
      <c r="A52" s="8" t="s">
        <v>76</v>
      </c>
      <c r="B52" s="9">
        <v>45529</v>
      </c>
      <c r="C52" s="8" t="s">
        <v>22</v>
      </c>
      <c r="D52" s="8" t="s">
        <v>68</v>
      </c>
      <c r="E52" s="8" t="s">
        <v>24</v>
      </c>
      <c r="F52" s="31">
        <f>_xlfn.XLOOKUP(Table2[[#This Row],[Shoe style]],val[SHOE STYLE],val[UNIT PRICE])</f>
        <v>10509</v>
      </c>
      <c r="H52" s="11">
        <v>1</v>
      </c>
      <c r="I52" s="6">
        <f>IF(Table2[[#This Row],[Discount]]&lt;(Table2[[#This Row],[UNIT PRICE]]*Table2[[#This Row],[Quantity sold]]),Table2[[#This Row],[UNIT PRICE]]*Table2[[#This Row],[Quantity sold]]-Table2[[#This Row],[Discount]],0)</f>
        <v>10509</v>
      </c>
      <c r="J52" s="10">
        <v>14000</v>
      </c>
      <c r="K52" s="2">
        <f>_xlfn.XLOOKUP(Table2[[#This Row],[Shoe style]],val[SHOE STYLE],val[COST PRICE])</f>
        <v>7573</v>
      </c>
      <c r="L52" s="2">
        <f>(Table2[[#This Row],[COST PRICE]]*Table2[[#This Row],[Quantity sold]])</f>
        <v>7573</v>
      </c>
      <c r="M52" s="2">
        <f>Table2[[#This Row],[TOTAL SALES]]-Table2[[#This Row],[TOTAL COST PRICE]]</f>
        <v>2936</v>
      </c>
      <c r="N52" s="2">
        <f>IF(Table2[[#This Row],[Amount Paid]]&gt;0,(SUMIF(Table2[Order ID],Table2[[#This Row],[Order ID]],Table2[Amount Paid])-SUMIF(Table2[Order ID],Table2[[#This Row],[Order ID]],Table2[TOTAL SALES])),0)</f>
        <v>3491</v>
      </c>
      <c r="O52" s="8">
        <v>40</v>
      </c>
      <c r="P52" s="8" t="s">
        <v>25</v>
      </c>
      <c r="Q52" s="8" t="s">
        <v>26</v>
      </c>
      <c r="R52" s="8" t="s">
        <v>27</v>
      </c>
      <c r="S52" s="8" t="s">
        <v>28</v>
      </c>
      <c r="T52" s="8">
        <f t="shared" si="0"/>
        <v>0</v>
      </c>
      <c r="U52" t="str" cm="1">
        <f t="array" ref="U52">_xlfn.IFNA(_xlfn.IFS(Table2[[#This Row],[DEFICIT /SURPLUS]]&lt;0,"Deficit",Table2[[#This Row],[DEFICIT /SURPLUS]]&gt;0,"surplus"),"-")</f>
        <v>surplus</v>
      </c>
    </row>
    <row r="53" spans="1:21" ht="14.5">
      <c r="A53" s="8" t="s">
        <v>77</v>
      </c>
      <c r="B53" s="9">
        <v>45529</v>
      </c>
      <c r="C53" s="8" t="s">
        <v>22</v>
      </c>
      <c r="D53" s="8" t="s">
        <v>37</v>
      </c>
      <c r="E53" s="8" t="s">
        <v>78</v>
      </c>
      <c r="F53" s="31">
        <f>_xlfn.XLOOKUP(Table2[[#This Row],[Shoe style]],val[SHOE STYLE],val[UNIT PRICE])</f>
        <v>22728</v>
      </c>
      <c r="H53" s="11">
        <v>1</v>
      </c>
      <c r="I53" s="6">
        <f>IF(Table2[[#This Row],[Discount]]&lt;(Table2[[#This Row],[UNIT PRICE]]*Table2[[#This Row],[Quantity sold]]),Table2[[#This Row],[UNIT PRICE]]*Table2[[#This Row],[Quantity sold]]-Table2[[#This Row],[Discount]],0)</f>
        <v>22728</v>
      </c>
      <c r="J53" s="10">
        <v>30000</v>
      </c>
      <c r="K53" s="2">
        <f>_xlfn.XLOOKUP(Table2[[#This Row],[Shoe style]],val[SHOE STYLE],val[COST PRICE])</f>
        <v>20451</v>
      </c>
      <c r="L53" s="2">
        <f>(Table2[[#This Row],[COST PRICE]]*Table2[[#This Row],[Quantity sold]])</f>
        <v>20451</v>
      </c>
      <c r="M53" s="2">
        <f>Table2[[#This Row],[TOTAL SALES]]-Table2[[#This Row],[TOTAL COST PRICE]]</f>
        <v>2277</v>
      </c>
      <c r="N53" s="2">
        <f>IF(Table2[[#This Row],[Amount Paid]]&gt;0,(SUMIF(Table2[Order ID],Table2[[#This Row],[Order ID]],Table2[Amount Paid])-SUMIF(Table2[Order ID],Table2[[#This Row],[Order ID]],Table2[TOTAL SALES])),0)</f>
        <v>-3237</v>
      </c>
      <c r="O53" s="8">
        <v>40</v>
      </c>
      <c r="P53" s="8" t="s">
        <v>25</v>
      </c>
      <c r="Q53" s="8" t="s">
        <v>26</v>
      </c>
      <c r="R53" s="8" t="s">
        <v>27</v>
      </c>
      <c r="S53" s="8" t="s">
        <v>28</v>
      </c>
      <c r="T53" s="8">
        <f t="shared" si="0"/>
        <v>0</v>
      </c>
      <c r="U53" t="str" cm="1">
        <f t="array" ref="U53">_xlfn.IFNA(_xlfn.IFS(Table2[[#This Row],[DEFICIT /SURPLUS]]&lt;0,"Deficit",Table2[[#This Row],[DEFICIT /SURPLUS]]&gt;0,"surplus"),"-")</f>
        <v>Deficit</v>
      </c>
    </row>
    <row r="54" spans="1:21" ht="14.5">
      <c r="A54" s="8" t="s">
        <v>77</v>
      </c>
      <c r="B54" s="9">
        <v>45529</v>
      </c>
      <c r="C54" s="8" t="s">
        <v>22</v>
      </c>
      <c r="D54" s="8" t="s">
        <v>68</v>
      </c>
      <c r="E54" s="8" t="s">
        <v>78</v>
      </c>
      <c r="F54" s="31">
        <f>_xlfn.XLOOKUP(Table2[[#This Row],[Shoe style]],val[SHOE STYLE],val[UNIT PRICE])</f>
        <v>10509</v>
      </c>
      <c r="H54" s="11">
        <v>1</v>
      </c>
      <c r="I54" s="6">
        <f>IF(Table2[[#This Row],[Discount]]&lt;(Table2[[#This Row],[UNIT PRICE]]*Table2[[#This Row],[Quantity sold]]),Table2[[#This Row],[UNIT PRICE]]*Table2[[#This Row],[Quantity sold]]-Table2[[#This Row],[Discount]],0)</f>
        <v>10509</v>
      </c>
      <c r="K54" s="2">
        <f>_xlfn.XLOOKUP(Table2[[#This Row],[Shoe style]],val[SHOE STYLE],val[COST PRICE])</f>
        <v>7573</v>
      </c>
      <c r="L54" s="2">
        <f>(Table2[[#This Row],[COST PRICE]]*Table2[[#This Row],[Quantity sold]])</f>
        <v>7573</v>
      </c>
      <c r="M54" s="2">
        <f>Table2[[#This Row],[TOTAL SALES]]-Table2[[#This Row],[TOTAL COST PRICE]]</f>
        <v>2936</v>
      </c>
      <c r="N54" s="2">
        <f>IF(Table2[[#This Row],[Amount Paid]]&gt;0,(SUMIF(Table2[Order ID],Table2[[#This Row],[Order ID]],Table2[Amount Paid])-SUMIF(Table2[Order ID],Table2[[#This Row],[Order ID]],Table2[TOTAL SALES])),0)</f>
        <v>0</v>
      </c>
      <c r="O54" s="8">
        <v>40</v>
      </c>
      <c r="P54" s="8" t="s">
        <v>25</v>
      </c>
      <c r="Q54" s="8" t="s">
        <v>26</v>
      </c>
      <c r="R54" s="8" t="s">
        <v>27</v>
      </c>
      <c r="S54" s="8" t="s">
        <v>28</v>
      </c>
      <c r="T54" s="8">
        <f t="shared" si="0"/>
        <v>0</v>
      </c>
      <c r="U54" t="str" cm="1">
        <f t="array" ref="U54">_xlfn.IFNA(_xlfn.IFS(Table2[[#This Row],[DEFICIT /SURPLUS]]&lt;0,"Deficit",Table2[[#This Row],[DEFICIT /SURPLUS]]&gt;0,"surplus"),"-")</f>
        <v>-</v>
      </c>
    </row>
    <row r="55" spans="1:21" ht="14.5">
      <c r="A55" s="8" t="s">
        <v>79</v>
      </c>
      <c r="B55" s="9">
        <v>45529</v>
      </c>
      <c r="C55" s="8" t="s">
        <v>22</v>
      </c>
      <c r="D55" s="8" t="s">
        <v>42</v>
      </c>
      <c r="E55" s="8" t="s">
        <v>24</v>
      </c>
      <c r="F55" s="31">
        <f>_xlfn.XLOOKUP(Table2[[#This Row],[Shoe style]],val[SHOE STYLE],val[UNIT PRICE])</f>
        <v>17614</v>
      </c>
      <c r="H55" s="11">
        <v>1</v>
      </c>
      <c r="I55" s="6">
        <f>IF(Table2[[#This Row],[Discount]]&lt;(Table2[[#This Row],[UNIT PRICE]]*Table2[[#This Row],[Quantity sold]]),Table2[[#This Row],[UNIT PRICE]]*Table2[[#This Row],[Quantity sold]]-Table2[[#This Row],[Discount]],0)</f>
        <v>17614</v>
      </c>
      <c r="J55" s="10">
        <v>17500</v>
      </c>
      <c r="K55" s="2">
        <f>_xlfn.XLOOKUP(Table2[[#This Row],[Shoe style]],val[SHOE STYLE],val[COST PRICE])</f>
        <v>14912</v>
      </c>
      <c r="L55" s="2">
        <f>(Table2[[#This Row],[COST PRICE]]*Table2[[#This Row],[Quantity sold]])</f>
        <v>14912</v>
      </c>
      <c r="M55" s="2">
        <f>Table2[[#This Row],[TOTAL SALES]]-Table2[[#This Row],[TOTAL COST PRICE]]</f>
        <v>2702</v>
      </c>
      <c r="N55" s="2">
        <f>IF(Table2[[#This Row],[Amount Paid]]&gt;0,(SUMIF(Table2[Order ID],Table2[[#This Row],[Order ID]],Table2[Amount Paid])-SUMIF(Table2[Order ID],Table2[[#This Row],[Order ID]],Table2[TOTAL SALES])),0)</f>
        <v>-114</v>
      </c>
      <c r="O55" s="8">
        <v>40</v>
      </c>
      <c r="P55" s="8" t="s">
        <v>25</v>
      </c>
      <c r="Q55" s="8" t="s">
        <v>26</v>
      </c>
      <c r="R55" s="8" t="s">
        <v>27</v>
      </c>
      <c r="S55" s="8" t="s">
        <v>28</v>
      </c>
      <c r="T55" s="8">
        <f t="shared" si="0"/>
        <v>0</v>
      </c>
      <c r="U55" t="str" cm="1">
        <f t="array" ref="U55">_xlfn.IFNA(_xlfn.IFS(Table2[[#This Row],[DEFICIT /SURPLUS]]&lt;0,"Deficit",Table2[[#This Row],[DEFICIT /SURPLUS]]&gt;0,"surplus"),"-")</f>
        <v>Deficit</v>
      </c>
    </row>
    <row r="56" spans="1:21" ht="14.5">
      <c r="A56" s="8" t="s">
        <v>80</v>
      </c>
      <c r="B56" s="9">
        <v>45529</v>
      </c>
      <c r="C56" s="8" t="s">
        <v>22</v>
      </c>
      <c r="D56" s="8" t="s">
        <v>53</v>
      </c>
      <c r="E56" s="8" t="s">
        <v>30</v>
      </c>
      <c r="F56" s="31">
        <f>_xlfn.XLOOKUP(Table2[[#This Row],[Shoe style]],val[SHOE STYLE],val[UNIT PRICE])</f>
        <v>9838</v>
      </c>
      <c r="H56" s="11">
        <v>1</v>
      </c>
      <c r="I56" s="6">
        <f>IF(Table2[[#This Row],[Discount]]&lt;(Table2[[#This Row],[UNIT PRICE]]*Table2[[#This Row],[Quantity sold]]),Table2[[#This Row],[UNIT PRICE]]*Table2[[#This Row],[Quantity sold]]-Table2[[#This Row],[Discount]],0)</f>
        <v>9838</v>
      </c>
      <c r="J56" s="10">
        <v>13500</v>
      </c>
      <c r="K56" s="2">
        <f>_xlfn.XLOOKUP(Table2[[#This Row],[Shoe style]],val[SHOE STYLE],val[COST PRICE])</f>
        <v>6687</v>
      </c>
      <c r="L56" s="2">
        <f>(Table2[[#This Row],[COST PRICE]]*Table2[[#This Row],[Quantity sold]])</f>
        <v>6687</v>
      </c>
      <c r="M56" s="2">
        <f>Table2[[#This Row],[TOTAL SALES]]-Table2[[#This Row],[TOTAL COST PRICE]]</f>
        <v>3151</v>
      </c>
      <c r="N56" s="2">
        <f>IF(Table2[[#This Row],[Amount Paid]]&gt;0,(SUMIF(Table2[Order ID],Table2[[#This Row],[Order ID]],Table2[Amount Paid])-SUMIF(Table2[Order ID],Table2[[#This Row],[Order ID]],Table2[TOTAL SALES])),0)</f>
        <v>3662</v>
      </c>
      <c r="O56" s="8">
        <v>40</v>
      </c>
      <c r="P56" s="8" t="s">
        <v>25</v>
      </c>
      <c r="Q56" s="8" t="s">
        <v>26</v>
      </c>
      <c r="R56" s="8" t="s">
        <v>44</v>
      </c>
      <c r="S56" s="8" t="s">
        <v>28</v>
      </c>
      <c r="T56" s="8">
        <f t="shared" si="0"/>
        <v>0</v>
      </c>
      <c r="U56" t="str" cm="1">
        <f t="array" ref="U56">_xlfn.IFNA(_xlfn.IFS(Table2[[#This Row],[DEFICIT /SURPLUS]]&lt;0,"Deficit",Table2[[#This Row],[DEFICIT /SURPLUS]]&gt;0,"surplus"),"-")</f>
        <v>surplus</v>
      </c>
    </row>
    <row r="57" spans="1:21" ht="14.5">
      <c r="A57" s="8" t="s">
        <v>81</v>
      </c>
      <c r="B57" s="9">
        <v>45529</v>
      </c>
      <c r="C57" s="8" t="s">
        <v>22</v>
      </c>
      <c r="D57" s="8" t="s">
        <v>53</v>
      </c>
      <c r="E57" s="8" t="s">
        <v>30</v>
      </c>
      <c r="F57" s="31">
        <f>_xlfn.XLOOKUP(Table2[[#This Row],[Shoe style]],val[SHOE STYLE],val[UNIT PRICE])</f>
        <v>9838</v>
      </c>
      <c r="H57" s="11">
        <v>1</v>
      </c>
      <c r="I57" s="6">
        <f>IF(Table2[[#This Row],[Discount]]&lt;(Table2[[#This Row],[UNIT PRICE]]*Table2[[#This Row],[Quantity sold]]),Table2[[#This Row],[UNIT PRICE]]*Table2[[#This Row],[Quantity sold]]-Table2[[#This Row],[Discount]],0)</f>
        <v>9838</v>
      </c>
      <c r="J57" s="10">
        <v>27000</v>
      </c>
      <c r="K57" s="2">
        <f>_xlfn.XLOOKUP(Table2[[#This Row],[Shoe style]],val[SHOE STYLE],val[COST PRICE])</f>
        <v>6687</v>
      </c>
      <c r="L57" s="2">
        <f>(Table2[[#This Row],[COST PRICE]]*Table2[[#This Row],[Quantity sold]])</f>
        <v>6687</v>
      </c>
      <c r="M57" s="2">
        <f>Table2[[#This Row],[TOTAL SALES]]-Table2[[#This Row],[TOTAL COST PRICE]]</f>
        <v>3151</v>
      </c>
      <c r="N57" s="2">
        <f>IF(Table2[[#This Row],[Amount Paid]]&gt;0,(SUMIF(Table2[Order ID],Table2[[#This Row],[Order ID]],Table2[Amount Paid])-SUMIF(Table2[Order ID],Table2[[#This Row],[Order ID]],Table2[TOTAL SALES])),0)</f>
        <v>17162</v>
      </c>
      <c r="O57" s="8">
        <v>40</v>
      </c>
      <c r="P57" s="8" t="s">
        <v>25</v>
      </c>
      <c r="Q57" s="8" t="s">
        <v>26</v>
      </c>
      <c r="R57" s="8" t="s">
        <v>44</v>
      </c>
      <c r="S57" s="8" t="s">
        <v>28</v>
      </c>
      <c r="T57" s="8">
        <f t="shared" si="0"/>
        <v>0</v>
      </c>
      <c r="U57" t="str" cm="1">
        <f t="array" ref="U57">_xlfn.IFNA(_xlfn.IFS(Table2[[#This Row],[DEFICIT /SURPLUS]]&lt;0,"Deficit",Table2[[#This Row],[DEFICIT /SURPLUS]]&gt;0,"surplus"),"-")</f>
        <v>surplus</v>
      </c>
    </row>
    <row r="58" spans="1:21" ht="14.5">
      <c r="A58" s="8" t="s">
        <v>82</v>
      </c>
      <c r="B58" s="9">
        <v>45535</v>
      </c>
      <c r="C58" s="8" t="s">
        <v>83</v>
      </c>
      <c r="D58" s="8" t="s">
        <v>53</v>
      </c>
      <c r="E58" s="8" t="s">
        <v>30</v>
      </c>
      <c r="F58" s="31">
        <f>_xlfn.XLOOKUP(Table2[[#This Row],[Shoe style]],val[SHOE STYLE],val[UNIT PRICE])</f>
        <v>9838</v>
      </c>
      <c r="H58" s="11">
        <v>1</v>
      </c>
      <c r="I58" s="6">
        <f>IF(Table2[[#This Row],[Discount]]&lt;(Table2[[#This Row],[UNIT PRICE]]*Table2[[#This Row],[Quantity sold]]),Table2[[#This Row],[UNIT PRICE]]*Table2[[#This Row],[Quantity sold]]-Table2[[#This Row],[Discount]],0)</f>
        <v>9838</v>
      </c>
      <c r="J58" s="10">
        <v>34606</v>
      </c>
      <c r="K58" s="2">
        <f>_xlfn.XLOOKUP(Table2[[#This Row],[Shoe style]],val[SHOE STYLE],val[COST PRICE])</f>
        <v>6687</v>
      </c>
      <c r="L58" s="2">
        <f>(Table2[[#This Row],[COST PRICE]]*Table2[[#This Row],[Quantity sold]])</f>
        <v>6687</v>
      </c>
      <c r="M58" s="2">
        <f>Table2[[#This Row],[TOTAL SALES]]-Table2[[#This Row],[TOTAL COST PRICE]]</f>
        <v>3151</v>
      </c>
      <c r="N58" s="2">
        <f>IF(Table2[[#This Row],[Amount Paid]]&gt;0,(SUMIF(Table2[Order ID],Table2[[#This Row],[Order ID]],Table2[Amount Paid])-SUMIF(Table2[Order ID],Table2[[#This Row],[Order ID]],Table2[TOTAL SALES])),0)</f>
        <v>24768</v>
      </c>
      <c r="O58" s="8">
        <v>40</v>
      </c>
      <c r="P58" s="8" t="s">
        <v>25</v>
      </c>
      <c r="Q58" s="8" t="s">
        <v>26</v>
      </c>
      <c r="R58" s="8" t="s">
        <v>27</v>
      </c>
      <c r="S58" s="8" t="s">
        <v>28</v>
      </c>
      <c r="T58" s="8">
        <f t="shared" si="0"/>
        <v>0</v>
      </c>
      <c r="U58" t="str" cm="1">
        <f t="array" ref="U58">_xlfn.IFNA(_xlfn.IFS(Table2[[#This Row],[DEFICIT /SURPLUS]]&lt;0,"Deficit",Table2[[#This Row],[DEFICIT /SURPLUS]]&gt;0,"surplus"),"-")</f>
        <v>surplus</v>
      </c>
    </row>
    <row r="59" spans="1:21" ht="15.75" customHeight="1">
      <c r="A59" s="8" t="s">
        <v>84</v>
      </c>
      <c r="B59" s="9">
        <v>45535</v>
      </c>
      <c r="C59" s="8" t="s">
        <v>85</v>
      </c>
      <c r="D59" s="8" t="s">
        <v>71</v>
      </c>
      <c r="E59" s="8" t="s">
        <v>24</v>
      </c>
      <c r="F59" s="31">
        <f>_xlfn.XLOOKUP(Table2[[#This Row],[Shoe style]],val[SHOE STYLE],val[UNIT PRICE])</f>
        <v>14873</v>
      </c>
      <c r="H59" s="11">
        <v>1</v>
      </c>
      <c r="I59" s="6">
        <f>IF(Table2[[#This Row],[Discount]]&lt;(Table2[[#This Row],[UNIT PRICE]]*Table2[[#This Row],[Quantity sold]]),Table2[[#This Row],[UNIT PRICE]]*Table2[[#This Row],[Quantity sold]]-Table2[[#This Row],[Discount]],0)</f>
        <v>14873</v>
      </c>
      <c r="J59" s="10">
        <v>36012.5</v>
      </c>
      <c r="K59" s="2">
        <f>_xlfn.XLOOKUP(Table2[[#This Row],[Shoe style]],val[SHOE STYLE],val[COST PRICE])</f>
        <v>11503</v>
      </c>
      <c r="L59" s="2">
        <f>(Table2[[#This Row],[COST PRICE]]*Table2[[#This Row],[Quantity sold]])</f>
        <v>11503</v>
      </c>
      <c r="M59" s="2">
        <f>Table2[[#This Row],[TOTAL SALES]]-Table2[[#This Row],[TOTAL COST PRICE]]</f>
        <v>3370</v>
      </c>
      <c r="N59" s="2">
        <f>IF(Table2[[#This Row],[Amount Paid]]&gt;0,(SUMIF(Table2[Order ID],Table2[[#This Row],[Order ID]],Table2[Amount Paid])-SUMIF(Table2[Order ID],Table2[[#This Row],[Order ID]],Table2[TOTAL SALES])),0)</f>
        <v>2600.5</v>
      </c>
      <c r="O59" s="8">
        <v>42</v>
      </c>
      <c r="P59" s="8" t="s">
        <v>25</v>
      </c>
      <c r="Q59" s="8" t="s">
        <v>54</v>
      </c>
      <c r="R59" s="8" t="s">
        <v>27</v>
      </c>
      <c r="S59" s="8" t="s">
        <v>28</v>
      </c>
      <c r="T59" s="8">
        <f t="shared" si="0"/>
        <v>0</v>
      </c>
      <c r="U59" t="str" cm="1">
        <f t="array" ref="U59">_xlfn.IFNA(_xlfn.IFS(Table2[[#This Row],[DEFICIT /SURPLUS]]&lt;0,"Deficit",Table2[[#This Row],[DEFICIT /SURPLUS]]&gt;0,"surplus"),"-")</f>
        <v>surplus</v>
      </c>
    </row>
    <row r="60" spans="1:21" ht="15.75" customHeight="1">
      <c r="A60" s="8" t="s">
        <v>84</v>
      </c>
      <c r="B60" s="9">
        <v>45535</v>
      </c>
      <c r="C60" s="8" t="s">
        <v>85</v>
      </c>
      <c r="D60" s="8" t="s">
        <v>86</v>
      </c>
      <c r="E60" s="8" t="s">
        <v>87</v>
      </c>
      <c r="F60" s="31">
        <f>_xlfn.XLOOKUP(Table2[[#This Row],[Shoe style]],val[SHOE STYLE],val[UNIT PRICE])</f>
        <v>18539</v>
      </c>
      <c r="H60" s="11">
        <v>1</v>
      </c>
      <c r="I60" s="6">
        <f>IF(Table2[[#This Row],[Discount]]&lt;(Table2[[#This Row],[UNIT PRICE]]*Table2[[#This Row],[Quantity sold]]),Table2[[#This Row],[UNIT PRICE]]*Table2[[#This Row],[Quantity sold]]-Table2[[#This Row],[Discount]],0)</f>
        <v>18539</v>
      </c>
      <c r="K60" s="2">
        <f>_xlfn.XLOOKUP(Table2[[#This Row],[Shoe style]],val[SHOE STYLE],val[COST PRICE])</f>
        <v>15497</v>
      </c>
      <c r="L60" s="2">
        <f>(Table2[[#This Row],[COST PRICE]]*Table2[[#This Row],[Quantity sold]])</f>
        <v>15497</v>
      </c>
      <c r="M60" s="2">
        <f>Table2[[#This Row],[TOTAL SALES]]-Table2[[#This Row],[TOTAL COST PRICE]]</f>
        <v>3042</v>
      </c>
      <c r="N60" s="2">
        <f>IF(Table2[[#This Row],[Amount Paid]]&gt;0,(SUMIF(Table2[Order ID],Table2[[#This Row],[Order ID]],Table2[Amount Paid])-SUMIF(Table2[Order ID],Table2[[#This Row],[Order ID]],Table2[TOTAL SALES])),0)</f>
        <v>0</v>
      </c>
      <c r="O60" s="8">
        <v>42</v>
      </c>
      <c r="P60" s="8" t="s">
        <v>25</v>
      </c>
      <c r="Q60" s="8" t="s">
        <v>54</v>
      </c>
      <c r="R60" s="8" t="s">
        <v>27</v>
      </c>
      <c r="S60" s="8" t="s">
        <v>28</v>
      </c>
      <c r="T60" s="8">
        <f t="shared" si="0"/>
        <v>0</v>
      </c>
      <c r="U60" t="str" cm="1">
        <f t="array" ref="U60">_xlfn.IFNA(_xlfn.IFS(Table2[[#This Row],[DEFICIT /SURPLUS]]&lt;0,"Deficit",Table2[[#This Row],[DEFICIT /SURPLUS]]&gt;0,"surplus"),"-")</f>
        <v>-</v>
      </c>
    </row>
    <row r="61" spans="1:21" ht="20.25" customHeight="1">
      <c r="A61" s="8" t="s">
        <v>88</v>
      </c>
      <c r="B61" s="9">
        <v>45535</v>
      </c>
      <c r="C61" s="8" t="s">
        <v>22</v>
      </c>
      <c r="D61" s="8" t="s">
        <v>29</v>
      </c>
      <c r="E61" s="8" t="s">
        <v>89</v>
      </c>
      <c r="F61" s="31">
        <f>_xlfn.XLOOKUP(Table2[[#This Row],[Shoe style]],val[SHOE STYLE],val[UNIT PRICE])</f>
        <v>12395</v>
      </c>
      <c r="H61" s="11">
        <v>1</v>
      </c>
      <c r="I61" s="6">
        <f>IF(Table2[[#This Row],[Discount]]&lt;(Table2[[#This Row],[UNIT PRICE]]*Table2[[#This Row],[Quantity sold]]),Table2[[#This Row],[UNIT PRICE]]*Table2[[#This Row],[Quantity sold]]-Table2[[#This Row],[Discount]],0)</f>
        <v>12395</v>
      </c>
      <c r="J61" s="10">
        <v>40500</v>
      </c>
      <c r="K61" s="2">
        <f>_xlfn.XLOOKUP(Table2[[#This Row],[Shoe style]],val[SHOE STYLE],val[COST PRICE])</f>
        <v>7909</v>
      </c>
      <c r="L61" s="2">
        <f>(Table2[[#This Row],[COST PRICE]]*Table2[[#This Row],[Quantity sold]])</f>
        <v>7909</v>
      </c>
      <c r="M61" s="2">
        <f>Table2[[#This Row],[TOTAL SALES]]-Table2[[#This Row],[TOTAL COST PRICE]]</f>
        <v>4486</v>
      </c>
      <c r="N61" s="2">
        <f>IF(Table2[[#This Row],[Amount Paid]]&gt;0,(SUMIF(Table2[Order ID],Table2[[#This Row],[Order ID]],Table2[Amount Paid])-SUMIF(Table2[Order ID],Table2[[#This Row],[Order ID]],Table2[TOTAL SALES])),0)</f>
        <v>28105</v>
      </c>
      <c r="O61" s="8">
        <v>42</v>
      </c>
      <c r="P61" s="8" t="s">
        <v>25</v>
      </c>
      <c r="Q61" s="8" t="s">
        <v>54</v>
      </c>
      <c r="R61" s="8" t="s">
        <v>27</v>
      </c>
      <c r="S61" s="8" t="s">
        <v>28</v>
      </c>
      <c r="T61" s="8">
        <f t="shared" si="0"/>
        <v>0</v>
      </c>
      <c r="U61" t="str" cm="1">
        <f t="array" ref="U61">_xlfn.IFNA(_xlfn.IFS(Table2[[#This Row],[DEFICIT /SURPLUS]]&lt;0,"Deficit",Table2[[#This Row],[DEFICIT /SURPLUS]]&gt;0,"surplus"),"-")</f>
        <v>surplus</v>
      </c>
    </row>
    <row r="62" spans="1:21" ht="14.5">
      <c r="A62" s="8" t="s">
        <v>90</v>
      </c>
      <c r="B62" s="9">
        <v>45536</v>
      </c>
      <c r="C62" s="8" t="s">
        <v>91</v>
      </c>
      <c r="D62" s="8" t="s">
        <v>92</v>
      </c>
      <c r="E62" s="8" t="s">
        <v>50</v>
      </c>
      <c r="F62" s="31">
        <f>_xlfn.XLOOKUP(Table2[[#This Row],[Shoe style]],val[SHOE STYLE],val[UNIT PRICE])</f>
        <v>12107</v>
      </c>
      <c r="H62" s="11">
        <v>1</v>
      </c>
      <c r="I62" s="6">
        <f>IF(Table2[[#This Row],[Discount]]&lt;(Table2[[#This Row],[UNIT PRICE]]*Table2[[#This Row],[Quantity sold]]),Table2[[#This Row],[UNIT PRICE]]*Table2[[#This Row],[Quantity sold]]-Table2[[#This Row],[Discount]],0)</f>
        <v>12107</v>
      </c>
      <c r="J62" s="10">
        <v>41000</v>
      </c>
      <c r="K62" s="2">
        <f>_xlfn.XLOOKUP(Table2[[#This Row],[Shoe style]],val[SHOE STYLE],val[COST PRICE])</f>
        <v>9752</v>
      </c>
      <c r="L62" s="2">
        <f>(Table2[[#This Row],[COST PRICE]]*Table2[[#This Row],[Quantity sold]])</f>
        <v>9752</v>
      </c>
      <c r="M62" s="2">
        <f>Table2[[#This Row],[TOTAL SALES]]-Table2[[#This Row],[TOTAL COST PRICE]]</f>
        <v>2355</v>
      </c>
      <c r="N62" s="2">
        <f>IF(Table2[[#This Row],[Amount Paid]]&gt;0,(SUMIF(Table2[Order ID],Table2[[#This Row],[Order ID]],Table2[Amount Paid])-SUMIF(Table2[Order ID],Table2[[#This Row],[Order ID]],Table2[TOTAL SALES])),0)</f>
        <v>5989</v>
      </c>
      <c r="O62" s="8">
        <v>42</v>
      </c>
      <c r="P62" s="8" t="s">
        <v>93</v>
      </c>
      <c r="Q62" s="8" t="s">
        <v>26</v>
      </c>
      <c r="R62" s="8" t="s">
        <v>27</v>
      </c>
      <c r="S62" s="8" t="s">
        <v>28</v>
      </c>
      <c r="T62" s="8">
        <f t="shared" si="0"/>
        <v>0</v>
      </c>
      <c r="U62" t="str" cm="1">
        <f t="array" ref="U62">_xlfn.IFNA(_xlfn.IFS(Table2[[#This Row],[DEFICIT /SURPLUS]]&lt;0,"Deficit",Table2[[#This Row],[DEFICIT /SURPLUS]]&gt;0,"surplus"),"-")</f>
        <v>surplus</v>
      </c>
    </row>
    <row r="63" spans="1:21" ht="14.5">
      <c r="A63" s="8" t="s">
        <v>90</v>
      </c>
      <c r="B63" s="9">
        <v>45536</v>
      </c>
      <c r="C63" s="8" t="s">
        <v>91</v>
      </c>
      <c r="D63" s="8" t="s">
        <v>68</v>
      </c>
      <c r="E63" s="8" t="s">
        <v>61</v>
      </c>
      <c r="F63" s="31">
        <f>_xlfn.XLOOKUP(Table2[[#This Row],[Shoe style]],val[SHOE STYLE],val[UNIT PRICE])</f>
        <v>10509</v>
      </c>
      <c r="H63" s="11">
        <v>1</v>
      </c>
      <c r="I63" s="6">
        <f>IF(Table2[[#This Row],[Discount]]&lt;(Table2[[#This Row],[UNIT PRICE]]*Table2[[#This Row],[Quantity sold]]),Table2[[#This Row],[UNIT PRICE]]*Table2[[#This Row],[Quantity sold]]-Table2[[#This Row],[Discount]],0)</f>
        <v>10509</v>
      </c>
      <c r="K63" s="2">
        <f>_xlfn.XLOOKUP(Table2[[#This Row],[Shoe style]],val[SHOE STYLE],val[COST PRICE])</f>
        <v>7573</v>
      </c>
      <c r="L63" s="2">
        <f>(Table2[[#This Row],[COST PRICE]]*Table2[[#This Row],[Quantity sold]])</f>
        <v>7573</v>
      </c>
      <c r="M63" s="2">
        <f>Table2[[#This Row],[TOTAL SALES]]-Table2[[#This Row],[TOTAL COST PRICE]]</f>
        <v>2936</v>
      </c>
      <c r="N63" s="2">
        <f>IF(Table2[[#This Row],[Amount Paid]]&gt;0,(SUMIF(Table2[Order ID],Table2[[#This Row],[Order ID]],Table2[Amount Paid])-SUMIF(Table2[Order ID],Table2[[#This Row],[Order ID]],Table2[TOTAL SALES])),0)</f>
        <v>0</v>
      </c>
      <c r="O63" s="8">
        <v>42</v>
      </c>
      <c r="P63" s="8" t="s">
        <v>93</v>
      </c>
      <c r="Q63" s="8" t="s">
        <v>26</v>
      </c>
      <c r="R63" s="8" t="s">
        <v>27</v>
      </c>
      <c r="S63" s="8" t="s">
        <v>28</v>
      </c>
      <c r="T63" s="8">
        <f t="shared" si="0"/>
        <v>0</v>
      </c>
      <c r="U63" t="str" cm="1">
        <f t="array" ref="U63">_xlfn.IFNA(_xlfn.IFS(Table2[[#This Row],[DEFICIT /SURPLUS]]&lt;0,"Deficit",Table2[[#This Row],[DEFICIT /SURPLUS]]&gt;0,"surplus"),"-")</f>
        <v>-</v>
      </c>
    </row>
    <row r="64" spans="1:21" ht="14.5">
      <c r="A64" s="8" t="s">
        <v>90</v>
      </c>
      <c r="B64" s="9">
        <v>45536</v>
      </c>
      <c r="C64" s="8" t="s">
        <v>91</v>
      </c>
      <c r="D64" s="8" t="s">
        <v>29</v>
      </c>
      <c r="E64" s="8" t="s">
        <v>24</v>
      </c>
      <c r="F64" s="31">
        <f>_xlfn.XLOOKUP(Table2[[#This Row],[Shoe style]],val[SHOE STYLE],val[UNIT PRICE])</f>
        <v>12395</v>
      </c>
      <c r="H64" s="11">
        <v>1</v>
      </c>
      <c r="I64" s="6">
        <f>IF(Table2[[#This Row],[Discount]]&lt;(Table2[[#This Row],[UNIT PRICE]]*Table2[[#This Row],[Quantity sold]]),Table2[[#This Row],[UNIT PRICE]]*Table2[[#This Row],[Quantity sold]]-Table2[[#This Row],[Discount]],0)</f>
        <v>12395</v>
      </c>
      <c r="K64" s="2">
        <f>_xlfn.XLOOKUP(Table2[[#This Row],[Shoe style]],val[SHOE STYLE],val[COST PRICE])</f>
        <v>7909</v>
      </c>
      <c r="L64" s="2">
        <f>(Table2[[#This Row],[COST PRICE]]*Table2[[#This Row],[Quantity sold]])</f>
        <v>7909</v>
      </c>
      <c r="M64" s="2">
        <f>Table2[[#This Row],[TOTAL SALES]]-Table2[[#This Row],[TOTAL COST PRICE]]</f>
        <v>4486</v>
      </c>
      <c r="N64" s="2">
        <f>IF(Table2[[#This Row],[Amount Paid]]&gt;0,(SUMIF(Table2[Order ID],Table2[[#This Row],[Order ID]],Table2[Amount Paid])-SUMIF(Table2[Order ID],Table2[[#This Row],[Order ID]],Table2[TOTAL SALES])),0)</f>
        <v>0</v>
      </c>
      <c r="O64" s="8">
        <v>42</v>
      </c>
      <c r="P64" s="8" t="s">
        <v>93</v>
      </c>
      <c r="Q64" s="8" t="s">
        <v>26</v>
      </c>
      <c r="R64" s="8" t="s">
        <v>27</v>
      </c>
      <c r="S64" s="8" t="s">
        <v>28</v>
      </c>
      <c r="T64" s="8">
        <f t="shared" si="0"/>
        <v>0</v>
      </c>
      <c r="U64" t="str" cm="1">
        <f t="array" ref="U64">_xlfn.IFNA(_xlfn.IFS(Table2[[#This Row],[DEFICIT /SURPLUS]]&lt;0,"Deficit",Table2[[#This Row],[DEFICIT /SURPLUS]]&gt;0,"surplus"),"-")</f>
        <v>-</v>
      </c>
    </row>
    <row r="65" spans="1:21" ht="14.5">
      <c r="A65" s="8" t="s">
        <v>94</v>
      </c>
      <c r="B65" s="9">
        <v>45536</v>
      </c>
      <c r="C65" s="8" t="s">
        <v>95</v>
      </c>
      <c r="D65" s="8" t="s">
        <v>49</v>
      </c>
      <c r="E65" s="8" t="s">
        <v>96</v>
      </c>
      <c r="F65" s="31">
        <f>_xlfn.XLOOKUP(Table2[[#This Row],[Shoe style]],val[SHOE STYLE],val[UNIT PRICE])</f>
        <v>20500</v>
      </c>
      <c r="H65" s="11">
        <v>1</v>
      </c>
      <c r="I65" s="6">
        <f>IF(Table2[[#This Row],[Discount]]&lt;(Table2[[#This Row],[UNIT PRICE]]*Table2[[#This Row],[Quantity sold]]),Table2[[#This Row],[UNIT PRICE]]*Table2[[#This Row],[Quantity sold]]-Table2[[#This Row],[Discount]],0)</f>
        <v>20500</v>
      </c>
      <c r="J65" s="10">
        <v>14500</v>
      </c>
      <c r="K65" s="2">
        <f>_xlfn.XLOOKUP(Table2[[#This Row],[Shoe style]],val[SHOE STYLE],val[COST PRICE])</f>
        <v>17339</v>
      </c>
      <c r="L65" s="2">
        <f>(Table2[[#This Row],[COST PRICE]]*Table2[[#This Row],[Quantity sold]])</f>
        <v>17339</v>
      </c>
      <c r="M65" s="2">
        <f>Table2[[#This Row],[TOTAL SALES]]-Table2[[#This Row],[TOTAL COST PRICE]]</f>
        <v>3161</v>
      </c>
      <c r="N65" s="2">
        <f>IF(Table2[[#This Row],[Amount Paid]]&gt;0,(SUMIF(Table2[Order ID],Table2[[#This Row],[Order ID]],Table2[Amount Paid])-SUMIF(Table2[Order ID],Table2[[#This Row],[Order ID]],Table2[TOTAL SALES])),0)</f>
        <v>-6000</v>
      </c>
      <c r="O65" s="8">
        <v>37</v>
      </c>
      <c r="P65" s="8" t="s">
        <v>25</v>
      </c>
      <c r="Q65" s="8" t="s">
        <v>26</v>
      </c>
      <c r="R65" s="8" t="s">
        <v>27</v>
      </c>
      <c r="S65" s="8" t="s">
        <v>28</v>
      </c>
      <c r="T65" s="8">
        <f t="shared" ref="T65:T126" si="1">IF(S65="NO",1,0)</f>
        <v>0</v>
      </c>
      <c r="U65" t="str" cm="1">
        <f t="array" ref="U65">_xlfn.IFNA(_xlfn.IFS(Table2[[#This Row],[DEFICIT /SURPLUS]]&lt;0,"Deficit",Table2[[#This Row],[DEFICIT /SURPLUS]]&gt;0,"surplus"),"-")</f>
        <v>Deficit</v>
      </c>
    </row>
    <row r="66" spans="1:21" ht="14.5">
      <c r="A66" s="8" t="s">
        <v>97</v>
      </c>
      <c r="B66" s="9">
        <v>45538</v>
      </c>
      <c r="C66" s="8" t="s">
        <v>98</v>
      </c>
      <c r="D66" s="8" t="s">
        <v>68</v>
      </c>
      <c r="E66" s="8" t="s">
        <v>43</v>
      </c>
      <c r="F66" s="31">
        <f>_xlfn.XLOOKUP(Table2[[#This Row],[Shoe style]],val[SHOE STYLE],val[UNIT PRICE])</f>
        <v>10509</v>
      </c>
      <c r="H66" s="11">
        <v>1</v>
      </c>
      <c r="I66" s="6">
        <f>IF(Table2[[#This Row],[Discount]]&lt;(Table2[[#This Row],[UNIT PRICE]]*Table2[[#This Row],[Quantity sold]]),Table2[[#This Row],[UNIT PRICE]]*Table2[[#This Row],[Quantity sold]]-Table2[[#This Row],[Discount]],0)</f>
        <v>10509</v>
      </c>
      <c r="J66" s="10">
        <v>19000</v>
      </c>
      <c r="K66" s="2">
        <f>_xlfn.XLOOKUP(Table2[[#This Row],[Shoe style]],val[SHOE STYLE],val[COST PRICE])</f>
        <v>7573</v>
      </c>
      <c r="L66" s="2">
        <f>(Table2[[#This Row],[COST PRICE]]*Table2[[#This Row],[Quantity sold]])</f>
        <v>7573</v>
      </c>
      <c r="M66" s="2">
        <f>Table2[[#This Row],[TOTAL SALES]]-Table2[[#This Row],[TOTAL COST PRICE]]</f>
        <v>2936</v>
      </c>
      <c r="N66" s="2">
        <f>IF(Table2[[#This Row],[Amount Paid]]&gt;0,(SUMIF(Table2[Order ID],Table2[[#This Row],[Order ID]],Table2[Amount Paid])-SUMIF(Table2[Order ID],Table2[[#This Row],[Order ID]],Table2[TOTAL SALES])),0)</f>
        <v>8491</v>
      </c>
      <c r="O66" s="8">
        <v>39</v>
      </c>
      <c r="P66" s="8" t="s">
        <v>25</v>
      </c>
      <c r="Q66" s="8" t="s">
        <v>54</v>
      </c>
      <c r="R66" s="8" t="s">
        <v>44</v>
      </c>
      <c r="S66" s="8" t="s">
        <v>28</v>
      </c>
      <c r="T66" s="8">
        <f t="shared" si="1"/>
        <v>0</v>
      </c>
      <c r="U66" t="str" cm="1">
        <f t="array" ref="U66">_xlfn.IFNA(_xlfn.IFS(Table2[[#This Row],[DEFICIT /SURPLUS]]&lt;0,"Deficit",Table2[[#This Row],[DEFICIT /SURPLUS]]&gt;0,"surplus"),"-")</f>
        <v>surplus</v>
      </c>
    </row>
    <row r="67" spans="1:21" ht="14.5">
      <c r="A67" s="8" t="s">
        <v>99</v>
      </c>
      <c r="B67" s="9">
        <v>45540</v>
      </c>
      <c r="C67" s="8" t="s">
        <v>22</v>
      </c>
      <c r="D67" s="8" t="s">
        <v>53</v>
      </c>
      <c r="E67" s="8" t="s">
        <v>78</v>
      </c>
      <c r="F67" s="31">
        <f>_xlfn.XLOOKUP(Table2[[#This Row],[Shoe style]],val[SHOE STYLE],val[UNIT PRICE])</f>
        <v>9838</v>
      </c>
      <c r="H67" s="11">
        <v>1</v>
      </c>
      <c r="I67" s="6">
        <f>IF(Table2[[#This Row],[Discount]]&lt;(Table2[[#This Row],[UNIT PRICE]]*Table2[[#This Row],[Quantity sold]]),Table2[[#This Row],[UNIT PRICE]]*Table2[[#This Row],[Quantity sold]]-Table2[[#This Row],[Discount]],0)</f>
        <v>9838</v>
      </c>
      <c r="J67" s="10">
        <v>13500</v>
      </c>
      <c r="K67" s="2">
        <f>_xlfn.XLOOKUP(Table2[[#This Row],[Shoe style]],val[SHOE STYLE],val[COST PRICE])</f>
        <v>6687</v>
      </c>
      <c r="L67" s="2">
        <f>(Table2[[#This Row],[COST PRICE]]*Table2[[#This Row],[Quantity sold]])</f>
        <v>6687</v>
      </c>
      <c r="M67" s="2">
        <f>Table2[[#This Row],[TOTAL SALES]]-Table2[[#This Row],[TOTAL COST PRICE]]</f>
        <v>3151</v>
      </c>
      <c r="N67" s="2">
        <f>IF(Table2[[#This Row],[Amount Paid]]&gt;0,(SUMIF(Table2[Order ID],Table2[[#This Row],[Order ID]],Table2[Amount Paid])-SUMIF(Table2[Order ID],Table2[[#This Row],[Order ID]],Table2[TOTAL SALES])),0)</f>
        <v>3662</v>
      </c>
      <c r="O67" s="8">
        <v>39</v>
      </c>
      <c r="P67" s="8" t="s">
        <v>25</v>
      </c>
      <c r="Q67" s="8" t="s">
        <v>26</v>
      </c>
      <c r="R67" s="8" t="s">
        <v>27</v>
      </c>
      <c r="S67" s="8" t="s">
        <v>28</v>
      </c>
      <c r="T67" s="8">
        <f t="shared" si="1"/>
        <v>0</v>
      </c>
      <c r="U67" t="str" cm="1">
        <f t="array" ref="U67">_xlfn.IFNA(_xlfn.IFS(Table2[[#This Row],[DEFICIT /SURPLUS]]&lt;0,"Deficit",Table2[[#This Row],[DEFICIT /SURPLUS]]&gt;0,"surplus"),"-")</f>
        <v>surplus</v>
      </c>
    </row>
    <row r="68" spans="1:21" ht="14.5">
      <c r="A68" s="8" t="s">
        <v>100</v>
      </c>
      <c r="B68" s="9">
        <v>45538</v>
      </c>
      <c r="C68" s="8" t="s">
        <v>22</v>
      </c>
      <c r="D68" s="8" t="s">
        <v>37</v>
      </c>
      <c r="E68" s="8" t="s">
        <v>89</v>
      </c>
      <c r="F68" s="31">
        <f>_xlfn.XLOOKUP(Table2[[#This Row],[Shoe style]],val[SHOE STYLE],val[UNIT PRICE])</f>
        <v>22728</v>
      </c>
      <c r="H68" s="11">
        <v>1</v>
      </c>
      <c r="I68" s="6">
        <f>IF(Table2[[#This Row],[Discount]]&lt;(Table2[[#This Row],[UNIT PRICE]]*Table2[[#This Row],[Quantity sold]]),Table2[[#This Row],[UNIT PRICE]]*Table2[[#This Row],[Quantity sold]]-Table2[[#This Row],[Discount]],0)</f>
        <v>22728</v>
      </c>
      <c r="J68" s="10">
        <v>16500</v>
      </c>
      <c r="K68" s="2">
        <f>_xlfn.XLOOKUP(Table2[[#This Row],[Shoe style]],val[SHOE STYLE],val[COST PRICE])</f>
        <v>20451</v>
      </c>
      <c r="L68" s="2">
        <f>(Table2[[#This Row],[COST PRICE]]*Table2[[#This Row],[Quantity sold]])</f>
        <v>20451</v>
      </c>
      <c r="M68" s="2">
        <f>Table2[[#This Row],[TOTAL SALES]]-Table2[[#This Row],[TOTAL COST PRICE]]</f>
        <v>2277</v>
      </c>
      <c r="N68" s="2">
        <f>IF(Table2[[#This Row],[Amount Paid]]&gt;0,(SUMIF(Table2[Order ID],Table2[[#This Row],[Order ID]],Table2[Amount Paid])-SUMIF(Table2[Order ID],Table2[[#This Row],[Order ID]],Table2[TOTAL SALES])),0)</f>
        <v>-6228</v>
      </c>
      <c r="O68" s="8">
        <v>38</v>
      </c>
      <c r="P68" s="8" t="s">
        <v>25</v>
      </c>
      <c r="Q68" s="8" t="s">
        <v>26</v>
      </c>
      <c r="R68" s="8" t="s">
        <v>44</v>
      </c>
      <c r="S68" s="8" t="s">
        <v>28</v>
      </c>
      <c r="T68" s="8">
        <f t="shared" si="1"/>
        <v>0</v>
      </c>
      <c r="U68" t="str" cm="1">
        <f t="array" ref="U68">_xlfn.IFNA(_xlfn.IFS(Table2[[#This Row],[DEFICIT /SURPLUS]]&lt;0,"Deficit",Table2[[#This Row],[DEFICIT /SURPLUS]]&gt;0,"surplus"),"-")</f>
        <v>Deficit</v>
      </c>
    </row>
    <row r="69" spans="1:21" ht="14.5">
      <c r="A69" s="8" t="s">
        <v>101</v>
      </c>
      <c r="B69" s="9">
        <v>45538</v>
      </c>
      <c r="C69" s="8" t="s">
        <v>98</v>
      </c>
      <c r="D69" s="8" t="s">
        <v>29</v>
      </c>
      <c r="E69" s="8" t="s">
        <v>50</v>
      </c>
      <c r="F69" s="31">
        <f>_xlfn.XLOOKUP(Table2[[#This Row],[Shoe style]],val[SHOE STYLE],val[UNIT PRICE])</f>
        <v>12395</v>
      </c>
      <c r="H69" s="11">
        <v>1</v>
      </c>
      <c r="I69" s="6">
        <f>IF(Table2[[#This Row],[Discount]]&lt;(Table2[[#This Row],[UNIT PRICE]]*Table2[[#This Row],[Quantity sold]]),Table2[[#This Row],[UNIT PRICE]]*Table2[[#This Row],[Quantity sold]]-Table2[[#This Row],[Discount]],0)</f>
        <v>12395</v>
      </c>
      <c r="J69" s="10">
        <v>14500</v>
      </c>
      <c r="K69" s="2">
        <f>_xlfn.XLOOKUP(Table2[[#This Row],[Shoe style]],val[SHOE STYLE],val[COST PRICE])</f>
        <v>7909</v>
      </c>
      <c r="L69" s="2">
        <f>(Table2[[#This Row],[COST PRICE]]*Table2[[#This Row],[Quantity sold]])</f>
        <v>7909</v>
      </c>
      <c r="M69" s="2">
        <f>Table2[[#This Row],[TOTAL SALES]]-Table2[[#This Row],[TOTAL COST PRICE]]</f>
        <v>4486</v>
      </c>
      <c r="N69" s="2">
        <f>IF(Table2[[#This Row],[Amount Paid]]&gt;0,(SUMIF(Table2[Order ID],Table2[[#This Row],[Order ID]],Table2[Amount Paid])-SUMIF(Table2[Order ID],Table2[[#This Row],[Order ID]],Table2[TOTAL SALES])),0)</f>
        <v>2105</v>
      </c>
      <c r="O69" s="8">
        <v>39</v>
      </c>
      <c r="P69" s="8" t="s">
        <v>25</v>
      </c>
      <c r="Q69" s="8" t="s">
        <v>54</v>
      </c>
      <c r="R69" s="8" t="s">
        <v>44</v>
      </c>
      <c r="S69" s="8" t="s">
        <v>28</v>
      </c>
      <c r="T69" s="8">
        <f t="shared" si="1"/>
        <v>0</v>
      </c>
      <c r="U69" t="str" cm="1">
        <f t="array" ref="U69">_xlfn.IFNA(_xlfn.IFS(Table2[[#This Row],[DEFICIT /SURPLUS]]&lt;0,"Deficit",Table2[[#This Row],[DEFICIT /SURPLUS]]&gt;0,"surplus"),"-")</f>
        <v>surplus</v>
      </c>
    </row>
    <row r="70" spans="1:21" ht="14.5">
      <c r="A70" s="8" t="s">
        <v>102</v>
      </c>
      <c r="B70" s="9">
        <v>45541</v>
      </c>
      <c r="C70" s="8" t="s">
        <v>22</v>
      </c>
      <c r="D70" s="8" t="s">
        <v>51</v>
      </c>
      <c r="E70" s="8" t="s">
        <v>103</v>
      </c>
      <c r="F70" s="31">
        <f>_xlfn.XLOOKUP(Table2[[#This Row],[Shoe style]],val[SHOE STYLE],val[UNIT PRICE])</f>
        <v>11007</v>
      </c>
      <c r="H70" s="11">
        <v>1</v>
      </c>
      <c r="I70" s="6">
        <f>IF(Table2[[#This Row],[Discount]]&lt;(Table2[[#This Row],[UNIT PRICE]]*Table2[[#This Row],[Quantity sold]]),Table2[[#This Row],[UNIT PRICE]]*Table2[[#This Row],[Quantity sold]]-Table2[[#This Row],[Discount]],0)</f>
        <v>11007</v>
      </c>
      <c r="J70" s="10">
        <v>100000</v>
      </c>
      <c r="K70" s="2">
        <f>_xlfn.XLOOKUP(Table2[[#This Row],[Shoe style]],val[SHOE STYLE],val[COST PRICE])</f>
        <v>8327</v>
      </c>
      <c r="L70" s="2">
        <f>(Table2[[#This Row],[COST PRICE]]*Table2[[#This Row],[Quantity sold]])</f>
        <v>8327</v>
      </c>
      <c r="M70" s="2">
        <f>Table2[[#This Row],[TOTAL SALES]]-Table2[[#This Row],[TOTAL COST PRICE]]</f>
        <v>2680</v>
      </c>
      <c r="N70" s="2">
        <f>IF(Table2[[#This Row],[Amount Paid]]&gt;0,(SUMIF(Table2[Order ID],Table2[[#This Row],[Order ID]],Table2[Amount Paid])-SUMIF(Table2[Order ID],Table2[[#This Row],[Order ID]],Table2[TOTAL SALES])),0)</f>
        <v>-4372</v>
      </c>
      <c r="O70" s="8">
        <v>38</v>
      </c>
      <c r="P70" s="8" t="s">
        <v>25</v>
      </c>
      <c r="Q70" s="8" t="s">
        <v>26</v>
      </c>
      <c r="R70" s="8" t="s">
        <v>44</v>
      </c>
      <c r="S70" s="8" t="s">
        <v>28</v>
      </c>
      <c r="T70" s="8">
        <f t="shared" si="1"/>
        <v>0</v>
      </c>
      <c r="U70" t="str" cm="1">
        <f t="array" ref="U70">_xlfn.IFNA(_xlfn.IFS(Table2[[#This Row],[DEFICIT /SURPLUS]]&lt;0,"Deficit",Table2[[#This Row],[DEFICIT /SURPLUS]]&gt;0,"surplus"),"-")</f>
        <v>Deficit</v>
      </c>
    </row>
    <row r="71" spans="1:21" ht="14.5">
      <c r="A71" s="8" t="s">
        <v>102</v>
      </c>
      <c r="B71" s="9">
        <v>45541</v>
      </c>
      <c r="C71" s="8" t="s">
        <v>22</v>
      </c>
      <c r="D71" s="8" t="s">
        <v>51</v>
      </c>
      <c r="E71" s="8" t="s">
        <v>40</v>
      </c>
      <c r="F71" s="31">
        <f>_xlfn.XLOOKUP(Table2[[#This Row],[Shoe style]],val[SHOE STYLE],val[UNIT PRICE])</f>
        <v>11007</v>
      </c>
      <c r="H71" s="11">
        <v>1</v>
      </c>
      <c r="I71" s="6">
        <f>IF(Table2[[#This Row],[Discount]]&lt;(Table2[[#This Row],[UNIT PRICE]]*Table2[[#This Row],[Quantity sold]]),Table2[[#This Row],[UNIT PRICE]]*Table2[[#This Row],[Quantity sold]]-Table2[[#This Row],[Discount]],0)</f>
        <v>11007</v>
      </c>
      <c r="K71" s="2">
        <f>_xlfn.XLOOKUP(Table2[[#This Row],[Shoe style]],val[SHOE STYLE],val[COST PRICE])</f>
        <v>8327</v>
      </c>
      <c r="L71" s="2">
        <f>(Table2[[#This Row],[COST PRICE]]*Table2[[#This Row],[Quantity sold]])</f>
        <v>8327</v>
      </c>
      <c r="M71" s="2">
        <f>Table2[[#This Row],[TOTAL SALES]]-Table2[[#This Row],[TOTAL COST PRICE]]</f>
        <v>2680</v>
      </c>
      <c r="N71" s="2">
        <f>IF(Table2[[#This Row],[Amount Paid]]&gt;0,(SUMIF(Table2[Order ID],Table2[[#This Row],[Order ID]],Table2[Amount Paid])-SUMIF(Table2[Order ID],Table2[[#This Row],[Order ID]],Table2[TOTAL SALES])),0)</f>
        <v>0</v>
      </c>
      <c r="O71" s="8">
        <v>41</v>
      </c>
      <c r="P71" s="8" t="s">
        <v>25</v>
      </c>
      <c r="Q71" s="8" t="s">
        <v>26</v>
      </c>
      <c r="R71" s="8" t="s">
        <v>44</v>
      </c>
      <c r="S71" s="8" t="s">
        <v>28</v>
      </c>
      <c r="T71" s="8">
        <f t="shared" si="1"/>
        <v>0</v>
      </c>
      <c r="U71" t="str" cm="1">
        <f t="array" ref="U71">_xlfn.IFNA(_xlfn.IFS(Table2[[#This Row],[DEFICIT /SURPLUS]]&lt;0,"Deficit",Table2[[#This Row],[DEFICIT /SURPLUS]]&gt;0,"surplus"),"-")</f>
        <v>-</v>
      </c>
    </row>
    <row r="72" spans="1:21" ht="14.5">
      <c r="A72" s="8" t="s">
        <v>102</v>
      </c>
      <c r="B72" s="9">
        <v>45541</v>
      </c>
      <c r="C72" s="8" t="s">
        <v>22</v>
      </c>
      <c r="D72" s="8" t="s">
        <v>51</v>
      </c>
      <c r="E72" s="8" t="s">
        <v>24</v>
      </c>
      <c r="F72" s="31">
        <f>_xlfn.XLOOKUP(Table2[[#This Row],[Shoe style]],val[SHOE STYLE],val[UNIT PRICE])</f>
        <v>11007</v>
      </c>
      <c r="H72" s="11">
        <v>1</v>
      </c>
      <c r="I72" s="6">
        <f>IF(Table2[[#This Row],[Discount]]&lt;(Table2[[#This Row],[UNIT PRICE]]*Table2[[#This Row],[Quantity sold]]),Table2[[#This Row],[UNIT PRICE]]*Table2[[#This Row],[Quantity sold]]-Table2[[#This Row],[Discount]],0)</f>
        <v>11007</v>
      </c>
      <c r="K72" s="2">
        <f>_xlfn.XLOOKUP(Table2[[#This Row],[Shoe style]],val[SHOE STYLE],val[COST PRICE])</f>
        <v>8327</v>
      </c>
      <c r="L72" s="2">
        <f>(Table2[[#This Row],[COST PRICE]]*Table2[[#This Row],[Quantity sold]])</f>
        <v>8327</v>
      </c>
      <c r="M72" s="2">
        <f>Table2[[#This Row],[TOTAL SALES]]-Table2[[#This Row],[TOTAL COST PRICE]]</f>
        <v>2680</v>
      </c>
      <c r="N72" s="2">
        <f>IF(Table2[[#This Row],[Amount Paid]]&gt;0,(SUMIF(Table2[Order ID],Table2[[#This Row],[Order ID]],Table2[Amount Paid])-SUMIF(Table2[Order ID],Table2[[#This Row],[Order ID]],Table2[TOTAL SALES])),0)</f>
        <v>0</v>
      </c>
      <c r="O72" s="8">
        <v>39</v>
      </c>
      <c r="P72" s="8" t="s">
        <v>25</v>
      </c>
      <c r="Q72" s="8" t="s">
        <v>26</v>
      </c>
      <c r="R72" s="8" t="s">
        <v>44</v>
      </c>
      <c r="S72" s="8" t="s">
        <v>28</v>
      </c>
      <c r="T72" s="8">
        <f t="shared" si="1"/>
        <v>0</v>
      </c>
      <c r="U72" t="str" cm="1">
        <f t="array" ref="U72">_xlfn.IFNA(_xlfn.IFS(Table2[[#This Row],[DEFICIT /SURPLUS]]&lt;0,"Deficit",Table2[[#This Row],[DEFICIT /SURPLUS]]&gt;0,"surplus"),"-")</f>
        <v>-</v>
      </c>
    </row>
    <row r="73" spans="1:21" ht="14.5">
      <c r="A73" s="8" t="s">
        <v>102</v>
      </c>
      <c r="B73" s="9">
        <v>45541</v>
      </c>
      <c r="C73" s="8" t="s">
        <v>22</v>
      </c>
      <c r="D73" s="8" t="s">
        <v>37</v>
      </c>
      <c r="E73" s="8" t="s">
        <v>89</v>
      </c>
      <c r="F73" s="31">
        <f>_xlfn.XLOOKUP(Table2[[#This Row],[Shoe style]],val[SHOE STYLE],val[UNIT PRICE])</f>
        <v>22728</v>
      </c>
      <c r="H73" s="11">
        <v>1</v>
      </c>
      <c r="I73" s="6">
        <f>IF(Table2[[#This Row],[Discount]]&lt;(Table2[[#This Row],[UNIT PRICE]]*Table2[[#This Row],[Quantity sold]]),Table2[[#This Row],[UNIT PRICE]]*Table2[[#This Row],[Quantity sold]]-Table2[[#This Row],[Discount]],0)</f>
        <v>22728</v>
      </c>
      <c r="K73" s="2">
        <f>_xlfn.XLOOKUP(Table2[[#This Row],[Shoe style]],val[SHOE STYLE],val[COST PRICE])</f>
        <v>20451</v>
      </c>
      <c r="L73" s="2">
        <f>(Table2[[#This Row],[COST PRICE]]*Table2[[#This Row],[Quantity sold]])</f>
        <v>20451</v>
      </c>
      <c r="M73" s="2">
        <f>Table2[[#This Row],[TOTAL SALES]]-Table2[[#This Row],[TOTAL COST PRICE]]</f>
        <v>2277</v>
      </c>
      <c r="N73" s="2">
        <f>IF(Table2[[#This Row],[Amount Paid]]&gt;0,(SUMIF(Table2[Order ID],Table2[[#This Row],[Order ID]],Table2[Amount Paid])-SUMIF(Table2[Order ID],Table2[[#This Row],[Order ID]],Table2[TOTAL SALES])),0)</f>
        <v>0</v>
      </c>
      <c r="O73" s="8">
        <v>38</v>
      </c>
      <c r="P73" s="8" t="s">
        <v>25</v>
      </c>
      <c r="Q73" s="8" t="s">
        <v>26</v>
      </c>
      <c r="R73" s="8" t="s">
        <v>44</v>
      </c>
      <c r="S73" s="8" t="s">
        <v>28</v>
      </c>
      <c r="T73" s="8">
        <f t="shared" si="1"/>
        <v>0</v>
      </c>
      <c r="U73" t="str" cm="1">
        <f t="array" ref="U73">_xlfn.IFNA(_xlfn.IFS(Table2[[#This Row],[DEFICIT /SURPLUS]]&lt;0,"Deficit",Table2[[#This Row],[DEFICIT /SURPLUS]]&gt;0,"surplus"),"-")</f>
        <v>-</v>
      </c>
    </row>
    <row r="74" spans="1:21" ht="14.5">
      <c r="A74" s="8" t="s">
        <v>102</v>
      </c>
      <c r="B74" s="9">
        <v>45541</v>
      </c>
      <c r="C74" s="8" t="s">
        <v>104</v>
      </c>
      <c r="D74" s="8" t="s">
        <v>49</v>
      </c>
      <c r="E74" s="8" t="s">
        <v>38</v>
      </c>
      <c r="F74" s="31">
        <f>_xlfn.XLOOKUP(Table2[[#This Row],[Shoe style]],val[SHOE STYLE],val[UNIT PRICE])</f>
        <v>20500</v>
      </c>
      <c r="H74" s="11">
        <v>1</v>
      </c>
      <c r="I74" s="6">
        <f>IF(Table2[[#This Row],[Discount]]&lt;(Table2[[#This Row],[UNIT PRICE]]*Table2[[#This Row],[Quantity sold]]),Table2[[#This Row],[UNIT PRICE]]*Table2[[#This Row],[Quantity sold]]-Table2[[#This Row],[Discount]],0)</f>
        <v>20500</v>
      </c>
      <c r="K74" s="2">
        <f>_xlfn.XLOOKUP(Table2[[#This Row],[Shoe style]],val[SHOE STYLE],val[COST PRICE])</f>
        <v>17339</v>
      </c>
      <c r="L74" s="2">
        <f>(Table2[[#This Row],[COST PRICE]]*Table2[[#This Row],[Quantity sold]])</f>
        <v>17339</v>
      </c>
      <c r="M74" s="2">
        <f>Table2[[#This Row],[TOTAL SALES]]-Table2[[#This Row],[TOTAL COST PRICE]]</f>
        <v>3161</v>
      </c>
      <c r="N74" s="2">
        <f>IF(Table2[[#This Row],[Amount Paid]]&gt;0,(SUMIF(Table2[Order ID],Table2[[#This Row],[Order ID]],Table2[Amount Paid])-SUMIF(Table2[Order ID],Table2[[#This Row],[Order ID]],Table2[TOTAL SALES])),0)</f>
        <v>0</v>
      </c>
      <c r="O74" s="8">
        <v>38</v>
      </c>
      <c r="P74" s="8" t="s">
        <v>25</v>
      </c>
      <c r="Q74" s="8" t="s">
        <v>26</v>
      </c>
      <c r="R74" s="8" t="s">
        <v>44</v>
      </c>
      <c r="S74" s="8" t="s">
        <v>28</v>
      </c>
      <c r="T74" s="8">
        <f t="shared" si="1"/>
        <v>0</v>
      </c>
      <c r="U74" t="str" cm="1">
        <f t="array" ref="U74">_xlfn.IFNA(_xlfn.IFS(Table2[[#This Row],[DEFICIT /SURPLUS]]&lt;0,"Deficit",Table2[[#This Row],[DEFICIT /SURPLUS]]&gt;0,"surplus"),"-")</f>
        <v>-</v>
      </c>
    </row>
    <row r="75" spans="1:21" ht="14.5">
      <c r="A75" s="8" t="s">
        <v>102</v>
      </c>
      <c r="B75" s="9">
        <v>45541</v>
      </c>
      <c r="C75" s="8" t="s">
        <v>104</v>
      </c>
      <c r="D75" s="8" t="s">
        <v>42</v>
      </c>
      <c r="E75" s="8" t="s">
        <v>40</v>
      </c>
      <c r="F75" s="31">
        <f>_xlfn.XLOOKUP(Table2[[#This Row],[Shoe style]],val[SHOE STYLE],val[UNIT PRICE])</f>
        <v>17614</v>
      </c>
      <c r="H75" s="11">
        <v>1</v>
      </c>
      <c r="I75" s="6">
        <f>IF(Table2[[#This Row],[Discount]]&lt;(Table2[[#This Row],[UNIT PRICE]]*Table2[[#This Row],[Quantity sold]]),Table2[[#This Row],[UNIT PRICE]]*Table2[[#This Row],[Quantity sold]]-Table2[[#This Row],[Discount]],0)</f>
        <v>17614</v>
      </c>
      <c r="K75" s="2">
        <f>_xlfn.XLOOKUP(Table2[[#This Row],[Shoe style]],val[SHOE STYLE],val[COST PRICE])</f>
        <v>14912</v>
      </c>
      <c r="L75" s="2">
        <f>(Table2[[#This Row],[COST PRICE]]*Table2[[#This Row],[Quantity sold]])</f>
        <v>14912</v>
      </c>
      <c r="M75" s="2">
        <f>Table2[[#This Row],[TOTAL SALES]]-Table2[[#This Row],[TOTAL COST PRICE]]</f>
        <v>2702</v>
      </c>
      <c r="N75" s="2">
        <f>IF(Table2[[#This Row],[Amount Paid]]&gt;0,(SUMIF(Table2[Order ID],Table2[[#This Row],[Order ID]],Table2[Amount Paid])-SUMIF(Table2[Order ID],Table2[[#This Row],[Order ID]],Table2[TOTAL SALES])),0)</f>
        <v>0</v>
      </c>
      <c r="O75" s="8">
        <v>38</v>
      </c>
      <c r="P75" s="8" t="s">
        <v>25</v>
      </c>
      <c r="Q75" s="8" t="s">
        <v>26</v>
      </c>
      <c r="R75" s="8" t="s">
        <v>44</v>
      </c>
      <c r="S75" s="8" t="s">
        <v>28</v>
      </c>
      <c r="T75" s="8">
        <f t="shared" si="1"/>
        <v>0</v>
      </c>
      <c r="U75" t="str" cm="1">
        <f t="array" ref="U75">_xlfn.IFNA(_xlfn.IFS(Table2[[#This Row],[DEFICIT /SURPLUS]]&lt;0,"Deficit",Table2[[#This Row],[DEFICIT /SURPLUS]]&gt;0,"surplus"),"-")</f>
        <v>-</v>
      </c>
    </row>
    <row r="76" spans="1:21" ht="14.5">
      <c r="A76" s="8" t="s">
        <v>102</v>
      </c>
      <c r="B76" s="9">
        <v>45541</v>
      </c>
      <c r="C76" s="8" t="s">
        <v>104</v>
      </c>
      <c r="D76" s="8" t="s">
        <v>68</v>
      </c>
      <c r="E76" s="8" t="s">
        <v>61</v>
      </c>
      <c r="F76" s="31">
        <f>_xlfn.XLOOKUP(Table2[[#This Row],[Shoe style]],val[SHOE STYLE],val[UNIT PRICE])</f>
        <v>10509</v>
      </c>
      <c r="H76" s="11">
        <v>1</v>
      </c>
      <c r="I76" s="6">
        <f>IF(Table2[[#This Row],[Discount]]&lt;(Table2[[#This Row],[UNIT PRICE]]*Table2[[#This Row],[Quantity sold]]),Table2[[#This Row],[UNIT PRICE]]*Table2[[#This Row],[Quantity sold]]-Table2[[#This Row],[Discount]],0)</f>
        <v>10509</v>
      </c>
      <c r="K76" s="2">
        <f>_xlfn.XLOOKUP(Table2[[#This Row],[Shoe style]],val[SHOE STYLE],val[COST PRICE])</f>
        <v>7573</v>
      </c>
      <c r="L76" s="2">
        <f>(Table2[[#This Row],[COST PRICE]]*Table2[[#This Row],[Quantity sold]])</f>
        <v>7573</v>
      </c>
      <c r="M76" s="2">
        <f>Table2[[#This Row],[TOTAL SALES]]-Table2[[#This Row],[TOTAL COST PRICE]]</f>
        <v>2936</v>
      </c>
      <c r="N76" s="2">
        <f>IF(Table2[[#This Row],[Amount Paid]]&gt;0,(SUMIF(Table2[Order ID],Table2[[#This Row],[Order ID]],Table2[Amount Paid])-SUMIF(Table2[Order ID],Table2[[#This Row],[Order ID]],Table2[TOTAL SALES])),0)</f>
        <v>0</v>
      </c>
      <c r="O76" s="8">
        <v>38</v>
      </c>
      <c r="P76" s="8" t="s">
        <v>25</v>
      </c>
      <c r="Q76" s="8" t="s">
        <v>26</v>
      </c>
      <c r="R76" s="8" t="s">
        <v>44</v>
      </c>
      <c r="S76" s="8" t="s">
        <v>28</v>
      </c>
      <c r="T76" s="8">
        <f t="shared" si="1"/>
        <v>0</v>
      </c>
      <c r="U76" t="str" cm="1">
        <f t="array" ref="U76">_xlfn.IFNA(_xlfn.IFS(Table2[[#This Row],[DEFICIT /SURPLUS]]&lt;0,"Deficit",Table2[[#This Row],[DEFICIT /SURPLUS]]&gt;0,"surplus"),"-")</f>
        <v>-</v>
      </c>
    </row>
    <row r="77" spans="1:21" ht="14.5">
      <c r="A77" s="8" t="s">
        <v>105</v>
      </c>
      <c r="B77" s="9">
        <v>45541</v>
      </c>
      <c r="C77" s="8" t="s">
        <v>95</v>
      </c>
      <c r="D77" s="8" t="s">
        <v>29</v>
      </c>
      <c r="E77" s="8" t="s">
        <v>30</v>
      </c>
      <c r="F77" s="31">
        <f>_xlfn.XLOOKUP(Table2[[#This Row],[Shoe style]],val[SHOE STYLE],val[UNIT PRICE])</f>
        <v>12395</v>
      </c>
      <c r="H77" s="11">
        <v>1</v>
      </c>
      <c r="I77" s="6">
        <f>IF(Table2[[#This Row],[Discount]]&lt;(Table2[[#This Row],[UNIT PRICE]]*Table2[[#This Row],[Quantity sold]]),Table2[[#This Row],[UNIT PRICE]]*Table2[[#This Row],[Quantity sold]]-Table2[[#This Row],[Discount]],0)</f>
        <v>12395</v>
      </c>
      <c r="J77" s="10">
        <v>33000</v>
      </c>
      <c r="K77" s="2">
        <f>_xlfn.XLOOKUP(Table2[[#This Row],[Shoe style]],val[SHOE STYLE],val[COST PRICE])</f>
        <v>7909</v>
      </c>
      <c r="L77" s="2">
        <f>(Table2[[#This Row],[COST PRICE]]*Table2[[#This Row],[Quantity sold]])</f>
        <v>7909</v>
      </c>
      <c r="M77" s="2">
        <f>Table2[[#This Row],[TOTAL SALES]]-Table2[[#This Row],[TOTAL COST PRICE]]</f>
        <v>4486</v>
      </c>
      <c r="N77" s="2">
        <f>IF(Table2[[#This Row],[Amount Paid]]&gt;0,(SUMIF(Table2[Order ID],Table2[[#This Row],[Order ID]],Table2[Amount Paid])-SUMIF(Table2[Order ID],Table2[[#This Row],[Order ID]],Table2[TOTAL SALES])),0)</f>
        <v>2991</v>
      </c>
      <c r="O77" s="8">
        <v>40</v>
      </c>
      <c r="P77" s="8" t="s">
        <v>25</v>
      </c>
      <c r="Q77" s="8" t="s">
        <v>26</v>
      </c>
      <c r="R77" s="8" t="s">
        <v>44</v>
      </c>
      <c r="S77" s="8" t="s">
        <v>28</v>
      </c>
      <c r="T77" s="8">
        <f t="shared" si="1"/>
        <v>0</v>
      </c>
      <c r="U77" t="str" cm="1">
        <f t="array" ref="U77">_xlfn.IFNA(_xlfn.IFS(Table2[[#This Row],[DEFICIT /SURPLUS]]&lt;0,"Deficit",Table2[[#This Row],[DEFICIT /SURPLUS]]&gt;0,"surplus"),"-")</f>
        <v>surplus</v>
      </c>
    </row>
    <row r="78" spans="1:21" ht="14.5">
      <c r="A78" s="8" t="s">
        <v>105</v>
      </c>
      <c r="B78" s="9">
        <v>45541</v>
      </c>
      <c r="C78" s="8" t="s">
        <v>95</v>
      </c>
      <c r="D78" s="8" t="s">
        <v>42</v>
      </c>
      <c r="E78" s="8" t="s">
        <v>38</v>
      </c>
      <c r="F78" s="31">
        <f>_xlfn.XLOOKUP(Table2[[#This Row],[Shoe style]],val[SHOE STYLE],val[UNIT PRICE])</f>
        <v>17614</v>
      </c>
      <c r="H78" s="11">
        <v>1</v>
      </c>
      <c r="I78" s="6">
        <f>IF(Table2[[#This Row],[Discount]]&lt;(Table2[[#This Row],[UNIT PRICE]]*Table2[[#This Row],[Quantity sold]]),Table2[[#This Row],[UNIT PRICE]]*Table2[[#This Row],[Quantity sold]]-Table2[[#This Row],[Discount]],0)</f>
        <v>17614</v>
      </c>
      <c r="K78" s="2">
        <f>_xlfn.XLOOKUP(Table2[[#This Row],[Shoe style]],val[SHOE STYLE],val[COST PRICE])</f>
        <v>14912</v>
      </c>
      <c r="L78" s="2">
        <f>(Table2[[#This Row],[COST PRICE]]*Table2[[#This Row],[Quantity sold]])</f>
        <v>14912</v>
      </c>
      <c r="M78" s="2">
        <f>Table2[[#This Row],[TOTAL SALES]]-Table2[[#This Row],[TOTAL COST PRICE]]</f>
        <v>2702</v>
      </c>
      <c r="N78" s="2">
        <f>IF(Table2[[#This Row],[Amount Paid]]&gt;0,(SUMIF(Table2[Order ID],Table2[[#This Row],[Order ID]],Table2[Amount Paid])-SUMIF(Table2[Order ID],Table2[[#This Row],[Order ID]],Table2[TOTAL SALES])),0)</f>
        <v>0</v>
      </c>
      <c r="O78" s="8">
        <v>40</v>
      </c>
      <c r="P78" s="8" t="s">
        <v>25</v>
      </c>
      <c r="Q78" s="8" t="s">
        <v>26</v>
      </c>
      <c r="R78" s="8" t="s">
        <v>44</v>
      </c>
      <c r="S78" s="8" t="s">
        <v>28</v>
      </c>
      <c r="T78" s="8">
        <f t="shared" si="1"/>
        <v>0</v>
      </c>
      <c r="U78" t="str" cm="1">
        <f t="array" ref="U78">_xlfn.IFNA(_xlfn.IFS(Table2[[#This Row],[DEFICIT /SURPLUS]]&lt;0,"Deficit",Table2[[#This Row],[DEFICIT /SURPLUS]]&gt;0,"surplus"),"-")</f>
        <v>-</v>
      </c>
    </row>
    <row r="79" spans="1:21" ht="14.5">
      <c r="A79" s="8" t="s">
        <v>106</v>
      </c>
      <c r="B79" s="9">
        <v>45541</v>
      </c>
      <c r="C79" s="8" t="s">
        <v>22</v>
      </c>
      <c r="D79" s="8" t="s">
        <v>107</v>
      </c>
      <c r="E79" s="8" t="s">
        <v>89</v>
      </c>
      <c r="F79" s="31">
        <f>_xlfn.XLOOKUP(Table2[[#This Row],[Shoe style]],val[SHOE STYLE],val[UNIT PRICE])</f>
        <v>19170</v>
      </c>
      <c r="H79" s="11">
        <v>1</v>
      </c>
      <c r="I79" s="6">
        <f>IF(Table2[[#This Row],[Discount]]&lt;(Table2[[#This Row],[UNIT PRICE]]*Table2[[#This Row],[Quantity sold]]),Table2[[#This Row],[UNIT PRICE]]*Table2[[#This Row],[Quantity sold]]-Table2[[#This Row],[Discount]],0)</f>
        <v>19170</v>
      </c>
      <c r="J79" s="10">
        <v>63962.5</v>
      </c>
      <c r="K79" s="2">
        <f>_xlfn.XLOOKUP(Table2[[#This Row],[Shoe style]],val[SHOE STYLE],val[COST PRICE])</f>
        <v>17137</v>
      </c>
      <c r="L79" s="2">
        <f>(Table2[[#This Row],[COST PRICE]]*Table2[[#This Row],[Quantity sold]])</f>
        <v>17137</v>
      </c>
      <c r="M79" s="2">
        <f>Table2[[#This Row],[TOTAL SALES]]-Table2[[#This Row],[TOTAL COST PRICE]]</f>
        <v>2033</v>
      </c>
      <c r="N79" s="2">
        <f>IF(Table2[[#This Row],[Amount Paid]]&gt;0,(SUMIF(Table2[Order ID],Table2[[#This Row],[Order ID]],Table2[Amount Paid])-SUMIF(Table2[Order ID],Table2[[#This Row],[Order ID]],Table2[TOTAL SALES])),0)</f>
        <v>23276.5</v>
      </c>
      <c r="O79" s="8">
        <v>39</v>
      </c>
      <c r="P79" s="8" t="s">
        <v>25</v>
      </c>
      <c r="Q79" s="8" t="s">
        <v>54</v>
      </c>
      <c r="R79" s="8" t="s">
        <v>44</v>
      </c>
      <c r="S79" s="8" t="s">
        <v>28</v>
      </c>
      <c r="T79" s="8">
        <f t="shared" si="1"/>
        <v>0</v>
      </c>
      <c r="U79" t="str" cm="1">
        <f t="array" ref="U79">_xlfn.IFNA(_xlfn.IFS(Table2[[#This Row],[DEFICIT /SURPLUS]]&lt;0,"Deficit",Table2[[#This Row],[DEFICIT /SURPLUS]]&gt;0,"surplus"),"-")</f>
        <v>surplus</v>
      </c>
    </row>
    <row r="80" spans="1:21" ht="14.5">
      <c r="A80" s="8" t="s">
        <v>106</v>
      </c>
      <c r="B80" s="9">
        <v>45541</v>
      </c>
      <c r="C80" s="8" t="s">
        <v>22</v>
      </c>
      <c r="D80" s="8" t="s">
        <v>68</v>
      </c>
      <c r="E80" s="8" t="s">
        <v>63</v>
      </c>
      <c r="F80" s="31">
        <f>_xlfn.XLOOKUP(Table2[[#This Row],[Shoe style]],val[SHOE STYLE],val[UNIT PRICE])</f>
        <v>10509</v>
      </c>
      <c r="H80" s="11">
        <v>1</v>
      </c>
      <c r="I80" s="6">
        <f>IF(Table2[[#This Row],[Discount]]&lt;(Table2[[#This Row],[UNIT PRICE]]*Table2[[#This Row],[Quantity sold]]),Table2[[#This Row],[UNIT PRICE]]*Table2[[#This Row],[Quantity sold]]-Table2[[#This Row],[Discount]],0)</f>
        <v>10509</v>
      </c>
      <c r="K80" s="2">
        <f>_xlfn.XLOOKUP(Table2[[#This Row],[Shoe style]],val[SHOE STYLE],val[COST PRICE])</f>
        <v>7573</v>
      </c>
      <c r="L80" s="2">
        <f>(Table2[[#This Row],[COST PRICE]]*Table2[[#This Row],[Quantity sold]])</f>
        <v>7573</v>
      </c>
      <c r="M80" s="2">
        <f>Table2[[#This Row],[TOTAL SALES]]-Table2[[#This Row],[TOTAL COST PRICE]]</f>
        <v>2936</v>
      </c>
      <c r="N80" s="2">
        <f>IF(Table2[[#This Row],[Amount Paid]]&gt;0,(SUMIF(Table2[Order ID],Table2[[#This Row],[Order ID]],Table2[Amount Paid])-SUMIF(Table2[Order ID],Table2[[#This Row],[Order ID]],Table2[TOTAL SALES])),0)</f>
        <v>0</v>
      </c>
      <c r="O80" s="8">
        <v>39</v>
      </c>
      <c r="P80" s="8" t="s">
        <v>25</v>
      </c>
      <c r="Q80" s="8" t="s">
        <v>54</v>
      </c>
      <c r="R80" s="8" t="s">
        <v>44</v>
      </c>
      <c r="S80" s="8" t="s">
        <v>28</v>
      </c>
      <c r="T80" s="8">
        <f t="shared" si="1"/>
        <v>0</v>
      </c>
      <c r="U80" t="str" cm="1">
        <f t="array" ref="U80">_xlfn.IFNA(_xlfn.IFS(Table2[[#This Row],[DEFICIT /SURPLUS]]&lt;0,"Deficit",Table2[[#This Row],[DEFICIT /SURPLUS]]&gt;0,"surplus"),"-")</f>
        <v>-</v>
      </c>
    </row>
    <row r="81" spans="1:21" ht="14.5">
      <c r="A81" s="8" t="s">
        <v>106</v>
      </c>
      <c r="B81" s="9">
        <v>45541</v>
      </c>
      <c r="C81" s="8" t="s">
        <v>22</v>
      </c>
      <c r="D81" s="8" t="s">
        <v>51</v>
      </c>
      <c r="E81" s="8" t="s">
        <v>61</v>
      </c>
      <c r="F81" s="31">
        <f>_xlfn.XLOOKUP(Table2[[#This Row],[Shoe style]],val[SHOE STYLE],val[UNIT PRICE])</f>
        <v>11007</v>
      </c>
      <c r="H81" s="11">
        <v>1</v>
      </c>
      <c r="I81" s="6">
        <f>IF(Table2[[#This Row],[Discount]]&lt;(Table2[[#This Row],[UNIT PRICE]]*Table2[[#This Row],[Quantity sold]]),Table2[[#This Row],[UNIT PRICE]]*Table2[[#This Row],[Quantity sold]]-Table2[[#This Row],[Discount]],0)</f>
        <v>11007</v>
      </c>
      <c r="K81" s="2">
        <f>_xlfn.XLOOKUP(Table2[[#This Row],[Shoe style]],val[SHOE STYLE],val[COST PRICE])</f>
        <v>8327</v>
      </c>
      <c r="L81" s="2">
        <f>(Table2[[#This Row],[COST PRICE]]*Table2[[#This Row],[Quantity sold]])</f>
        <v>8327</v>
      </c>
      <c r="M81" s="2">
        <f>Table2[[#This Row],[TOTAL SALES]]-Table2[[#This Row],[TOTAL COST PRICE]]</f>
        <v>2680</v>
      </c>
      <c r="N81" s="2">
        <f>IF(Table2[[#This Row],[Amount Paid]]&gt;0,(SUMIF(Table2[Order ID],Table2[[#This Row],[Order ID]],Table2[Amount Paid])-SUMIF(Table2[Order ID],Table2[[#This Row],[Order ID]],Table2[TOTAL SALES])),0)</f>
        <v>0</v>
      </c>
      <c r="O81" s="8">
        <v>39</v>
      </c>
      <c r="P81" s="8" t="s">
        <v>25</v>
      </c>
      <c r="Q81" s="8" t="s">
        <v>54</v>
      </c>
      <c r="R81" s="8" t="s">
        <v>44</v>
      </c>
      <c r="S81" s="8" t="s">
        <v>28</v>
      </c>
      <c r="T81" s="8">
        <f t="shared" si="1"/>
        <v>0</v>
      </c>
      <c r="U81" t="str" cm="1">
        <f t="array" ref="U81">_xlfn.IFNA(_xlfn.IFS(Table2[[#This Row],[DEFICIT /SURPLUS]]&lt;0,"Deficit",Table2[[#This Row],[DEFICIT /SURPLUS]]&gt;0,"surplus"),"-")</f>
        <v>-</v>
      </c>
    </row>
    <row r="82" spans="1:21" ht="14.5">
      <c r="A82" s="8" t="s">
        <v>108</v>
      </c>
      <c r="B82" s="9">
        <v>45542</v>
      </c>
      <c r="C82" s="8" t="s">
        <v>22</v>
      </c>
      <c r="D82" s="8" t="s">
        <v>49</v>
      </c>
      <c r="E82" s="8" t="s">
        <v>109</v>
      </c>
      <c r="F82" s="31">
        <f>_xlfn.XLOOKUP(Table2[[#This Row],[Shoe style]],val[SHOE STYLE],val[UNIT PRICE])</f>
        <v>20500</v>
      </c>
      <c r="H82" s="11">
        <v>1</v>
      </c>
      <c r="I82" s="6">
        <f>IF(Table2[[#This Row],[Discount]]&lt;(Table2[[#This Row],[UNIT PRICE]]*Table2[[#This Row],[Quantity sold]]),Table2[[#This Row],[UNIT PRICE]]*Table2[[#This Row],[Quantity sold]]-Table2[[#This Row],[Discount]],0)</f>
        <v>20500</v>
      </c>
      <c r="J82" s="10">
        <v>30500</v>
      </c>
      <c r="K82" s="2">
        <f>_xlfn.XLOOKUP(Table2[[#This Row],[Shoe style]],val[SHOE STYLE],val[COST PRICE])</f>
        <v>17339</v>
      </c>
      <c r="L82" s="2">
        <f>(Table2[[#This Row],[COST PRICE]]*Table2[[#This Row],[Quantity sold]])</f>
        <v>17339</v>
      </c>
      <c r="M82" s="2">
        <f>Table2[[#This Row],[TOTAL SALES]]-Table2[[#This Row],[TOTAL COST PRICE]]</f>
        <v>3161</v>
      </c>
      <c r="N82" s="2">
        <f>IF(Table2[[#This Row],[Amount Paid]]&gt;0,(SUMIF(Table2[Order ID],Table2[[#This Row],[Order ID]],Table2[Amount Paid])-SUMIF(Table2[Order ID],Table2[[#This Row],[Order ID]],Table2[TOTAL SALES])),0)</f>
        <v>-10500</v>
      </c>
      <c r="O82" s="8">
        <v>40</v>
      </c>
      <c r="P82" s="8" t="s">
        <v>25</v>
      </c>
      <c r="Q82" s="8" t="s">
        <v>26</v>
      </c>
      <c r="R82" s="8" t="s">
        <v>27</v>
      </c>
      <c r="S82" s="8" t="s">
        <v>28</v>
      </c>
      <c r="T82" s="8">
        <f t="shared" si="1"/>
        <v>0</v>
      </c>
      <c r="U82" t="str" cm="1">
        <f t="array" ref="U82">_xlfn.IFNA(_xlfn.IFS(Table2[[#This Row],[DEFICIT /SURPLUS]]&lt;0,"Deficit",Table2[[#This Row],[DEFICIT /SURPLUS]]&gt;0,"surplus"),"-")</f>
        <v>Deficit</v>
      </c>
    </row>
    <row r="83" spans="1:21" ht="14.5">
      <c r="A83" s="8" t="s">
        <v>108</v>
      </c>
      <c r="B83" s="9">
        <v>45542</v>
      </c>
      <c r="C83" s="8" t="s">
        <v>22</v>
      </c>
      <c r="D83" s="8" t="s">
        <v>49</v>
      </c>
      <c r="E83" s="8" t="s">
        <v>43</v>
      </c>
      <c r="F83" s="31">
        <f>_xlfn.XLOOKUP(Table2[[#This Row],[Shoe style]],val[SHOE STYLE],val[UNIT PRICE])</f>
        <v>20500</v>
      </c>
      <c r="H83" s="11">
        <v>1</v>
      </c>
      <c r="I83" s="6">
        <f>IF(Table2[[#This Row],[Discount]]&lt;(Table2[[#This Row],[UNIT PRICE]]*Table2[[#This Row],[Quantity sold]]),Table2[[#This Row],[UNIT PRICE]]*Table2[[#This Row],[Quantity sold]]-Table2[[#This Row],[Discount]],0)</f>
        <v>20500</v>
      </c>
      <c r="K83" s="2">
        <f>_xlfn.XLOOKUP(Table2[[#This Row],[Shoe style]],val[SHOE STYLE],val[COST PRICE])</f>
        <v>17339</v>
      </c>
      <c r="L83" s="2">
        <f>(Table2[[#This Row],[COST PRICE]]*Table2[[#This Row],[Quantity sold]])</f>
        <v>17339</v>
      </c>
      <c r="M83" s="2">
        <f>Table2[[#This Row],[TOTAL SALES]]-Table2[[#This Row],[TOTAL COST PRICE]]</f>
        <v>3161</v>
      </c>
      <c r="N83" s="2">
        <f>IF(Table2[[#This Row],[Amount Paid]]&gt;0,(SUMIF(Table2[Order ID],Table2[[#This Row],[Order ID]],Table2[Amount Paid])-SUMIF(Table2[Order ID],Table2[[#This Row],[Order ID]],Table2[TOTAL SALES])),0)</f>
        <v>0</v>
      </c>
      <c r="O83" s="8">
        <v>40</v>
      </c>
      <c r="P83" s="8" t="s">
        <v>25</v>
      </c>
      <c r="Q83" s="8" t="s">
        <v>26</v>
      </c>
      <c r="R83" s="8" t="s">
        <v>27</v>
      </c>
      <c r="S83" s="8" t="s">
        <v>28</v>
      </c>
      <c r="T83" s="8">
        <f t="shared" si="1"/>
        <v>0</v>
      </c>
      <c r="U83" t="str" cm="1">
        <f t="array" ref="U83">_xlfn.IFNA(_xlfn.IFS(Table2[[#This Row],[DEFICIT /SURPLUS]]&lt;0,"Deficit",Table2[[#This Row],[DEFICIT /SURPLUS]]&gt;0,"surplus"),"-")</f>
        <v>-</v>
      </c>
    </row>
    <row r="84" spans="1:21" ht="14.5">
      <c r="A84" s="8" t="s">
        <v>110</v>
      </c>
      <c r="B84" s="9">
        <v>45542</v>
      </c>
      <c r="C84" s="8" t="s">
        <v>22</v>
      </c>
      <c r="D84" s="8" t="s">
        <v>42</v>
      </c>
      <c r="E84" s="8" t="s">
        <v>38</v>
      </c>
      <c r="F84" s="31">
        <f>_xlfn.XLOOKUP(Table2[[#This Row],[Shoe style]],val[SHOE STYLE],val[UNIT PRICE])</f>
        <v>17614</v>
      </c>
      <c r="H84" s="11">
        <v>1</v>
      </c>
      <c r="I84" s="6">
        <f>IF(Table2[[#This Row],[Discount]]&lt;(Table2[[#This Row],[UNIT PRICE]]*Table2[[#This Row],[Quantity sold]]),Table2[[#This Row],[UNIT PRICE]]*Table2[[#This Row],[Quantity sold]]-Table2[[#This Row],[Discount]],0)</f>
        <v>17614</v>
      </c>
      <c r="J84" s="10">
        <v>28000</v>
      </c>
      <c r="K84" s="2">
        <f>_xlfn.XLOOKUP(Table2[[#This Row],[Shoe style]],val[SHOE STYLE],val[COST PRICE])</f>
        <v>14912</v>
      </c>
      <c r="L84" s="2">
        <f>(Table2[[#This Row],[COST PRICE]]*Table2[[#This Row],[Quantity sold]])</f>
        <v>14912</v>
      </c>
      <c r="M84" s="2">
        <f>Table2[[#This Row],[TOTAL SALES]]-Table2[[#This Row],[TOTAL COST PRICE]]</f>
        <v>2702</v>
      </c>
      <c r="N84" s="2">
        <f>IF(Table2[[#This Row],[Amount Paid]]&gt;0,(SUMIF(Table2[Order ID],Table2[[#This Row],[Order ID]],Table2[Amount Paid])-SUMIF(Table2[Order ID],Table2[[#This Row],[Order ID]],Table2[TOTAL SALES])),0)</f>
        <v>-2009</v>
      </c>
      <c r="O84" s="8">
        <v>41</v>
      </c>
      <c r="P84" s="8" t="s">
        <v>25</v>
      </c>
      <c r="Q84" s="8" t="s">
        <v>26</v>
      </c>
      <c r="R84" s="8" t="s">
        <v>27</v>
      </c>
      <c r="S84" s="8" t="s">
        <v>28</v>
      </c>
      <c r="T84" s="8">
        <f t="shared" si="1"/>
        <v>0</v>
      </c>
      <c r="U84" t="str" cm="1">
        <f t="array" ref="U84">_xlfn.IFNA(_xlfn.IFS(Table2[[#This Row],[DEFICIT /SURPLUS]]&lt;0,"Deficit",Table2[[#This Row],[DEFICIT /SURPLUS]]&gt;0,"surplus"),"-")</f>
        <v>Deficit</v>
      </c>
    </row>
    <row r="85" spans="1:21" ht="14.5">
      <c r="A85" s="8" t="s">
        <v>110</v>
      </c>
      <c r="B85" s="9">
        <v>45542</v>
      </c>
      <c r="C85" s="8" t="s">
        <v>22</v>
      </c>
      <c r="D85" s="8" t="s">
        <v>29</v>
      </c>
      <c r="E85" s="8" t="s">
        <v>38</v>
      </c>
      <c r="F85" s="31">
        <f>_xlfn.XLOOKUP(Table2[[#This Row],[Shoe style]],val[SHOE STYLE],val[UNIT PRICE])</f>
        <v>12395</v>
      </c>
      <c r="H85" s="11">
        <v>1</v>
      </c>
      <c r="I85" s="6">
        <f>IF(Table2[[#This Row],[Discount]]&lt;(Table2[[#This Row],[UNIT PRICE]]*Table2[[#This Row],[Quantity sold]]),Table2[[#This Row],[UNIT PRICE]]*Table2[[#This Row],[Quantity sold]]-Table2[[#This Row],[Discount]],0)</f>
        <v>12395</v>
      </c>
      <c r="K85" s="2">
        <f>_xlfn.XLOOKUP(Table2[[#This Row],[Shoe style]],val[SHOE STYLE],val[COST PRICE])</f>
        <v>7909</v>
      </c>
      <c r="L85" s="2">
        <f>(Table2[[#This Row],[COST PRICE]]*Table2[[#This Row],[Quantity sold]])</f>
        <v>7909</v>
      </c>
      <c r="M85" s="2">
        <f>Table2[[#This Row],[TOTAL SALES]]-Table2[[#This Row],[TOTAL COST PRICE]]</f>
        <v>4486</v>
      </c>
      <c r="N85" s="2">
        <f>IF(Table2[[#This Row],[Amount Paid]]&gt;0,(SUMIF(Table2[Order ID],Table2[[#This Row],[Order ID]],Table2[Amount Paid])-SUMIF(Table2[Order ID],Table2[[#This Row],[Order ID]],Table2[TOTAL SALES])),0)</f>
        <v>0</v>
      </c>
      <c r="O85" s="8">
        <v>41</v>
      </c>
      <c r="P85" s="8" t="s">
        <v>25</v>
      </c>
      <c r="Q85" s="8" t="s">
        <v>26</v>
      </c>
      <c r="R85" s="8" t="s">
        <v>27</v>
      </c>
      <c r="S85" s="8" t="s">
        <v>28</v>
      </c>
      <c r="T85" s="8">
        <f t="shared" si="1"/>
        <v>0</v>
      </c>
      <c r="U85" t="str" cm="1">
        <f t="array" ref="U85">_xlfn.IFNA(_xlfn.IFS(Table2[[#This Row],[DEFICIT /SURPLUS]]&lt;0,"Deficit",Table2[[#This Row],[DEFICIT /SURPLUS]]&gt;0,"surplus"),"-")</f>
        <v>-</v>
      </c>
    </row>
    <row r="86" spans="1:21" ht="14.5">
      <c r="A86" s="8" t="s">
        <v>111</v>
      </c>
      <c r="B86" s="9">
        <v>45543</v>
      </c>
      <c r="C86" s="8" t="s">
        <v>112</v>
      </c>
      <c r="D86" s="8" t="s">
        <v>53</v>
      </c>
      <c r="E86" s="8" t="s">
        <v>24</v>
      </c>
      <c r="F86" s="31">
        <f>_xlfn.XLOOKUP(Table2[[#This Row],[Shoe style]],val[SHOE STYLE],val[UNIT PRICE])</f>
        <v>9838</v>
      </c>
      <c r="H86" s="11">
        <v>1</v>
      </c>
      <c r="I86" s="6">
        <f>IF(Table2[[#This Row],[Discount]]&lt;(Table2[[#This Row],[UNIT PRICE]]*Table2[[#This Row],[Quantity sold]]),Table2[[#This Row],[UNIT PRICE]]*Table2[[#This Row],[Quantity sold]]-Table2[[#This Row],[Discount]],0)</f>
        <v>9838</v>
      </c>
      <c r="J86" s="10">
        <v>40500</v>
      </c>
      <c r="K86" s="2">
        <f>_xlfn.XLOOKUP(Table2[[#This Row],[Shoe style]],val[SHOE STYLE],val[COST PRICE])</f>
        <v>6687</v>
      </c>
      <c r="L86" s="2">
        <f>(Table2[[#This Row],[COST PRICE]]*Table2[[#This Row],[Quantity sold]])</f>
        <v>6687</v>
      </c>
      <c r="M86" s="2">
        <f>Table2[[#This Row],[TOTAL SALES]]-Table2[[#This Row],[TOTAL COST PRICE]]</f>
        <v>3151</v>
      </c>
      <c r="N86" s="2">
        <f>IF(Table2[[#This Row],[Amount Paid]]&gt;0,(SUMIF(Table2[Order ID],Table2[[#This Row],[Order ID]],Table2[Amount Paid])-SUMIF(Table2[Order ID],Table2[[#This Row],[Order ID]],Table2[TOTAL SALES])),0)</f>
        <v>8429</v>
      </c>
      <c r="O86" s="8">
        <v>43</v>
      </c>
      <c r="P86" s="8" t="s">
        <v>25</v>
      </c>
      <c r="Q86" s="8" t="s">
        <v>113</v>
      </c>
      <c r="R86" s="8" t="s">
        <v>44</v>
      </c>
      <c r="S86" s="8" t="s">
        <v>28</v>
      </c>
      <c r="T86" s="8">
        <f t="shared" si="1"/>
        <v>0</v>
      </c>
      <c r="U86" t="str" cm="1">
        <f t="array" ref="U86">_xlfn.IFNA(_xlfn.IFS(Table2[[#This Row],[DEFICIT /SURPLUS]]&lt;0,"Deficit",Table2[[#This Row],[DEFICIT /SURPLUS]]&gt;0,"surplus"),"-")</f>
        <v>surplus</v>
      </c>
    </row>
    <row r="87" spans="1:21" ht="14.5">
      <c r="A87" s="8" t="s">
        <v>111</v>
      </c>
      <c r="B87" s="9">
        <v>45543</v>
      </c>
      <c r="C87" s="8" t="s">
        <v>112</v>
      </c>
      <c r="D87" s="8" t="s">
        <v>29</v>
      </c>
      <c r="E87" s="8" t="s">
        <v>89</v>
      </c>
      <c r="F87" s="31">
        <f>_xlfn.XLOOKUP(Table2[[#This Row],[Shoe style]],val[SHOE STYLE],val[UNIT PRICE])</f>
        <v>12395</v>
      </c>
      <c r="H87" s="11">
        <v>1</v>
      </c>
      <c r="I87" s="6">
        <f>IF(Table2[[#This Row],[Discount]]&lt;(Table2[[#This Row],[UNIT PRICE]]*Table2[[#This Row],[Quantity sold]]),Table2[[#This Row],[UNIT PRICE]]*Table2[[#This Row],[Quantity sold]]-Table2[[#This Row],[Discount]],0)</f>
        <v>12395</v>
      </c>
      <c r="K87" s="2">
        <f>_xlfn.XLOOKUP(Table2[[#This Row],[Shoe style]],val[SHOE STYLE],val[COST PRICE])</f>
        <v>7909</v>
      </c>
      <c r="L87" s="2">
        <f>(Table2[[#This Row],[COST PRICE]]*Table2[[#This Row],[Quantity sold]])</f>
        <v>7909</v>
      </c>
      <c r="M87" s="2">
        <f>Table2[[#This Row],[TOTAL SALES]]-Table2[[#This Row],[TOTAL COST PRICE]]</f>
        <v>4486</v>
      </c>
      <c r="N87" s="2">
        <f>IF(Table2[[#This Row],[Amount Paid]]&gt;0,(SUMIF(Table2[Order ID],Table2[[#This Row],[Order ID]],Table2[Amount Paid])-SUMIF(Table2[Order ID],Table2[[#This Row],[Order ID]],Table2[TOTAL SALES])),0)</f>
        <v>0</v>
      </c>
      <c r="O87" s="8">
        <v>43</v>
      </c>
      <c r="P87" s="8" t="s">
        <v>25</v>
      </c>
      <c r="Q87" s="8" t="s">
        <v>113</v>
      </c>
      <c r="R87" s="8" t="s">
        <v>44</v>
      </c>
      <c r="S87" s="8" t="s">
        <v>28</v>
      </c>
      <c r="T87" s="8">
        <f t="shared" si="1"/>
        <v>0</v>
      </c>
      <c r="U87" t="str" cm="1">
        <f t="array" ref="U87">_xlfn.IFNA(_xlfn.IFS(Table2[[#This Row],[DEFICIT /SURPLUS]]&lt;0,"Deficit",Table2[[#This Row],[DEFICIT /SURPLUS]]&gt;0,"surplus"),"-")</f>
        <v>-</v>
      </c>
    </row>
    <row r="88" spans="1:21" ht="14.5">
      <c r="A88" s="8" t="s">
        <v>111</v>
      </c>
      <c r="B88" s="9">
        <v>45543</v>
      </c>
      <c r="C88" s="8" t="s">
        <v>22</v>
      </c>
      <c r="D88" s="8" t="s">
        <v>53</v>
      </c>
      <c r="E88" s="8" t="s">
        <v>50</v>
      </c>
      <c r="F88" s="31">
        <f>_xlfn.XLOOKUP(Table2[[#This Row],[Shoe style]],val[SHOE STYLE],val[UNIT PRICE])</f>
        <v>9838</v>
      </c>
      <c r="H88" s="11">
        <v>1</v>
      </c>
      <c r="I88" s="6">
        <f>IF(Table2[[#This Row],[Discount]]&lt;(Table2[[#This Row],[UNIT PRICE]]*Table2[[#This Row],[Quantity sold]]),Table2[[#This Row],[UNIT PRICE]]*Table2[[#This Row],[Quantity sold]]-Table2[[#This Row],[Discount]],0)</f>
        <v>9838</v>
      </c>
      <c r="K88" s="2">
        <f>_xlfn.XLOOKUP(Table2[[#This Row],[Shoe style]],val[SHOE STYLE],val[COST PRICE])</f>
        <v>6687</v>
      </c>
      <c r="L88" s="2">
        <f>(Table2[[#This Row],[COST PRICE]]*Table2[[#This Row],[Quantity sold]])</f>
        <v>6687</v>
      </c>
      <c r="M88" s="2">
        <f>Table2[[#This Row],[TOTAL SALES]]-Table2[[#This Row],[TOTAL COST PRICE]]</f>
        <v>3151</v>
      </c>
      <c r="N88" s="2">
        <f>IF(Table2[[#This Row],[Amount Paid]]&gt;0,(SUMIF(Table2[Order ID],Table2[[#This Row],[Order ID]],Table2[Amount Paid])-SUMIF(Table2[Order ID],Table2[[#This Row],[Order ID]],Table2[TOTAL SALES])),0)</f>
        <v>0</v>
      </c>
      <c r="O88" s="8">
        <v>43</v>
      </c>
      <c r="P88" s="8" t="s">
        <v>25</v>
      </c>
      <c r="Q88" s="8" t="s">
        <v>113</v>
      </c>
      <c r="R88" s="8" t="s">
        <v>44</v>
      </c>
      <c r="S88" s="8" t="s">
        <v>28</v>
      </c>
      <c r="T88" s="8">
        <f t="shared" si="1"/>
        <v>0</v>
      </c>
      <c r="U88" t="str" cm="1">
        <f t="array" ref="U88">_xlfn.IFNA(_xlfn.IFS(Table2[[#This Row],[DEFICIT /SURPLUS]]&lt;0,"Deficit",Table2[[#This Row],[DEFICIT /SURPLUS]]&gt;0,"surplus"),"-")</f>
        <v>-</v>
      </c>
    </row>
    <row r="89" spans="1:21" ht="14.5">
      <c r="A89" s="8" t="s">
        <v>114</v>
      </c>
      <c r="B89" s="9">
        <v>45543</v>
      </c>
      <c r="C89" s="8" t="s">
        <v>22</v>
      </c>
      <c r="D89" s="8" t="s">
        <v>49</v>
      </c>
      <c r="E89" s="8" t="s">
        <v>43</v>
      </c>
      <c r="F89" s="31">
        <f>_xlfn.XLOOKUP(Table2[[#This Row],[Shoe style]],val[SHOE STYLE],val[UNIT PRICE])</f>
        <v>20500</v>
      </c>
      <c r="H89" s="11">
        <v>1</v>
      </c>
      <c r="I89" s="6">
        <f>IF(Table2[[#This Row],[Discount]]&lt;(Table2[[#This Row],[UNIT PRICE]]*Table2[[#This Row],[Quantity sold]]),Table2[[#This Row],[UNIT PRICE]]*Table2[[#This Row],[Quantity sold]]-Table2[[#This Row],[Discount]],0)</f>
        <v>20500</v>
      </c>
      <c r="J89" s="10">
        <v>31500</v>
      </c>
      <c r="K89" s="2">
        <f>_xlfn.XLOOKUP(Table2[[#This Row],[Shoe style]],val[SHOE STYLE],val[COST PRICE])</f>
        <v>17339</v>
      </c>
      <c r="L89" s="2">
        <f>(Table2[[#This Row],[COST PRICE]]*Table2[[#This Row],[Quantity sold]])</f>
        <v>17339</v>
      </c>
      <c r="M89" s="2">
        <f>Table2[[#This Row],[TOTAL SALES]]-Table2[[#This Row],[TOTAL COST PRICE]]</f>
        <v>3161</v>
      </c>
      <c r="N89" s="2">
        <f>IF(Table2[[#This Row],[Amount Paid]]&gt;0,(SUMIF(Table2[Order ID],Table2[[#This Row],[Order ID]],Table2[Amount Paid])-SUMIF(Table2[Order ID],Table2[[#This Row],[Order ID]],Table2[TOTAL SALES])),0)</f>
        <v>-6614</v>
      </c>
      <c r="O89" s="8">
        <v>39</v>
      </c>
      <c r="P89" s="8" t="s">
        <v>25</v>
      </c>
      <c r="Q89" s="8" t="s">
        <v>113</v>
      </c>
      <c r="R89" s="8" t="s">
        <v>27</v>
      </c>
      <c r="S89" s="8" t="s">
        <v>28</v>
      </c>
      <c r="T89" s="8">
        <f t="shared" si="1"/>
        <v>0</v>
      </c>
      <c r="U89" t="str" cm="1">
        <f t="array" ref="U89">_xlfn.IFNA(_xlfn.IFS(Table2[[#This Row],[DEFICIT /SURPLUS]]&lt;0,"Deficit",Table2[[#This Row],[DEFICIT /SURPLUS]]&gt;0,"surplus"),"-")</f>
        <v>Deficit</v>
      </c>
    </row>
    <row r="90" spans="1:21" ht="14.5">
      <c r="A90" s="8" t="s">
        <v>114</v>
      </c>
      <c r="B90" s="9">
        <v>45543</v>
      </c>
      <c r="C90" s="8" t="s">
        <v>115</v>
      </c>
      <c r="D90" s="8" t="s">
        <v>42</v>
      </c>
      <c r="E90" s="8" t="s">
        <v>24</v>
      </c>
      <c r="F90" s="31">
        <f>_xlfn.XLOOKUP(Table2[[#This Row],[Shoe style]],val[SHOE STYLE],val[UNIT PRICE])</f>
        <v>17614</v>
      </c>
      <c r="H90" s="11">
        <v>1</v>
      </c>
      <c r="I90" s="6">
        <f>IF(Table2[[#This Row],[Discount]]&lt;(Table2[[#This Row],[UNIT PRICE]]*Table2[[#This Row],[Quantity sold]]),Table2[[#This Row],[UNIT PRICE]]*Table2[[#This Row],[Quantity sold]]-Table2[[#This Row],[Discount]],0)</f>
        <v>17614</v>
      </c>
      <c r="K90" s="2">
        <f>_xlfn.XLOOKUP(Table2[[#This Row],[Shoe style]],val[SHOE STYLE],val[COST PRICE])</f>
        <v>14912</v>
      </c>
      <c r="L90" s="2">
        <f>(Table2[[#This Row],[COST PRICE]]*Table2[[#This Row],[Quantity sold]])</f>
        <v>14912</v>
      </c>
      <c r="M90" s="2">
        <f>Table2[[#This Row],[TOTAL SALES]]-Table2[[#This Row],[TOTAL COST PRICE]]</f>
        <v>2702</v>
      </c>
      <c r="N90" s="2">
        <f>IF(Table2[[#This Row],[Amount Paid]]&gt;0,(SUMIF(Table2[Order ID],Table2[[#This Row],[Order ID]],Table2[Amount Paid])-SUMIF(Table2[Order ID],Table2[[#This Row],[Order ID]],Table2[TOTAL SALES])),0)</f>
        <v>0</v>
      </c>
      <c r="O90" s="8">
        <v>39</v>
      </c>
      <c r="P90" s="8" t="s">
        <v>25</v>
      </c>
      <c r="Q90" s="8" t="s">
        <v>113</v>
      </c>
      <c r="R90" s="8" t="s">
        <v>27</v>
      </c>
      <c r="S90" s="8" t="s">
        <v>28</v>
      </c>
      <c r="T90" s="8">
        <f t="shared" si="1"/>
        <v>0</v>
      </c>
      <c r="U90" t="str" cm="1">
        <f t="array" ref="U90">_xlfn.IFNA(_xlfn.IFS(Table2[[#This Row],[DEFICIT /SURPLUS]]&lt;0,"Deficit",Table2[[#This Row],[DEFICIT /SURPLUS]]&gt;0,"surplus"),"-")</f>
        <v>-</v>
      </c>
    </row>
    <row r="91" spans="1:21" ht="14.5">
      <c r="A91" s="8" t="s">
        <v>116</v>
      </c>
      <c r="B91" s="9">
        <v>45544</v>
      </c>
      <c r="C91" s="8" t="s">
        <v>115</v>
      </c>
      <c r="D91" s="8" t="s">
        <v>29</v>
      </c>
      <c r="E91" s="8" t="s">
        <v>50</v>
      </c>
      <c r="F91" s="31">
        <f>_xlfn.XLOOKUP(Table2[[#This Row],[Shoe style]],val[SHOE STYLE],val[UNIT PRICE])</f>
        <v>12395</v>
      </c>
      <c r="H91" s="11">
        <v>1</v>
      </c>
      <c r="I91" s="6">
        <f>IF(Table2[[#This Row],[Discount]]&lt;(Table2[[#This Row],[UNIT PRICE]]*Table2[[#This Row],[Quantity sold]]),Table2[[#This Row],[UNIT PRICE]]*Table2[[#This Row],[Quantity sold]]-Table2[[#This Row],[Discount]],0)</f>
        <v>12395</v>
      </c>
      <c r="J91" s="10">
        <v>24537.5</v>
      </c>
      <c r="K91" s="2">
        <f>_xlfn.XLOOKUP(Table2[[#This Row],[Shoe style]],val[SHOE STYLE],val[COST PRICE])</f>
        <v>7909</v>
      </c>
      <c r="L91" s="2">
        <f>(Table2[[#This Row],[COST PRICE]]*Table2[[#This Row],[Quantity sold]])</f>
        <v>7909</v>
      </c>
      <c r="M91" s="2">
        <f>Table2[[#This Row],[TOTAL SALES]]-Table2[[#This Row],[TOTAL COST PRICE]]</f>
        <v>4486</v>
      </c>
      <c r="N91" s="2">
        <f>IF(Table2[[#This Row],[Amount Paid]]&gt;0,(SUMIF(Table2[Order ID],Table2[[#This Row],[Order ID]],Table2[Amount Paid])-SUMIF(Table2[Order ID],Table2[[#This Row],[Order ID]],Table2[TOTAL SALES])),0)</f>
        <v>-252.5</v>
      </c>
      <c r="O91" s="8">
        <v>40</v>
      </c>
      <c r="P91" s="8" t="s">
        <v>25</v>
      </c>
      <c r="Q91" s="8" t="s">
        <v>26</v>
      </c>
      <c r="R91" s="8" t="s">
        <v>44</v>
      </c>
      <c r="S91" s="8" t="s">
        <v>28</v>
      </c>
      <c r="T91" s="8">
        <f t="shared" si="1"/>
        <v>0</v>
      </c>
      <c r="U91" t="str" cm="1">
        <f t="array" ref="U91">_xlfn.IFNA(_xlfn.IFS(Table2[[#This Row],[DEFICIT /SURPLUS]]&lt;0,"Deficit",Table2[[#This Row],[DEFICIT /SURPLUS]]&gt;0,"surplus"),"-")</f>
        <v>Deficit</v>
      </c>
    </row>
    <row r="92" spans="1:21" ht="14.5">
      <c r="A92" s="8" t="s">
        <v>116</v>
      </c>
      <c r="B92" s="9">
        <v>45544</v>
      </c>
      <c r="C92" s="8" t="s">
        <v>22</v>
      </c>
      <c r="D92" s="8" t="s">
        <v>29</v>
      </c>
      <c r="E92" s="8" t="s">
        <v>89</v>
      </c>
      <c r="F92" s="31">
        <f>_xlfn.XLOOKUP(Table2[[#This Row],[Shoe style]],val[SHOE STYLE],val[UNIT PRICE])</f>
        <v>12395</v>
      </c>
      <c r="H92" s="11">
        <v>1</v>
      </c>
      <c r="I92" s="6">
        <f>IF(Table2[[#This Row],[Discount]]&lt;(Table2[[#This Row],[UNIT PRICE]]*Table2[[#This Row],[Quantity sold]]),Table2[[#This Row],[UNIT PRICE]]*Table2[[#This Row],[Quantity sold]]-Table2[[#This Row],[Discount]],0)</f>
        <v>12395</v>
      </c>
      <c r="K92" s="2">
        <f>_xlfn.XLOOKUP(Table2[[#This Row],[Shoe style]],val[SHOE STYLE],val[COST PRICE])</f>
        <v>7909</v>
      </c>
      <c r="L92" s="2">
        <f>(Table2[[#This Row],[COST PRICE]]*Table2[[#This Row],[Quantity sold]])</f>
        <v>7909</v>
      </c>
      <c r="M92" s="2">
        <f>Table2[[#This Row],[TOTAL SALES]]-Table2[[#This Row],[TOTAL COST PRICE]]</f>
        <v>4486</v>
      </c>
      <c r="N92" s="2">
        <f>IF(Table2[[#This Row],[Amount Paid]]&gt;0,(SUMIF(Table2[Order ID],Table2[[#This Row],[Order ID]],Table2[Amount Paid])-SUMIF(Table2[Order ID],Table2[[#This Row],[Order ID]],Table2[TOTAL SALES])),0)</f>
        <v>0</v>
      </c>
      <c r="O92" s="8">
        <v>40</v>
      </c>
      <c r="P92" s="8" t="s">
        <v>25</v>
      </c>
      <c r="Q92" s="8" t="s">
        <v>26</v>
      </c>
      <c r="R92" s="8" t="s">
        <v>44</v>
      </c>
      <c r="S92" s="8" t="s">
        <v>28</v>
      </c>
      <c r="T92" s="8">
        <f t="shared" si="1"/>
        <v>0</v>
      </c>
      <c r="U92" t="str" cm="1">
        <f t="array" ref="U92">_xlfn.IFNA(_xlfn.IFS(Table2[[#This Row],[DEFICIT /SURPLUS]]&lt;0,"Deficit",Table2[[#This Row],[DEFICIT /SURPLUS]]&gt;0,"surplus"),"-")</f>
        <v>-</v>
      </c>
    </row>
    <row r="93" spans="1:21" ht="14.5">
      <c r="A93" s="8" t="s">
        <v>117</v>
      </c>
      <c r="B93" s="9">
        <v>45544</v>
      </c>
      <c r="C93" s="8" t="s">
        <v>22</v>
      </c>
      <c r="D93" s="8" t="s">
        <v>68</v>
      </c>
      <c r="E93" s="8" t="s">
        <v>61</v>
      </c>
      <c r="F93" s="31">
        <f>_xlfn.XLOOKUP(Table2[[#This Row],[Shoe style]],val[SHOE STYLE],val[UNIT PRICE])</f>
        <v>10509</v>
      </c>
      <c r="H93" s="11">
        <v>1</v>
      </c>
      <c r="I93" s="6">
        <f>IF(Table2[[#This Row],[Discount]]&lt;(Table2[[#This Row],[UNIT PRICE]]*Table2[[#This Row],[Quantity sold]]),Table2[[#This Row],[UNIT PRICE]]*Table2[[#This Row],[Quantity sold]]-Table2[[#This Row],[Discount]],0)</f>
        <v>10509</v>
      </c>
      <c r="J93" s="10">
        <v>27000</v>
      </c>
      <c r="K93" s="2">
        <f>_xlfn.XLOOKUP(Table2[[#This Row],[Shoe style]],val[SHOE STYLE],val[COST PRICE])</f>
        <v>7573</v>
      </c>
      <c r="L93" s="2">
        <f>(Table2[[#This Row],[COST PRICE]]*Table2[[#This Row],[Quantity sold]])</f>
        <v>7573</v>
      </c>
      <c r="M93" s="2">
        <f>Table2[[#This Row],[TOTAL SALES]]-Table2[[#This Row],[TOTAL COST PRICE]]</f>
        <v>2936</v>
      </c>
      <c r="N93" s="2">
        <f>IF(Table2[[#This Row],[Amount Paid]]&gt;0,(SUMIF(Table2[Order ID],Table2[[#This Row],[Order ID]],Table2[Amount Paid])-SUMIF(Table2[Order ID],Table2[[#This Row],[Order ID]],Table2[TOTAL SALES])),0)</f>
        <v>4096</v>
      </c>
      <c r="O93" s="8">
        <v>44</v>
      </c>
      <c r="P93" s="8" t="s">
        <v>25</v>
      </c>
      <c r="Q93" s="8" t="s">
        <v>26</v>
      </c>
      <c r="R93" s="8" t="s">
        <v>27</v>
      </c>
      <c r="S93" s="8" t="s">
        <v>28</v>
      </c>
      <c r="T93" s="8">
        <f t="shared" si="1"/>
        <v>0</v>
      </c>
      <c r="U93" t="str" cm="1">
        <f t="array" ref="U93">_xlfn.IFNA(_xlfn.IFS(Table2[[#This Row],[DEFICIT /SURPLUS]]&lt;0,"Deficit",Table2[[#This Row],[DEFICIT /SURPLUS]]&gt;0,"surplus"),"-")</f>
        <v>surplus</v>
      </c>
    </row>
    <row r="94" spans="1:21" ht="14.5">
      <c r="A94" s="8" t="s">
        <v>117</v>
      </c>
      <c r="B94" s="9">
        <v>45544</v>
      </c>
      <c r="C94" s="8" t="s">
        <v>22</v>
      </c>
      <c r="D94" s="8" t="s">
        <v>29</v>
      </c>
      <c r="E94" s="8" t="s">
        <v>40</v>
      </c>
      <c r="F94" s="31">
        <f>_xlfn.XLOOKUP(Table2[[#This Row],[Shoe style]],val[SHOE STYLE],val[UNIT PRICE])</f>
        <v>12395</v>
      </c>
      <c r="H94" s="11">
        <v>1</v>
      </c>
      <c r="I94" s="6">
        <f>IF(Table2[[#This Row],[Discount]]&lt;(Table2[[#This Row],[UNIT PRICE]]*Table2[[#This Row],[Quantity sold]]),Table2[[#This Row],[UNIT PRICE]]*Table2[[#This Row],[Quantity sold]]-Table2[[#This Row],[Discount]],0)</f>
        <v>12395</v>
      </c>
      <c r="K94" s="2">
        <f>_xlfn.XLOOKUP(Table2[[#This Row],[Shoe style]],val[SHOE STYLE],val[COST PRICE])</f>
        <v>7909</v>
      </c>
      <c r="L94" s="2">
        <f>(Table2[[#This Row],[COST PRICE]]*Table2[[#This Row],[Quantity sold]])</f>
        <v>7909</v>
      </c>
      <c r="M94" s="2">
        <f>Table2[[#This Row],[TOTAL SALES]]-Table2[[#This Row],[TOTAL COST PRICE]]</f>
        <v>4486</v>
      </c>
      <c r="N94" s="2">
        <f>IF(Table2[[#This Row],[Amount Paid]]&gt;0,(SUMIF(Table2[Order ID],Table2[[#This Row],[Order ID]],Table2[Amount Paid])-SUMIF(Table2[Order ID],Table2[[#This Row],[Order ID]],Table2[TOTAL SALES])),0)</f>
        <v>0</v>
      </c>
      <c r="O94" s="8">
        <v>44</v>
      </c>
      <c r="P94" s="8" t="s">
        <v>25</v>
      </c>
      <c r="Q94" s="8" t="s">
        <v>26</v>
      </c>
      <c r="R94" s="8" t="s">
        <v>27</v>
      </c>
      <c r="S94" s="8" t="s">
        <v>28</v>
      </c>
      <c r="T94" s="8">
        <f t="shared" si="1"/>
        <v>0</v>
      </c>
      <c r="U94" t="str" cm="1">
        <f t="array" ref="U94">_xlfn.IFNA(_xlfn.IFS(Table2[[#This Row],[DEFICIT /SURPLUS]]&lt;0,"Deficit",Table2[[#This Row],[DEFICIT /SURPLUS]]&gt;0,"surplus"),"-")</f>
        <v>-</v>
      </c>
    </row>
    <row r="95" spans="1:21" ht="14.5">
      <c r="A95" s="8" t="s">
        <v>118</v>
      </c>
      <c r="B95" s="9">
        <v>45545</v>
      </c>
      <c r="C95" s="8" t="s">
        <v>112</v>
      </c>
      <c r="D95" s="8" t="s">
        <v>49</v>
      </c>
      <c r="E95" s="8" t="s">
        <v>38</v>
      </c>
      <c r="F95" s="31">
        <f>_xlfn.XLOOKUP(Table2[[#This Row],[Shoe style]],val[SHOE STYLE],val[UNIT PRICE])</f>
        <v>20500</v>
      </c>
      <c r="H95" s="11">
        <v>1</v>
      </c>
      <c r="I95" s="6">
        <f>IF(Table2[[#This Row],[Discount]]&lt;(Table2[[#This Row],[UNIT PRICE]]*Table2[[#This Row],[Quantity sold]]),Table2[[#This Row],[UNIT PRICE]]*Table2[[#This Row],[Quantity sold]]-Table2[[#This Row],[Discount]],0)</f>
        <v>20500</v>
      </c>
      <c r="J95" s="10">
        <v>33500</v>
      </c>
      <c r="K95" s="2">
        <f>_xlfn.XLOOKUP(Table2[[#This Row],[Shoe style]],val[SHOE STYLE],val[COST PRICE])</f>
        <v>17339</v>
      </c>
      <c r="L95" s="2">
        <f>(Table2[[#This Row],[COST PRICE]]*Table2[[#This Row],[Quantity sold]])</f>
        <v>17339</v>
      </c>
      <c r="M95" s="2">
        <f>Table2[[#This Row],[TOTAL SALES]]-Table2[[#This Row],[TOTAL COST PRICE]]</f>
        <v>3161</v>
      </c>
      <c r="N95" s="2">
        <f>IF(Table2[[#This Row],[Amount Paid]]&gt;0,(SUMIF(Table2[Order ID],Table2[[#This Row],[Order ID]],Table2[Amount Paid])-SUMIF(Table2[Order ID],Table2[[#This Row],[Order ID]],Table2[TOTAL SALES])),0)</f>
        <v>605</v>
      </c>
      <c r="O95" s="8">
        <v>41</v>
      </c>
      <c r="P95" s="8" t="s">
        <v>25</v>
      </c>
      <c r="Q95" s="8" t="s">
        <v>26</v>
      </c>
      <c r="R95" s="8" t="s">
        <v>27</v>
      </c>
      <c r="S95" s="8" t="s">
        <v>28</v>
      </c>
      <c r="T95" s="8">
        <f t="shared" si="1"/>
        <v>0</v>
      </c>
      <c r="U95" t="str" cm="1">
        <f t="array" ref="U95">_xlfn.IFNA(_xlfn.IFS(Table2[[#This Row],[DEFICIT /SURPLUS]]&lt;0,"Deficit",Table2[[#This Row],[DEFICIT /SURPLUS]]&gt;0,"surplus"),"-")</f>
        <v>surplus</v>
      </c>
    </row>
    <row r="96" spans="1:21" ht="14.5">
      <c r="A96" s="8" t="s">
        <v>118</v>
      </c>
      <c r="B96" s="9">
        <v>45545</v>
      </c>
      <c r="C96" s="8" t="s">
        <v>112</v>
      </c>
      <c r="D96" s="8" t="s">
        <v>29</v>
      </c>
      <c r="E96" s="8" t="s">
        <v>62</v>
      </c>
      <c r="F96" s="31">
        <f>_xlfn.XLOOKUP(Table2[[#This Row],[Shoe style]],val[SHOE STYLE],val[UNIT PRICE])</f>
        <v>12395</v>
      </c>
      <c r="H96" s="11">
        <v>1</v>
      </c>
      <c r="I96" s="6">
        <f>IF(Table2[[#This Row],[Discount]]&lt;(Table2[[#This Row],[UNIT PRICE]]*Table2[[#This Row],[Quantity sold]]),Table2[[#This Row],[UNIT PRICE]]*Table2[[#This Row],[Quantity sold]]-Table2[[#This Row],[Discount]],0)</f>
        <v>12395</v>
      </c>
      <c r="K96" s="2">
        <f>_xlfn.XLOOKUP(Table2[[#This Row],[Shoe style]],val[SHOE STYLE],val[COST PRICE])</f>
        <v>7909</v>
      </c>
      <c r="L96" s="2">
        <f>(Table2[[#This Row],[COST PRICE]]*Table2[[#This Row],[Quantity sold]])</f>
        <v>7909</v>
      </c>
      <c r="M96" s="2">
        <f>Table2[[#This Row],[TOTAL SALES]]-Table2[[#This Row],[TOTAL COST PRICE]]</f>
        <v>4486</v>
      </c>
      <c r="N96" s="2">
        <f>IF(Table2[[#This Row],[Amount Paid]]&gt;0,(SUMIF(Table2[Order ID],Table2[[#This Row],[Order ID]],Table2[Amount Paid])-SUMIF(Table2[Order ID],Table2[[#This Row],[Order ID]],Table2[TOTAL SALES])),0)</f>
        <v>0</v>
      </c>
      <c r="O96" s="8">
        <v>41</v>
      </c>
      <c r="P96" s="8" t="s">
        <v>25</v>
      </c>
      <c r="Q96" s="8" t="s">
        <v>26</v>
      </c>
      <c r="R96" s="8" t="s">
        <v>27</v>
      </c>
      <c r="S96" s="8" t="s">
        <v>28</v>
      </c>
      <c r="T96" s="8">
        <f t="shared" si="1"/>
        <v>0</v>
      </c>
      <c r="U96" t="str" cm="1">
        <f t="array" ref="U96">_xlfn.IFNA(_xlfn.IFS(Table2[[#This Row],[DEFICIT /SURPLUS]]&lt;0,"Deficit",Table2[[#This Row],[DEFICIT /SURPLUS]]&gt;0,"surplus"),"-")</f>
        <v>-</v>
      </c>
    </row>
    <row r="97" spans="1:21" ht="14.5">
      <c r="A97" s="8" t="s">
        <v>119</v>
      </c>
      <c r="B97" s="9">
        <v>45545</v>
      </c>
      <c r="C97" s="8" t="s">
        <v>22</v>
      </c>
      <c r="D97" s="8" t="s">
        <v>68</v>
      </c>
      <c r="E97" s="8" t="s">
        <v>109</v>
      </c>
      <c r="F97" s="31">
        <f>_xlfn.XLOOKUP(Table2[[#This Row],[Shoe style]],val[SHOE STYLE],val[UNIT PRICE])</f>
        <v>10509</v>
      </c>
      <c r="H97" s="11">
        <v>1</v>
      </c>
      <c r="I97" s="6">
        <f>IF(Table2[[#This Row],[Discount]]&lt;(Table2[[#This Row],[UNIT PRICE]]*Table2[[#This Row],[Quantity sold]]),Table2[[#This Row],[UNIT PRICE]]*Table2[[#This Row],[Quantity sold]]-Table2[[#This Row],[Discount]],0)</f>
        <v>10509</v>
      </c>
      <c r="J97" s="10">
        <v>31000</v>
      </c>
      <c r="K97" s="2">
        <f>_xlfn.XLOOKUP(Table2[[#This Row],[Shoe style]],val[SHOE STYLE],val[COST PRICE])</f>
        <v>7573</v>
      </c>
      <c r="L97" s="2">
        <f>(Table2[[#This Row],[COST PRICE]]*Table2[[#This Row],[Quantity sold]])</f>
        <v>7573</v>
      </c>
      <c r="M97" s="2">
        <f>Table2[[#This Row],[TOTAL SALES]]-Table2[[#This Row],[TOTAL COST PRICE]]</f>
        <v>2936</v>
      </c>
      <c r="N97" s="2">
        <f>IF(Table2[[#This Row],[Amount Paid]]&gt;0,(SUMIF(Table2[Order ID],Table2[[#This Row],[Order ID]],Table2[Amount Paid])-SUMIF(Table2[Order ID],Table2[[#This Row],[Order ID]],Table2[TOTAL SALES])),0)</f>
        <v>-9</v>
      </c>
      <c r="O97" s="8">
        <v>39</v>
      </c>
      <c r="P97" s="8" t="s">
        <v>25</v>
      </c>
      <c r="Q97" s="8" t="s">
        <v>26</v>
      </c>
      <c r="R97" s="8" t="s">
        <v>27</v>
      </c>
      <c r="S97" s="8" t="s">
        <v>28</v>
      </c>
      <c r="T97" s="8">
        <f t="shared" si="1"/>
        <v>0</v>
      </c>
      <c r="U97" t="str" cm="1">
        <f t="array" ref="U97">_xlfn.IFNA(_xlfn.IFS(Table2[[#This Row],[DEFICIT /SURPLUS]]&lt;0,"Deficit",Table2[[#This Row],[DEFICIT /SURPLUS]]&gt;0,"surplus"),"-")</f>
        <v>Deficit</v>
      </c>
    </row>
    <row r="98" spans="1:21" ht="14.5">
      <c r="A98" s="8" t="s">
        <v>119</v>
      </c>
      <c r="B98" s="9">
        <v>45545</v>
      </c>
      <c r="C98" s="8" t="s">
        <v>22</v>
      </c>
      <c r="D98" s="8" t="s">
        <v>49</v>
      </c>
      <c r="E98" s="8" t="s">
        <v>109</v>
      </c>
      <c r="F98" s="31">
        <f>_xlfn.XLOOKUP(Table2[[#This Row],[Shoe style]],val[SHOE STYLE],val[UNIT PRICE])</f>
        <v>20500</v>
      </c>
      <c r="H98" s="11">
        <v>1</v>
      </c>
      <c r="I98" s="6">
        <f>IF(Table2[[#This Row],[Discount]]&lt;(Table2[[#This Row],[UNIT PRICE]]*Table2[[#This Row],[Quantity sold]]),Table2[[#This Row],[UNIT PRICE]]*Table2[[#This Row],[Quantity sold]]-Table2[[#This Row],[Discount]],0)</f>
        <v>20500</v>
      </c>
      <c r="K98" s="2">
        <f>_xlfn.XLOOKUP(Table2[[#This Row],[Shoe style]],val[SHOE STYLE],val[COST PRICE])</f>
        <v>17339</v>
      </c>
      <c r="L98" s="2">
        <f>(Table2[[#This Row],[COST PRICE]]*Table2[[#This Row],[Quantity sold]])</f>
        <v>17339</v>
      </c>
      <c r="M98" s="2">
        <f>Table2[[#This Row],[TOTAL SALES]]-Table2[[#This Row],[TOTAL COST PRICE]]</f>
        <v>3161</v>
      </c>
      <c r="N98" s="2">
        <f>IF(Table2[[#This Row],[Amount Paid]]&gt;0,(SUMIF(Table2[Order ID],Table2[[#This Row],[Order ID]],Table2[Amount Paid])-SUMIF(Table2[Order ID],Table2[[#This Row],[Order ID]],Table2[TOTAL SALES])),0)</f>
        <v>0</v>
      </c>
      <c r="O98" s="8">
        <v>39</v>
      </c>
      <c r="P98" s="8" t="s">
        <v>25</v>
      </c>
      <c r="Q98" s="8" t="s">
        <v>26</v>
      </c>
      <c r="R98" s="8" t="s">
        <v>27</v>
      </c>
      <c r="S98" s="8" t="s">
        <v>28</v>
      </c>
      <c r="T98" s="8">
        <f t="shared" si="1"/>
        <v>0</v>
      </c>
      <c r="U98" t="str" cm="1">
        <f t="array" ref="U98">_xlfn.IFNA(_xlfn.IFS(Table2[[#This Row],[DEFICIT /SURPLUS]]&lt;0,"Deficit",Table2[[#This Row],[DEFICIT /SURPLUS]]&gt;0,"surplus"),"-")</f>
        <v>-</v>
      </c>
    </row>
    <row r="99" spans="1:21" ht="14.5">
      <c r="A99" s="8" t="s">
        <v>120</v>
      </c>
      <c r="B99" s="9">
        <v>45545</v>
      </c>
      <c r="C99" s="8" t="s">
        <v>22</v>
      </c>
      <c r="D99" s="8" t="s">
        <v>37</v>
      </c>
      <c r="E99" s="8" t="s">
        <v>121</v>
      </c>
      <c r="F99" s="31">
        <f>_xlfn.XLOOKUP(Table2[[#This Row],[Shoe style]],val[SHOE STYLE],val[UNIT PRICE])</f>
        <v>22728</v>
      </c>
      <c r="H99" s="11">
        <v>1</v>
      </c>
      <c r="I99" s="6">
        <f>IF(Table2[[#This Row],[Discount]]&lt;(Table2[[#This Row],[UNIT PRICE]]*Table2[[#This Row],[Quantity sold]]),Table2[[#This Row],[UNIT PRICE]]*Table2[[#This Row],[Quantity sold]]-Table2[[#This Row],[Discount]],0)</f>
        <v>22728</v>
      </c>
      <c r="J99" s="10">
        <v>28000</v>
      </c>
      <c r="K99" s="2">
        <f>_xlfn.XLOOKUP(Table2[[#This Row],[Shoe style]],val[SHOE STYLE],val[COST PRICE])</f>
        <v>20451</v>
      </c>
      <c r="L99" s="2">
        <f>(Table2[[#This Row],[COST PRICE]]*Table2[[#This Row],[Quantity sold]])</f>
        <v>20451</v>
      </c>
      <c r="M99" s="2">
        <f>Table2[[#This Row],[TOTAL SALES]]-Table2[[#This Row],[TOTAL COST PRICE]]</f>
        <v>2277</v>
      </c>
      <c r="N99" s="2">
        <f>IF(Table2[[#This Row],[Amount Paid]]&gt;0,(SUMIF(Table2[Order ID],Table2[[#This Row],[Order ID]],Table2[Amount Paid])-SUMIF(Table2[Order ID],Table2[[#This Row],[Order ID]],Table2[TOTAL SALES])),0)</f>
        <v>-7123</v>
      </c>
      <c r="O99" s="8">
        <v>39</v>
      </c>
      <c r="P99" s="8" t="s">
        <v>25</v>
      </c>
      <c r="Q99" s="8" t="s">
        <v>26</v>
      </c>
      <c r="R99" s="8" t="s">
        <v>27</v>
      </c>
      <c r="S99" s="8" t="s">
        <v>28</v>
      </c>
      <c r="T99" s="8">
        <f t="shared" si="1"/>
        <v>0</v>
      </c>
      <c r="U99" t="str" cm="1">
        <f t="array" ref="U99">_xlfn.IFNA(_xlfn.IFS(Table2[[#This Row],[DEFICIT /SURPLUS]]&lt;0,"Deficit",Table2[[#This Row],[DEFICIT /SURPLUS]]&gt;0,"surplus"),"-")</f>
        <v>Deficit</v>
      </c>
    </row>
    <row r="100" spans="1:21" ht="14.5">
      <c r="A100" s="8" t="s">
        <v>120</v>
      </c>
      <c r="B100" s="9">
        <v>45545</v>
      </c>
      <c r="C100" s="8" t="s">
        <v>22</v>
      </c>
      <c r="D100" s="8" t="s">
        <v>29</v>
      </c>
      <c r="E100" s="8" t="s">
        <v>122</v>
      </c>
      <c r="F100" s="31">
        <f>_xlfn.XLOOKUP(Table2[[#This Row],[Shoe style]],val[SHOE STYLE],val[UNIT PRICE])</f>
        <v>12395</v>
      </c>
      <c r="H100" s="11">
        <v>1</v>
      </c>
      <c r="I100" s="6">
        <f>IF(Table2[[#This Row],[Discount]]&lt;(Table2[[#This Row],[UNIT PRICE]]*Table2[[#This Row],[Quantity sold]]),Table2[[#This Row],[UNIT PRICE]]*Table2[[#This Row],[Quantity sold]]-Table2[[#This Row],[Discount]],0)</f>
        <v>12395</v>
      </c>
      <c r="K100" s="2">
        <f>_xlfn.XLOOKUP(Table2[[#This Row],[Shoe style]],val[SHOE STYLE],val[COST PRICE])</f>
        <v>7909</v>
      </c>
      <c r="L100" s="2">
        <f>(Table2[[#This Row],[COST PRICE]]*Table2[[#This Row],[Quantity sold]])</f>
        <v>7909</v>
      </c>
      <c r="M100" s="2">
        <f>Table2[[#This Row],[TOTAL SALES]]-Table2[[#This Row],[TOTAL COST PRICE]]</f>
        <v>4486</v>
      </c>
      <c r="N100" s="2">
        <f>IF(Table2[[#This Row],[Amount Paid]]&gt;0,(SUMIF(Table2[Order ID],Table2[[#This Row],[Order ID]],Table2[Amount Paid])-SUMIF(Table2[Order ID],Table2[[#This Row],[Order ID]],Table2[TOTAL SALES])),0)</f>
        <v>0</v>
      </c>
      <c r="O100" s="8">
        <v>39</v>
      </c>
      <c r="P100" s="8" t="s">
        <v>25</v>
      </c>
      <c r="Q100" s="8" t="s">
        <v>26</v>
      </c>
      <c r="R100" s="8" t="s">
        <v>27</v>
      </c>
      <c r="S100" s="8" t="s">
        <v>28</v>
      </c>
      <c r="T100" s="8">
        <f t="shared" si="1"/>
        <v>0</v>
      </c>
      <c r="U100" t="str" cm="1">
        <f t="array" ref="U100">_xlfn.IFNA(_xlfn.IFS(Table2[[#This Row],[DEFICIT /SURPLUS]]&lt;0,"Deficit",Table2[[#This Row],[DEFICIT /SURPLUS]]&gt;0,"surplus"),"-")</f>
        <v>-</v>
      </c>
    </row>
    <row r="101" spans="1:21" ht="14.5">
      <c r="A101" s="8" t="s">
        <v>123</v>
      </c>
      <c r="B101" s="9">
        <v>45546</v>
      </c>
      <c r="C101" s="8" t="s">
        <v>22</v>
      </c>
      <c r="D101" s="8" t="s">
        <v>124</v>
      </c>
      <c r="E101" s="8" t="s">
        <v>43</v>
      </c>
      <c r="F101" s="31">
        <f>_xlfn.XLOOKUP(Table2[[#This Row],[Shoe style]],val[SHOE STYLE],val[UNIT PRICE])</f>
        <v>15204</v>
      </c>
      <c r="H101" s="11">
        <v>1</v>
      </c>
      <c r="I101" s="6">
        <f>IF(Table2[[#This Row],[Discount]]&lt;(Table2[[#This Row],[UNIT PRICE]]*Table2[[#This Row],[Quantity sold]]),Table2[[#This Row],[UNIT PRICE]]*Table2[[#This Row],[Quantity sold]]-Table2[[#This Row],[Discount]],0)</f>
        <v>15204</v>
      </c>
      <c r="J101" s="10">
        <v>28000</v>
      </c>
      <c r="K101" s="2">
        <f>_xlfn.XLOOKUP(Table2[[#This Row],[Shoe style]],val[SHOE STYLE],val[COST PRICE])</f>
        <v>12537</v>
      </c>
      <c r="L101" s="2">
        <f>(Table2[[#This Row],[COST PRICE]]*Table2[[#This Row],[Quantity sold]])</f>
        <v>12537</v>
      </c>
      <c r="M101" s="2">
        <f>Table2[[#This Row],[TOTAL SALES]]-Table2[[#This Row],[TOTAL COST PRICE]]</f>
        <v>2667</v>
      </c>
      <c r="N101" s="2">
        <f>IF(Table2[[#This Row],[Amount Paid]]&gt;0,(SUMIF(Table2[Order ID],Table2[[#This Row],[Order ID]],Table2[Amount Paid])-SUMIF(Table2[Order ID],Table2[[#This Row],[Order ID]],Table2[TOTAL SALES])),0)</f>
        <v>401</v>
      </c>
      <c r="O101" s="8">
        <v>41</v>
      </c>
      <c r="P101" s="8" t="s">
        <v>25</v>
      </c>
      <c r="Q101" s="8" t="s">
        <v>26</v>
      </c>
      <c r="R101" s="8" t="s">
        <v>44</v>
      </c>
      <c r="S101" s="8" t="s">
        <v>28</v>
      </c>
      <c r="T101" s="8">
        <f t="shared" si="1"/>
        <v>0</v>
      </c>
      <c r="U101" t="str" cm="1">
        <f t="array" ref="U101">_xlfn.IFNA(_xlfn.IFS(Table2[[#This Row],[DEFICIT /SURPLUS]]&lt;0,"Deficit",Table2[[#This Row],[DEFICIT /SURPLUS]]&gt;0,"surplus"),"-")</f>
        <v>surplus</v>
      </c>
    </row>
    <row r="102" spans="1:21" ht="14.5">
      <c r="A102" s="8" t="s">
        <v>123</v>
      </c>
      <c r="B102" s="9">
        <v>45546</v>
      </c>
      <c r="C102" s="8" t="s">
        <v>22</v>
      </c>
      <c r="D102" s="8" t="s">
        <v>29</v>
      </c>
      <c r="E102" s="8" t="s">
        <v>24</v>
      </c>
      <c r="F102" s="31">
        <f>_xlfn.XLOOKUP(Table2[[#This Row],[Shoe style]],val[SHOE STYLE],val[UNIT PRICE])</f>
        <v>12395</v>
      </c>
      <c r="H102" s="11">
        <v>1</v>
      </c>
      <c r="I102" s="6">
        <f>IF(Table2[[#This Row],[Discount]]&lt;(Table2[[#This Row],[UNIT PRICE]]*Table2[[#This Row],[Quantity sold]]),Table2[[#This Row],[UNIT PRICE]]*Table2[[#This Row],[Quantity sold]]-Table2[[#This Row],[Discount]],0)</f>
        <v>12395</v>
      </c>
      <c r="K102" s="2">
        <f>_xlfn.XLOOKUP(Table2[[#This Row],[Shoe style]],val[SHOE STYLE],val[COST PRICE])</f>
        <v>7909</v>
      </c>
      <c r="L102" s="2">
        <f>(Table2[[#This Row],[COST PRICE]]*Table2[[#This Row],[Quantity sold]])</f>
        <v>7909</v>
      </c>
      <c r="M102" s="2">
        <f>Table2[[#This Row],[TOTAL SALES]]-Table2[[#This Row],[TOTAL COST PRICE]]</f>
        <v>4486</v>
      </c>
      <c r="N102" s="2">
        <f>IF(Table2[[#This Row],[Amount Paid]]&gt;0,(SUMIF(Table2[Order ID],Table2[[#This Row],[Order ID]],Table2[Amount Paid])-SUMIF(Table2[Order ID],Table2[[#This Row],[Order ID]],Table2[TOTAL SALES])),0)</f>
        <v>0</v>
      </c>
      <c r="O102" s="8">
        <v>41</v>
      </c>
      <c r="P102" s="8" t="s">
        <v>25</v>
      </c>
      <c r="Q102" s="8" t="s">
        <v>26</v>
      </c>
      <c r="R102" s="8" t="s">
        <v>44</v>
      </c>
      <c r="S102" s="8" t="s">
        <v>28</v>
      </c>
      <c r="T102" s="8">
        <f t="shared" si="1"/>
        <v>0</v>
      </c>
      <c r="U102" t="str" cm="1">
        <f t="array" ref="U102">_xlfn.IFNA(_xlfn.IFS(Table2[[#This Row],[DEFICIT /SURPLUS]]&lt;0,"Deficit",Table2[[#This Row],[DEFICIT /SURPLUS]]&gt;0,"surplus"),"-")</f>
        <v>-</v>
      </c>
    </row>
    <row r="103" spans="1:21" ht="14.5">
      <c r="A103" s="8" t="s">
        <v>125</v>
      </c>
      <c r="B103" s="9">
        <v>45546</v>
      </c>
      <c r="C103" s="8" t="s">
        <v>22</v>
      </c>
      <c r="D103" s="8" t="s">
        <v>29</v>
      </c>
      <c r="E103" s="8" t="s">
        <v>126</v>
      </c>
      <c r="F103" s="31">
        <f>_xlfn.XLOOKUP(Table2[[#This Row],[Shoe style]],val[SHOE STYLE],val[UNIT PRICE])</f>
        <v>12395</v>
      </c>
      <c r="H103" s="11">
        <v>1</v>
      </c>
      <c r="I103" s="6">
        <f>IF(Table2[[#This Row],[Discount]]&lt;(Table2[[#This Row],[UNIT PRICE]]*Table2[[#This Row],[Quantity sold]]),Table2[[#This Row],[UNIT PRICE]]*Table2[[#This Row],[Quantity sold]]-Table2[[#This Row],[Discount]],0)</f>
        <v>12395</v>
      </c>
      <c r="J103" s="10">
        <v>16500</v>
      </c>
      <c r="K103" s="2">
        <f>_xlfn.XLOOKUP(Table2[[#This Row],[Shoe style]],val[SHOE STYLE],val[COST PRICE])</f>
        <v>7909</v>
      </c>
      <c r="L103" s="2">
        <f>(Table2[[#This Row],[COST PRICE]]*Table2[[#This Row],[Quantity sold]])</f>
        <v>7909</v>
      </c>
      <c r="M103" s="2">
        <f>Table2[[#This Row],[TOTAL SALES]]-Table2[[#This Row],[TOTAL COST PRICE]]</f>
        <v>4486</v>
      </c>
      <c r="N103" s="2">
        <f>IF(Table2[[#This Row],[Amount Paid]]&gt;0,(SUMIF(Table2[Order ID],Table2[[#This Row],[Order ID]],Table2[Amount Paid])-SUMIF(Table2[Order ID],Table2[[#This Row],[Order ID]],Table2[TOTAL SALES])),0)</f>
        <v>4105</v>
      </c>
      <c r="O103" s="8">
        <v>41</v>
      </c>
      <c r="P103" s="8" t="s">
        <v>25</v>
      </c>
      <c r="Q103" s="8" t="s">
        <v>26</v>
      </c>
      <c r="R103" s="8" t="s">
        <v>44</v>
      </c>
      <c r="S103" s="8" t="s">
        <v>28</v>
      </c>
      <c r="T103" s="8">
        <f t="shared" si="1"/>
        <v>0</v>
      </c>
      <c r="U103" t="str" cm="1">
        <f t="array" ref="U103">_xlfn.IFNA(_xlfn.IFS(Table2[[#This Row],[DEFICIT /SURPLUS]]&lt;0,"Deficit",Table2[[#This Row],[DEFICIT /SURPLUS]]&gt;0,"surplus"),"-")</f>
        <v>surplus</v>
      </c>
    </row>
    <row r="104" spans="1:21" ht="14.5">
      <c r="A104" s="8" t="s">
        <v>127</v>
      </c>
      <c r="B104" s="9">
        <v>45546</v>
      </c>
      <c r="C104" s="8" t="s">
        <v>112</v>
      </c>
      <c r="D104" s="8" t="s">
        <v>42</v>
      </c>
      <c r="E104" s="8" t="s">
        <v>43</v>
      </c>
      <c r="F104" s="31">
        <f>_xlfn.XLOOKUP(Table2[[#This Row],[Shoe style]],val[SHOE STYLE],val[UNIT PRICE])</f>
        <v>17614</v>
      </c>
      <c r="H104" s="11">
        <v>1</v>
      </c>
      <c r="I104" s="6">
        <f>IF(Table2[[#This Row],[Discount]]&lt;(Table2[[#This Row],[UNIT PRICE]]*Table2[[#This Row],[Quantity sold]]),Table2[[#This Row],[UNIT PRICE]]*Table2[[#This Row],[Quantity sold]]-Table2[[#This Row],[Discount]],0)</f>
        <v>17614</v>
      </c>
      <c r="J104" s="10">
        <v>17000</v>
      </c>
      <c r="K104" s="2">
        <f>_xlfn.XLOOKUP(Table2[[#This Row],[Shoe style]],val[SHOE STYLE],val[COST PRICE])</f>
        <v>14912</v>
      </c>
      <c r="L104" s="2">
        <f>(Table2[[#This Row],[COST PRICE]]*Table2[[#This Row],[Quantity sold]])</f>
        <v>14912</v>
      </c>
      <c r="M104" s="2">
        <f>Table2[[#This Row],[TOTAL SALES]]-Table2[[#This Row],[TOTAL COST PRICE]]</f>
        <v>2702</v>
      </c>
      <c r="N104" s="2">
        <f>IF(Table2[[#This Row],[Amount Paid]]&gt;0,(SUMIF(Table2[Order ID],Table2[[#This Row],[Order ID]],Table2[Amount Paid])-SUMIF(Table2[Order ID],Table2[[#This Row],[Order ID]],Table2[TOTAL SALES])),0)</f>
        <v>-614</v>
      </c>
      <c r="O104" s="8">
        <v>40</v>
      </c>
      <c r="P104" s="8" t="s">
        <v>25</v>
      </c>
      <c r="Q104" s="8" t="s">
        <v>26</v>
      </c>
      <c r="R104" s="8" t="s">
        <v>44</v>
      </c>
      <c r="S104" s="8" t="s">
        <v>28</v>
      </c>
      <c r="T104" s="8">
        <f t="shared" si="1"/>
        <v>0</v>
      </c>
      <c r="U104" t="str" cm="1">
        <f t="array" ref="U104">_xlfn.IFNA(_xlfn.IFS(Table2[[#This Row],[DEFICIT /SURPLUS]]&lt;0,"Deficit",Table2[[#This Row],[DEFICIT /SURPLUS]]&gt;0,"surplus"),"-")</f>
        <v>Deficit</v>
      </c>
    </row>
    <row r="105" spans="1:21" ht="14.5">
      <c r="A105" s="8" t="s">
        <v>128</v>
      </c>
      <c r="B105" s="9">
        <v>45547</v>
      </c>
      <c r="C105" s="8" t="s">
        <v>112</v>
      </c>
      <c r="D105" s="8" t="s">
        <v>49</v>
      </c>
      <c r="E105" s="8" t="s">
        <v>50</v>
      </c>
      <c r="F105" s="31">
        <f>_xlfn.XLOOKUP(Table2[[#This Row],[Shoe style]],val[SHOE STYLE],val[UNIT PRICE])</f>
        <v>20500</v>
      </c>
      <c r="H105" s="11">
        <v>1</v>
      </c>
      <c r="I105" s="6">
        <f>IF(Table2[[#This Row],[Discount]]&lt;(Table2[[#This Row],[UNIT PRICE]]*Table2[[#This Row],[Quantity sold]]),Table2[[#This Row],[UNIT PRICE]]*Table2[[#This Row],[Quantity sold]]-Table2[[#This Row],[Discount]],0)</f>
        <v>20500</v>
      </c>
      <c r="J105" s="10">
        <v>17500</v>
      </c>
      <c r="K105" s="2">
        <f>_xlfn.XLOOKUP(Table2[[#This Row],[Shoe style]],val[SHOE STYLE],val[COST PRICE])</f>
        <v>17339</v>
      </c>
      <c r="L105" s="2">
        <f>(Table2[[#This Row],[COST PRICE]]*Table2[[#This Row],[Quantity sold]])</f>
        <v>17339</v>
      </c>
      <c r="M105" s="2">
        <f>Table2[[#This Row],[TOTAL SALES]]-Table2[[#This Row],[TOTAL COST PRICE]]</f>
        <v>3161</v>
      </c>
      <c r="N105" s="2">
        <f>IF(Table2[[#This Row],[Amount Paid]]&gt;0,(SUMIF(Table2[Order ID],Table2[[#This Row],[Order ID]],Table2[Amount Paid])-SUMIF(Table2[Order ID],Table2[[#This Row],[Order ID]],Table2[TOTAL SALES])),0)</f>
        <v>-3000</v>
      </c>
      <c r="O105" s="8">
        <v>40</v>
      </c>
      <c r="P105" s="8" t="s">
        <v>25</v>
      </c>
      <c r="Q105" s="8" t="s">
        <v>26</v>
      </c>
      <c r="R105" s="8" t="s">
        <v>27</v>
      </c>
      <c r="S105" s="8" t="s">
        <v>28</v>
      </c>
      <c r="T105" s="8">
        <f t="shared" si="1"/>
        <v>0</v>
      </c>
      <c r="U105" t="str" cm="1">
        <f t="array" ref="U105">_xlfn.IFNA(_xlfn.IFS(Table2[[#This Row],[DEFICIT /SURPLUS]]&lt;0,"Deficit",Table2[[#This Row],[DEFICIT /SURPLUS]]&gt;0,"surplus"),"-")</f>
        <v>Deficit</v>
      </c>
    </row>
    <row r="106" spans="1:21" ht="14.5">
      <c r="A106" s="8" t="s">
        <v>129</v>
      </c>
      <c r="B106" s="9">
        <v>45547</v>
      </c>
      <c r="C106" s="8" t="s">
        <v>22</v>
      </c>
      <c r="D106" s="8" t="s">
        <v>29</v>
      </c>
      <c r="E106" s="8" t="s">
        <v>50</v>
      </c>
      <c r="F106" s="31">
        <f>_xlfn.XLOOKUP(Table2[[#This Row],[Shoe style]],val[SHOE STYLE],val[UNIT PRICE])</f>
        <v>12395</v>
      </c>
      <c r="H106" s="11">
        <v>1</v>
      </c>
      <c r="I106" s="6">
        <f>IF(Table2[[#This Row],[Discount]]&lt;(Table2[[#This Row],[UNIT PRICE]]*Table2[[#This Row],[Quantity sold]]),Table2[[#This Row],[UNIT PRICE]]*Table2[[#This Row],[Quantity sold]]-Table2[[#This Row],[Discount]],0)</f>
        <v>12395</v>
      </c>
      <c r="J106" s="10">
        <v>13500</v>
      </c>
      <c r="K106" s="2">
        <f>_xlfn.XLOOKUP(Table2[[#This Row],[Shoe style]],val[SHOE STYLE],val[COST PRICE])</f>
        <v>7909</v>
      </c>
      <c r="L106" s="2">
        <f>(Table2[[#This Row],[COST PRICE]]*Table2[[#This Row],[Quantity sold]])</f>
        <v>7909</v>
      </c>
      <c r="M106" s="2">
        <f>Table2[[#This Row],[TOTAL SALES]]-Table2[[#This Row],[TOTAL COST PRICE]]</f>
        <v>4486</v>
      </c>
      <c r="N106" s="2">
        <f>IF(Table2[[#This Row],[Amount Paid]]&gt;0,(SUMIF(Table2[Order ID],Table2[[#This Row],[Order ID]],Table2[Amount Paid])-SUMIF(Table2[Order ID],Table2[[#This Row],[Order ID]],Table2[TOTAL SALES])),0)</f>
        <v>1105</v>
      </c>
      <c r="O106" s="8">
        <v>41</v>
      </c>
      <c r="P106" s="8" t="s">
        <v>25</v>
      </c>
      <c r="Q106" s="8" t="s">
        <v>26</v>
      </c>
      <c r="R106" s="8" t="s">
        <v>27</v>
      </c>
      <c r="S106" s="8" t="s">
        <v>28</v>
      </c>
      <c r="T106" s="8">
        <f t="shared" si="1"/>
        <v>0</v>
      </c>
      <c r="U106" t="str" cm="1">
        <f t="array" ref="U106">_xlfn.IFNA(_xlfn.IFS(Table2[[#This Row],[DEFICIT /SURPLUS]]&lt;0,"Deficit",Table2[[#This Row],[DEFICIT /SURPLUS]]&gt;0,"surplus"),"-")</f>
        <v>surplus</v>
      </c>
    </row>
    <row r="107" spans="1:21" ht="14.5">
      <c r="A107" s="8" t="s">
        <v>130</v>
      </c>
      <c r="B107" s="9">
        <v>45547</v>
      </c>
      <c r="C107" s="8" t="s">
        <v>22</v>
      </c>
      <c r="D107" s="8" t="s">
        <v>29</v>
      </c>
      <c r="E107" s="8" t="s">
        <v>103</v>
      </c>
      <c r="F107" s="31">
        <f>_xlfn.XLOOKUP(Table2[[#This Row],[Shoe style]],val[SHOE STYLE],val[UNIT PRICE])</f>
        <v>12395</v>
      </c>
      <c r="H107" s="11">
        <v>1</v>
      </c>
      <c r="I107" s="6">
        <f>IF(Table2[[#This Row],[Discount]]&lt;(Table2[[#This Row],[UNIT PRICE]]*Table2[[#This Row],[Quantity sold]]),Table2[[#This Row],[UNIT PRICE]]*Table2[[#This Row],[Quantity sold]]-Table2[[#This Row],[Discount]],0)</f>
        <v>12395</v>
      </c>
      <c r="J107" s="10">
        <v>32600</v>
      </c>
      <c r="K107" s="2">
        <f>_xlfn.XLOOKUP(Table2[[#This Row],[Shoe style]],val[SHOE STYLE],val[COST PRICE])</f>
        <v>7909</v>
      </c>
      <c r="L107" s="2">
        <f>(Table2[[#This Row],[COST PRICE]]*Table2[[#This Row],[Quantity sold]])</f>
        <v>7909</v>
      </c>
      <c r="M107" s="2">
        <f>Table2[[#This Row],[TOTAL SALES]]-Table2[[#This Row],[TOTAL COST PRICE]]</f>
        <v>4486</v>
      </c>
      <c r="N107" s="2">
        <f>IF(Table2[[#This Row],[Amount Paid]]&gt;0,(SUMIF(Table2[Order ID],Table2[[#This Row],[Order ID]],Table2[Amount Paid])-SUMIF(Table2[Order ID],Table2[[#This Row],[Order ID]],Table2[TOTAL SALES])),0)</f>
        <v>910</v>
      </c>
      <c r="O107" s="8">
        <v>39</v>
      </c>
      <c r="P107" s="8" t="s">
        <v>25</v>
      </c>
      <c r="Q107" s="8" t="s">
        <v>54</v>
      </c>
      <c r="R107" s="8" t="s">
        <v>27</v>
      </c>
      <c r="S107" s="8" t="s">
        <v>28</v>
      </c>
      <c r="T107" s="8">
        <f t="shared" si="1"/>
        <v>0</v>
      </c>
      <c r="U107" t="str" cm="1">
        <f t="array" ref="U107">_xlfn.IFNA(_xlfn.IFS(Table2[[#This Row],[DEFICIT /SURPLUS]]&lt;0,"Deficit",Table2[[#This Row],[DEFICIT /SURPLUS]]&gt;0,"surplus"),"-")</f>
        <v>surplus</v>
      </c>
    </row>
    <row r="108" spans="1:21" ht="14.5">
      <c r="A108" s="8" t="s">
        <v>130</v>
      </c>
      <c r="B108" s="9">
        <v>45547</v>
      </c>
      <c r="C108" s="8" t="s">
        <v>22</v>
      </c>
      <c r="D108" s="8" t="s">
        <v>32</v>
      </c>
      <c r="E108" s="8" t="s">
        <v>63</v>
      </c>
      <c r="F108" s="31">
        <f>_xlfn.XLOOKUP(Table2[[#This Row],[Shoe style]],val[SHOE STYLE],val[UNIT PRICE])</f>
        <v>19295</v>
      </c>
      <c r="H108" s="11">
        <v>1</v>
      </c>
      <c r="I108" s="6">
        <f>IF(Table2[[#This Row],[Discount]]&lt;(Table2[[#This Row],[UNIT PRICE]]*Table2[[#This Row],[Quantity sold]]),Table2[[#This Row],[UNIT PRICE]]*Table2[[#This Row],[Quantity sold]]-Table2[[#This Row],[Discount]],0)</f>
        <v>19295</v>
      </c>
      <c r="K108" s="2">
        <f>_xlfn.XLOOKUP(Table2[[#This Row],[Shoe style]],val[SHOE STYLE],val[COST PRICE])</f>
        <v>16705</v>
      </c>
      <c r="L108" s="2">
        <f>(Table2[[#This Row],[COST PRICE]]*Table2[[#This Row],[Quantity sold]])</f>
        <v>16705</v>
      </c>
      <c r="M108" s="2">
        <f>Table2[[#This Row],[TOTAL SALES]]-Table2[[#This Row],[TOTAL COST PRICE]]</f>
        <v>2590</v>
      </c>
      <c r="N108" s="2">
        <f>IF(Table2[[#This Row],[Amount Paid]]&gt;0,(SUMIF(Table2[Order ID],Table2[[#This Row],[Order ID]],Table2[Amount Paid])-SUMIF(Table2[Order ID],Table2[[#This Row],[Order ID]],Table2[TOTAL SALES])),0)</f>
        <v>0</v>
      </c>
      <c r="O108" s="8">
        <v>39</v>
      </c>
      <c r="P108" s="8" t="s">
        <v>25</v>
      </c>
      <c r="Q108" s="8" t="s">
        <v>54</v>
      </c>
      <c r="R108" s="8" t="s">
        <v>27</v>
      </c>
      <c r="S108" s="8" t="s">
        <v>28</v>
      </c>
      <c r="T108" s="8">
        <f t="shared" si="1"/>
        <v>0</v>
      </c>
      <c r="U108" t="str" cm="1">
        <f t="array" ref="U108">_xlfn.IFNA(_xlfn.IFS(Table2[[#This Row],[DEFICIT /SURPLUS]]&lt;0,"Deficit",Table2[[#This Row],[DEFICIT /SURPLUS]]&gt;0,"surplus"),"-")</f>
        <v>-</v>
      </c>
    </row>
    <row r="109" spans="1:21" ht="14.5">
      <c r="A109" s="8" t="s">
        <v>131</v>
      </c>
      <c r="B109" s="9">
        <v>45547</v>
      </c>
      <c r="C109" s="8" t="s">
        <v>91</v>
      </c>
      <c r="D109" s="8" t="s">
        <v>29</v>
      </c>
      <c r="E109" s="8" t="s">
        <v>50</v>
      </c>
      <c r="F109" s="31">
        <f>_xlfn.XLOOKUP(Table2[[#This Row],[Shoe style]],val[SHOE STYLE],val[UNIT PRICE])</f>
        <v>12395</v>
      </c>
      <c r="H109" s="11">
        <v>1</v>
      </c>
      <c r="I109" s="6">
        <f>IF(Table2[[#This Row],[Discount]]&lt;(Table2[[#This Row],[UNIT PRICE]]*Table2[[#This Row],[Quantity sold]]),Table2[[#This Row],[UNIT PRICE]]*Table2[[#This Row],[Quantity sold]]-Table2[[#This Row],[Discount]],0)</f>
        <v>12395</v>
      </c>
      <c r="J109" s="10">
        <v>32000</v>
      </c>
      <c r="K109" s="2">
        <f>_xlfn.XLOOKUP(Table2[[#This Row],[Shoe style]],val[SHOE STYLE],val[COST PRICE])</f>
        <v>7909</v>
      </c>
      <c r="L109" s="2">
        <f>(Table2[[#This Row],[COST PRICE]]*Table2[[#This Row],[Quantity sold]])</f>
        <v>7909</v>
      </c>
      <c r="M109" s="2">
        <f>Table2[[#This Row],[TOTAL SALES]]-Table2[[#This Row],[TOTAL COST PRICE]]</f>
        <v>4486</v>
      </c>
      <c r="N109" s="2">
        <f>IF(Table2[[#This Row],[Amount Paid]]&gt;0,(SUMIF(Table2[Order ID],Table2[[#This Row],[Order ID]],Table2[Amount Paid])-SUMIF(Table2[Order ID],Table2[[#This Row],[Order ID]],Table2[TOTAL SALES])),0)</f>
        <v>7210</v>
      </c>
      <c r="O109" s="8">
        <v>42</v>
      </c>
      <c r="P109" s="8" t="s">
        <v>25</v>
      </c>
      <c r="Q109" s="8" t="s">
        <v>26</v>
      </c>
      <c r="R109" s="8" t="s">
        <v>27</v>
      </c>
      <c r="S109" s="8" t="s">
        <v>28</v>
      </c>
      <c r="T109" s="8">
        <f t="shared" si="1"/>
        <v>0</v>
      </c>
      <c r="U109" t="str" cm="1">
        <f t="array" ref="U109">_xlfn.IFNA(_xlfn.IFS(Table2[[#This Row],[DEFICIT /SURPLUS]]&lt;0,"Deficit",Table2[[#This Row],[DEFICIT /SURPLUS]]&gt;0,"surplus"),"-")</f>
        <v>surplus</v>
      </c>
    </row>
    <row r="110" spans="1:21" ht="14.5">
      <c r="A110" s="8" t="s">
        <v>131</v>
      </c>
      <c r="B110" s="9">
        <v>45548</v>
      </c>
      <c r="C110" s="8" t="s">
        <v>91</v>
      </c>
      <c r="D110" s="8" t="s">
        <v>29</v>
      </c>
      <c r="E110" s="8" t="s">
        <v>30</v>
      </c>
      <c r="F110" s="31">
        <f>_xlfn.XLOOKUP(Table2[[#This Row],[Shoe style]],val[SHOE STYLE],val[UNIT PRICE])</f>
        <v>12395</v>
      </c>
      <c r="H110" s="11">
        <v>1</v>
      </c>
      <c r="I110" s="6">
        <f>IF(Table2[[#This Row],[Discount]]&lt;(Table2[[#This Row],[UNIT PRICE]]*Table2[[#This Row],[Quantity sold]]),Table2[[#This Row],[UNIT PRICE]]*Table2[[#This Row],[Quantity sold]]-Table2[[#This Row],[Discount]],0)</f>
        <v>12395</v>
      </c>
      <c r="K110" s="2">
        <f>_xlfn.XLOOKUP(Table2[[#This Row],[Shoe style]],val[SHOE STYLE],val[COST PRICE])</f>
        <v>7909</v>
      </c>
      <c r="L110" s="2">
        <f>(Table2[[#This Row],[COST PRICE]]*Table2[[#This Row],[Quantity sold]])</f>
        <v>7909</v>
      </c>
      <c r="M110" s="2">
        <f>Table2[[#This Row],[TOTAL SALES]]-Table2[[#This Row],[TOTAL COST PRICE]]</f>
        <v>4486</v>
      </c>
      <c r="N110" s="2">
        <f>IF(Table2[[#This Row],[Amount Paid]]&gt;0,(SUMIF(Table2[Order ID],Table2[[#This Row],[Order ID]],Table2[Amount Paid])-SUMIF(Table2[Order ID],Table2[[#This Row],[Order ID]],Table2[TOTAL SALES])),0)</f>
        <v>0</v>
      </c>
      <c r="O110" s="8">
        <v>42</v>
      </c>
      <c r="P110" s="8" t="s">
        <v>25</v>
      </c>
      <c r="Q110" s="8" t="s">
        <v>26</v>
      </c>
      <c r="R110" s="8" t="s">
        <v>27</v>
      </c>
      <c r="S110" s="8" t="s">
        <v>28</v>
      </c>
      <c r="T110" s="8">
        <f t="shared" si="1"/>
        <v>0</v>
      </c>
      <c r="U110" t="str" cm="1">
        <f t="array" ref="U110">_xlfn.IFNA(_xlfn.IFS(Table2[[#This Row],[DEFICIT /SURPLUS]]&lt;0,"Deficit",Table2[[#This Row],[DEFICIT /SURPLUS]]&gt;0,"surplus"),"-")</f>
        <v>-</v>
      </c>
    </row>
    <row r="111" spans="1:21" ht="14.5">
      <c r="A111" s="8" t="s">
        <v>132</v>
      </c>
      <c r="B111" s="9">
        <v>45549</v>
      </c>
      <c r="C111" s="8" t="s">
        <v>95</v>
      </c>
      <c r="D111" s="8" t="s">
        <v>29</v>
      </c>
      <c r="E111" s="8" t="s">
        <v>50</v>
      </c>
      <c r="F111" s="31">
        <f>_xlfn.XLOOKUP(Table2[[#This Row],[Shoe style]],val[SHOE STYLE],val[UNIT PRICE])</f>
        <v>12395</v>
      </c>
      <c r="H111" s="11">
        <v>1</v>
      </c>
      <c r="I111" s="6">
        <f>IF(Table2[[#This Row],[Discount]]&lt;(Table2[[#This Row],[UNIT PRICE]]*Table2[[#This Row],[Quantity sold]]),Table2[[#This Row],[UNIT PRICE]]*Table2[[#This Row],[Quantity sold]]-Table2[[#This Row],[Discount]],0)</f>
        <v>12395</v>
      </c>
      <c r="J111" s="10">
        <v>13500</v>
      </c>
      <c r="K111" s="2">
        <f>_xlfn.XLOOKUP(Table2[[#This Row],[Shoe style]],val[SHOE STYLE],val[COST PRICE])</f>
        <v>7909</v>
      </c>
      <c r="L111" s="2">
        <f>(Table2[[#This Row],[COST PRICE]]*Table2[[#This Row],[Quantity sold]])</f>
        <v>7909</v>
      </c>
      <c r="M111" s="2">
        <f>Table2[[#This Row],[TOTAL SALES]]-Table2[[#This Row],[TOTAL COST PRICE]]</f>
        <v>4486</v>
      </c>
      <c r="N111" s="2">
        <f>IF(Table2[[#This Row],[Amount Paid]]&gt;0,(SUMIF(Table2[Order ID],Table2[[#This Row],[Order ID]],Table2[Amount Paid])-SUMIF(Table2[Order ID],Table2[[#This Row],[Order ID]],Table2[TOTAL SALES])),0)</f>
        <v>1105</v>
      </c>
      <c r="O111" s="8">
        <v>40</v>
      </c>
      <c r="P111" s="8" t="s">
        <v>25</v>
      </c>
      <c r="Q111" s="8" t="s">
        <v>26</v>
      </c>
      <c r="R111" s="8" t="s">
        <v>27</v>
      </c>
      <c r="S111" s="8" t="s">
        <v>28</v>
      </c>
      <c r="T111" s="8">
        <f t="shared" si="1"/>
        <v>0</v>
      </c>
      <c r="U111" t="str" cm="1">
        <f t="array" ref="U111">_xlfn.IFNA(_xlfn.IFS(Table2[[#This Row],[DEFICIT /SURPLUS]]&lt;0,"Deficit",Table2[[#This Row],[DEFICIT /SURPLUS]]&gt;0,"surplus"),"-")</f>
        <v>surplus</v>
      </c>
    </row>
    <row r="112" spans="1:21" ht="14.5">
      <c r="A112" s="8" t="s">
        <v>133</v>
      </c>
      <c r="B112" s="9">
        <v>45551</v>
      </c>
      <c r="C112" s="8" t="s">
        <v>22</v>
      </c>
      <c r="D112" s="8" t="s">
        <v>49</v>
      </c>
      <c r="E112" s="8" t="s">
        <v>24</v>
      </c>
      <c r="F112" s="31">
        <f>_xlfn.XLOOKUP(Table2[[#This Row],[Shoe style]],val[SHOE STYLE],val[UNIT PRICE])</f>
        <v>20500</v>
      </c>
      <c r="H112" s="11">
        <v>1</v>
      </c>
      <c r="I112" s="6">
        <f>IF(Table2[[#This Row],[Discount]]&lt;(Table2[[#This Row],[UNIT PRICE]]*Table2[[#This Row],[Quantity sold]]),Table2[[#This Row],[UNIT PRICE]]*Table2[[#This Row],[Quantity sold]]-Table2[[#This Row],[Discount]],0)</f>
        <v>20500</v>
      </c>
      <c r="J112" s="10">
        <v>14500</v>
      </c>
      <c r="K112" s="2">
        <f>_xlfn.XLOOKUP(Table2[[#This Row],[Shoe style]],val[SHOE STYLE],val[COST PRICE])</f>
        <v>17339</v>
      </c>
      <c r="L112" s="2">
        <f>(Table2[[#This Row],[COST PRICE]]*Table2[[#This Row],[Quantity sold]])</f>
        <v>17339</v>
      </c>
      <c r="M112" s="2">
        <f>Table2[[#This Row],[TOTAL SALES]]-Table2[[#This Row],[TOTAL COST PRICE]]</f>
        <v>3161</v>
      </c>
      <c r="N112" s="2">
        <f>IF(Table2[[#This Row],[Amount Paid]]&gt;0,(SUMIF(Table2[Order ID],Table2[[#This Row],[Order ID]],Table2[Amount Paid])-SUMIF(Table2[Order ID],Table2[[#This Row],[Order ID]],Table2[TOTAL SALES])),0)</f>
        <v>-6000</v>
      </c>
      <c r="O112" s="8">
        <v>41</v>
      </c>
      <c r="P112" s="8" t="s">
        <v>25</v>
      </c>
      <c r="Q112" s="8" t="s">
        <v>26</v>
      </c>
      <c r="R112" s="8" t="s">
        <v>44</v>
      </c>
      <c r="S112" s="8" t="s">
        <v>28</v>
      </c>
      <c r="T112" s="8">
        <f t="shared" si="1"/>
        <v>0</v>
      </c>
      <c r="U112" t="str" cm="1">
        <f t="array" ref="U112">_xlfn.IFNA(_xlfn.IFS(Table2[[#This Row],[DEFICIT /SURPLUS]]&lt;0,"Deficit",Table2[[#This Row],[DEFICIT /SURPLUS]]&gt;0,"surplus"),"-")</f>
        <v>Deficit</v>
      </c>
    </row>
    <row r="113" spans="1:21" ht="14.5">
      <c r="A113" s="8" t="s">
        <v>134</v>
      </c>
      <c r="B113" s="9">
        <v>45551</v>
      </c>
      <c r="C113" s="8" t="s">
        <v>22</v>
      </c>
      <c r="D113" s="8" t="s">
        <v>37</v>
      </c>
      <c r="E113" s="8" t="s">
        <v>109</v>
      </c>
      <c r="F113" s="31">
        <f>_xlfn.XLOOKUP(Table2[[#This Row],[Shoe style]],val[SHOE STYLE],val[UNIT PRICE])</f>
        <v>22728</v>
      </c>
      <c r="H113" s="11">
        <v>1</v>
      </c>
      <c r="I113" s="6">
        <f>IF(Table2[[#This Row],[Discount]]&lt;(Table2[[#This Row],[UNIT PRICE]]*Table2[[#This Row],[Quantity sold]]),Table2[[#This Row],[UNIT PRICE]]*Table2[[#This Row],[Quantity sold]]-Table2[[#This Row],[Discount]],0)</f>
        <v>22728</v>
      </c>
      <c r="J113" s="10">
        <v>14500</v>
      </c>
      <c r="K113" s="2">
        <f>_xlfn.XLOOKUP(Table2[[#This Row],[Shoe style]],val[SHOE STYLE],val[COST PRICE])</f>
        <v>20451</v>
      </c>
      <c r="L113" s="2">
        <f>(Table2[[#This Row],[COST PRICE]]*Table2[[#This Row],[Quantity sold]])</f>
        <v>20451</v>
      </c>
      <c r="M113" s="2">
        <f>Table2[[#This Row],[TOTAL SALES]]-Table2[[#This Row],[TOTAL COST PRICE]]</f>
        <v>2277</v>
      </c>
      <c r="N113" s="2">
        <f>IF(Table2[[#This Row],[Amount Paid]]&gt;0,(SUMIF(Table2[Order ID],Table2[[#This Row],[Order ID]],Table2[Amount Paid])-SUMIF(Table2[Order ID],Table2[[#This Row],[Order ID]],Table2[TOTAL SALES])),0)</f>
        <v>-8228</v>
      </c>
      <c r="O113" s="8">
        <v>40</v>
      </c>
      <c r="P113" s="8" t="s">
        <v>25</v>
      </c>
      <c r="Q113" s="8" t="s">
        <v>26</v>
      </c>
      <c r="R113" s="8" t="s">
        <v>27</v>
      </c>
      <c r="S113" s="8" t="s">
        <v>28</v>
      </c>
      <c r="T113" s="8">
        <f t="shared" si="1"/>
        <v>0</v>
      </c>
      <c r="U113" t="str" cm="1">
        <f t="array" ref="U113">_xlfn.IFNA(_xlfn.IFS(Table2[[#This Row],[DEFICIT /SURPLUS]]&lt;0,"Deficit",Table2[[#This Row],[DEFICIT /SURPLUS]]&gt;0,"surplus"),"-")</f>
        <v>Deficit</v>
      </c>
    </row>
    <row r="114" spans="1:21" ht="14.5">
      <c r="A114" s="8" t="s">
        <v>135</v>
      </c>
      <c r="B114" s="9">
        <v>45551</v>
      </c>
      <c r="C114" s="8" t="s">
        <v>22</v>
      </c>
      <c r="D114" s="8" t="s">
        <v>53</v>
      </c>
      <c r="E114" s="8" t="s">
        <v>109</v>
      </c>
      <c r="F114" s="31">
        <f>_xlfn.XLOOKUP(Table2[[#This Row],[Shoe style]],val[SHOE STYLE],val[UNIT PRICE])</f>
        <v>9838</v>
      </c>
      <c r="H114" s="11">
        <v>1</v>
      </c>
      <c r="I114" s="6">
        <f>IF(Table2[[#This Row],[Discount]]&lt;(Table2[[#This Row],[UNIT PRICE]]*Table2[[#This Row],[Quantity sold]]),Table2[[#This Row],[UNIT PRICE]]*Table2[[#This Row],[Quantity sold]]-Table2[[#This Row],[Discount]],0)</f>
        <v>9838</v>
      </c>
      <c r="K114" s="2">
        <f>_xlfn.XLOOKUP(Table2[[#This Row],[Shoe style]],val[SHOE STYLE],val[COST PRICE])</f>
        <v>6687</v>
      </c>
      <c r="L114" s="2">
        <f>(Table2[[#This Row],[COST PRICE]]*Table2[[#This Row],[Quantity sold]])</f>
        <v>6687</v>
      </c>
      <c r="M114" s="2">
        <f>Table2[[#This Row],[TOTAL SALES]]-Table2[[#This Row],[TOTAL COST PRICE]]</f>
        <v>3151</v>
      </c>
      <c r="N114" s="2">
        <f>IF(Table2[[#This Row],[Amount Paid]]&gt;0,(SUMIF(Table2[Order ID],Table2[[#This Row],[Order ID]],Table2[Amount Paid])-SUMIF(Table2[Order ID],Table2[[#This Row],[Order ID]],Table2[TOTAL SALES])),0)</f>
        <v>0</v>
      </c>
      <c r="O114" s="8">
        <v>40</v>
      </c>
      <c r="P114" s="8" t="s">
        <v>25</v>
      </c>
      <c r="Q114" s="8" t="s">
        <v>26</v>
      </c>
      <c r="R114" s="8" t="s">
        <v>27</v>
      </c>
      <c r="S114" s="8" t="s">
        <v>28</v>
      </c>
      <c r="T114" s="8">
        <f t="shared" si="1"/>
        <v>0</v>
      </c>
      <c r="U114" t="str" cm="1">
        <f t="array" ref="U114">_xlfn.IFNA(_xlfn.IFS(Table2[[#This Row],[DEFICIT /SURPLUS]]&lt;0,"Deficit",Table2[[#This Row],[DEFICIT /SURPLUS]]&gt;0,"surplus"),"-")</f>
        <v>-</v>
      </c>
    </row>
    <row r="115" spans="1:21" ht="14.5">
      <c r="A115" s="8" t="s">
        <v>135</v>
      </c>
      <c r="B115" s="9">
        <v>45551</v>
      </c>
      <c r="C115" s="8" t="s">
        <v>22</v>
      </c>
      <c r="D115" s="8" t="s">
        <v>53</v>
      </c>
      <c r="E115" s="8" t="s">
        <v>122</v>
      </c>
      <c r="F115" s="31">
        <f>_xlfn.XLOOKUP(Table2[[#This Row],[Shoe style]],val[SHOE STYLE],val[UNIT PRICE])</f>
        <v>9838</v>
      </c>
      <c r="H115" s="11">
        <v>1</v>
      </c>
      <c r="I115" s="6">
        <f>IF(Table2[[#This Row],[Discount]]&lt;(Table2[[#This Row],[UNIT PRICE]]*Table2[[#This Row],[Quantity sold]]),Table2[[#This Row],[UNIT PRICE]]*Table2[[#This Row],[Quantity sold]]-Table2[[#This Row],[Discount]],0)</f>
        <v>9838</v>
      </c>
      <c r="K115" s="2">
        <f>_xlfn.XLOOKUP(Table2[[#This Row],[Shoe style]],val[SHOE STYLE],val[COST PRICE])</f>
        <v>6687</v>
      </c>
      <c r="L115" s="2">
        <f>(Table2[[#This Row],[COST PRICE]]*Table2[[#This Row],[Quantity sold]])</f>
        <v>6687</v>
      </c>
      <c r="M115" s="2">
        <f>Table2[[#This Row],[TOTAL SALES]]-Table2[[#This Row],[TOTAL COST PRICE]]</f>
        <v>3151</v>
      </c>
      <c r="N115" s="2">
        <f>IF(Table2[[#This Row],[Amount Paid]]&gt;0,(SUMIF(Table2[Order ID],Table2[[#This Row],[Order ID]],Table2[Amount Paid])-SUMIF(Table2[Order ID],Table2[[#This Row],[Order ID]],Table2[TOTAL SALES])),0)</f>
        <v>0</v>
      </c>
      <c r="O115" s="8">
        <v>40</v>
      </c>
      <c r="P115" s="8" t="s">
        <v>25</v>
      </c>
      <c r="Q115" s="8" t="s">
        <v>26</v>
      </c>
      <c r="R115" s="8" t="s">
        <v>27</v>
      </c>
      <c r="S115" s="8" t="s">
        <v>28</v>
      </c>
      <c r="T115" s="8">
        <f t="shared" si="1"/>
        <v>0</v>
      </c>
      <c r="U115" t="str" cm="1">
        <f t="array" ref="U115">_xlfn.IFNA(_xlfn.IFS(Table2[[#This Row],[DEFICIT /SURPLUS]]&lt;0,"Deficit",Table2[[#This Row],[DEFICIT /SURPLUS]]&gt;0,"surplus"),"-")</f>
        <v>-</v>
      </c>
    </row>
    <row r="116" spans="1:21" ht="14.5">
      <c r="A116" s="8" t="s">
        <v>135</v>
      </c>
      <c r="B116" s="9">
        <v>45551</v>
      </c>
      <c r="C116" s="8" t="s">
        <v>22</v>
      </c>
      <c r="D116" s="8" t="s">
        <v>37</v>
      </c>
      <c r="E116" s="8" t="s">
        <v>62</v>
      </c>
      <c r="F116" s="31">
        <f>_xlfn.XLOOKUP(Table2[[#This Row],[Shoe style]],val[SHOE STYLE],val[UNIT PRICE])</f>
        <v>22728</v>
      </c>
      <c r="H116" s="11">
        <v>1</v>
      </c>
      <c r="I116" s="6">
        <f>IF(Table2[[#This Row],[Discount]]&lt;(Table2[[#This Row],[UNIT PRICE]]*Table2[[#This Row],[Quantity sold]]),Table2[[#This Row],[UNIT PRICE]]*Table2[[#This Row],[Quantity sold]]-Table2[[#This Row],[Discount]],0)</f>
        <v>22728</v>
      </c>
      <c r="K116" s="2">
        <f>_xlfn.XLOOKUP(Table2[[#This Row],[Shoe style]],val[SHOE STYLE],val[COST PRICE])</f>
        <v>20451</v>
      </c>
      <c r="L116" s="2">
        <f>(Table2[[#This Row],[COST PRICE]]*Table2[[#This Row],[Quantity sold]])</f>
        <v>20451</v>
      </c>
      <c r="M116" s="2">
        <f>Table2[[#This Row],[TOTAL SALES]]-Table2[[#This Row],[TOTAL COST PRICE]]</f>
        <v>2277</v>
      </c>
      <c r="N116" s="2">
        <f>IF(Table2[[#This Row],[Amount Paid]]&gt;0,(SUMIF(Table2[Order ID],Table2[[#This Row],[Order ID]],Table2[Amount Paid])-SUMIF(Table2[Order ID],Table2[[#This Row],[Order ID]],Table2[TOTAL SALES])),0)</f>
        <v>0</v>
      </c>
      <c r="O116" s="8">
        <v>40</v>
      </c>
      <c r="P116" s="8" t="s">
        <v>25</v>
      </c>
      <c r="Q116" s="8" t="s">
        <v>26</v>
      </c>
      <c r="R116" s="8" t="s">
        <v>27</v>
      </c>
      <c r="S116" s="8" t="s">
        <v>28</v>
      </c>
      <c r="T116" s="8">
        <f t="shared" si="1"/>
        <v>0</v>
      </c>
      <c r="U116" t="str" cm="1">
        <f t="array" ref="U116">_xlfn.IFNA(_xlfn.IFS(Table2[[#This Row],[DEFICIT /SURPLUS]]&lt;0,"Deficit",Table2[[#This Row],[DEFICIT /SURPLUS]]&gt;0,"surplus"),"-")</f>
        <v>-</v>
      </c>
    </row>
    <row r="117" spans="1:21" ht="14.5">
      <c r="A117" s="8" t="s">
        <v>135</v>
      </c>
      <c r="B117" s="9">
        <v>45551</v>
      </c>
      <c r="C117" s="8" t="s">
        <v>22</v>
      </c>
      <c r="D117" s="8" t="s">
        <v>49</v>
      </c>
      <c r="E117" s="8" t="s">
        <v>24</v>
      </c>
      <c r="F117" s="31">
        <f>_xlfn.XLOOKUP(Table2[[#This Row],[Shoe style]],val[SHOE STYLE],val[UNIT PRICE])</f>
        <v>20500</v>
      </c>
      <c r="H117" s="11">
        <v>1</v>
      </c>
      <c r="I117" s="6">
        <f>IF(Table2[[#This Row],[Discount]]&lt;(Table2[[#This Row],[UNIT PRICE]]*Table2[[#This Row],[Quantity sold]]),Table2[[#This Row],[UNIT PRICE]]*Table2[[#This Row],[Quantity sold]]-Table2[[#This Row],[Discount]],0)</f>
        <v>20500</v>
      </c>
      <c r="K117" s="2">
        <f>_xlfn.XLOOKUP(Table2[[#This Row],[Shoe style]],val[SHOE STYLE],val[COST PRICE])</f>
        <v>17339</v>
      </c>
      <c r="L117" s="2">
        <f>(Table2[[#This Row],[COST PRICE]]*Table2[[#This Row],[Quantity sold]])</f>
        <v>17339</v>
      </c>
      <c r="M117" s="2">
        <f>Table2[[#This Row],[TOTAL SALES]]-Table2[[#This Row],[TOTAL COST PRICE]]</f>
        <v>3161</v>
      </c>
      <c r="N117" s="2">
        <f>IF(Table2[[#This Row],[Amount Paid]]&gt;0,(SUMIF(Table2[Order ID],Table2[[#This Row],[Order ID]],Table2[Amount Paid])-SUMIF(Table2[Order ID],Table2[[#This Row],[Order ID]],Table2[TOTAL SALES])),0)</f>
        <v>0</v>
      </c>
      <c r="O117" s="8">
        <v>40</v>
      </c>
      <c r="P117" s="8" t="s">
        <v>25</v>
      </c>
      <c r="Q117" s="8" t="s">
        <v>26</v>
      </c>
      <c r="R117" s="8" t="s">
        <v>27</v>
      </c>
      <c r="S117" s="8" t="s">
        <v>28</v>
      </c>
      <c r="T117" s="8">
        <f t="shared" si="1"/>
        <v>0</v>
      </c>
      <c r="U117" t="str" cm="1">
        <f t="array" ref="U117">_xlfn.IFNA(_xlfn.IFS(Table2[[#This Row],[DEFICIT /SURPLUS]]&lt;0,"Deficit",Table2[[#This Row],[DEFICIT /SURPLUS]]&gt;0,"surplus"),"-")</f>
        <v>-</v>
      </c>
    </row>
    <row r="118" spans="1:21" ht="14.5">
      <c r="A118" s="8" t="s">
        <v>135</v>
      </c>
      <c r="B118" s="9">
        <v>45551</v>
      </c>
      <c r="C118" s="8" t="s">
        <v>22</v>
      </c>
      <c r="D118" s="8" t="s">
        <v>29</v>
      </c>
      <c r="E118" s="8" t="s">
        <v>55</v>
      </c>
      <c r="F118" s="31">
        <f>_xlfn.XLOOKUP(Table2[[#This Row],[Shoe style]],val[SHOE STYLE],val[UNIT PRICE])</f>
        <v>12395</v>
      </c>
      <c r="H118" s="11">
        <v>1</v>
      </c>
      <c r="I118" s="6">
        <f>IF(Table2[[#This Row],[Discount]]&lt;(Table2[[#This Row],[UNIT PRICE]]*Table2[[#This Row],[Quantity sold]]),Table2[[#This Row],[UNIT PRICE]]*Table2[[#This Row],[Quantity sold]]-Table2[[#This Row],[Discount]],0)</f>
        <v>12395</v>
      </c>
      <c r="K118" s="2">
        <f>_xlfn.XLOOKUP(Table2[[#This Row],[Shoe style]],val[SHOE STYLE],val[COST PRICE])</f>
        <v>7909</v>
      </c>
      <c r="L118" s="2">
        <f>(Table2[[#This Row],[COST PRICE]]*Table2[[#This Row],[Quantity sold]])</f>
        <v>7909</v>
      </c>
      <c r="M118" s="2">
        <f>Table2[[#This Row],[TOTAL SALES]]-Table2[[#This Row],[TOTAL COST PRICE]]</f>
        <v>4486</v>
      </c>
      <c r="N118" s="2">
        <f>IF(Table2[[#This Row],[Amount Paid]]&gt;0,(SUMIF(Table2[Order ID],Table2[[#This Row],[Order ID]],Table2[Amount Paid])-SUMIF(Table2[Order ID],Table2[[#This Row],[Order ID]],Table2[TOTAL SALES])),0)</f>
        <v>0</v>
      </c>
      <c r="O118" s="8">
        <v>40</v>
      </c>
      <c r="P118" s="8" t="s">
        <v>25</v>
      </c>
      <c r="Q118" s="8" t="s">
        <v>26</v>
      </c>
      <c r="R118" s="8" t="s">
        <v>27</v>
      </c>
      <c r="S118" s="8" t="s">
        <v>28</v>
      </c>
      <c r="T118" s="8">
        <f t="shared" si="1"/>
        <v>0</v>
      </c>
      <c r="U118" t="str" cm="1">
        <f t="array" ref="U118">_xlfn.IFNA(_xlfn.IFS(Table2[[#This Row],[DEFICIT /SURPLUS]]&lt;0,"Deficit",Table2[[#This Row],[DEFICIT /SURPLUS]]&gt;0,"surplus"),"-")</f>
        <v>-</v>
      </c>
    </row>
    <row r="119" spans="1:21" ht="14.5">
      <c r="A119" s="8" t="s">
        <v>135</v>
      </c>
      <c r="B119" s="9">
        <v>45551</v>
      </c>
      <c r="C119" s="8" t="s">
        <v>22</v>
      </c>
      <c r="D119" s="8" t="s">
        <v>23</v>
      </c>
      <c r="E119" s="8" t="s">
        <v>40</v>
      </c>
      <c r="F119" s="31">
        <f>_xlfn.XLOOKUP(Table2[[#This Row],[Shoe style]],val[SHOE STYLE],val[UNIT PRICE])</f>
        <v>14975</v>
      </c>
      <c r="H119" s="11">
        <v>1</v>
      </c>
      <c r="I119" s="6">
        <f>IF(Table2[[#This Row],[Discount]]&lt;(Table2[[#This Row],[UNIT PRICE]]*Table2[[#This Row],[Quantity sold]]),Table2[[#This Row],[UNIT PRICE]]*Table2[[#This Row],[Quantity sold]]-Table2[[#This Row],[Discount]],0)</f>
        <v>14975</v>
      </c>
      <c r="K119" s="2">
        <f>_xlfn.XLOOKUP(Table2[[#This Row],[Shoe style]],val[SHOE STYLE],val[COST PRICE])</f>
        <v>10813</v>
      </c>
      <c r="L119" s="2">
        <f>(Table2[[#This Row],[COST PRICE]]*Table2[[#This Row],[Quantity sold]])</f>
        <v>10813</v>
      </c>
      <c r="M119" s="2">
        <f>Table2[[#This Row],[TOTAL SALES]]-Table2[[#This Row],[TOTAL COST PRICE]]</f>
        <v>4162</v>
      </c>
      <c r="N119" s="2">
        <f>IF(Table2[[#This Row],[Amount Paid]]&gt;0,(SUMIF(Table2[Order ID],Table2[[#This Row],[Order ID]],Table2[Amount Paid])-SUMIF(Table2[Order ID],Table2[[#This Row],[Order ID]],Table2[TOTAL SALES])),0)</f>
        <v>0</v>
      </c>
      <c r="O119" s="8">
        <v>40</v>
      </c>
      <c r="P119" s="8" t="s">
        <v>25</v>
      </c>
      <c r="Q119" s="8" t="s">
        <v>26</v>
      </c>
      <c r="R119" s="8" t="s">
        <v>27</v>
      </c>
      <c r="S119" s="8" t="s">
        <v>28</v>
      </c>
      <c r="T119" s="8">
        <f t="shared" si="1"/>
        <v>0</v>
      </c>
      <c r="U119" t="str" cm="1">
        <f t="array" ref="U119">_xlfn.IFNA(_xlfn.IFS(Table2[[#This Row],[DEFICIT /SURPLUS]]&lt;0,"Deficit",Table2[[#This Row],[DEFICIT /SURPLUS]]&gt;0,"surplus"),"-")</f>
        <v>-</v>
      </c>
    </row>
    <row r="120" spans="1:21" ht="14.5">
      <c r="A120" s="8" t="s">
        <v>135</v>
      </c>
      <c r="B120" s="9">
        <v>45551</v>
      </c>
      <c r="C120" s="8" t="s">
        <v>22</v>
      </c>
      <c r="D120" s="8" t="s">
        <v>42</v>
      </c>
      <c r="E120" s="8" t="s">
        <v>63</v>
      </c>
      <c r="F120" s="31">
        <f>_xlfn.XLOOKUP(Table2[[#This Row],[Shoe style]],val[SHOE STYLE],val[UNIT PRICE])</f>
        <v>17614</v>
      </c>
      <c r="H120" s="11">
        <v>1</v>
      </c>
      <c r="I120" s="6">
        <f>IF(Table2[[#This Row],[Discount]]&lt;(Table2[[#This Row],[UNIT PRICE]]*Table2[[#This Row],[Quantity sold]]),Table2[[#This Row],[UNIT PRICE]]*Table2[[#This Row],[Quantity sold]]-Table2[[#This Row],[Discount]],0)</f>
        <v>17614</v>
      </c>
      <c r="K120" s="2">
        <f>_xlfn.XLOOKUP(Table2[[#This Row],[Shoe style]],val[SHOE STYLE],val[COST PRICE])</f>
        <v>14912</v>
      </c>
      <c r="L120" s="2">
        <f>(Table2[[#This Row],[COST PRICE]]*Table2[[#This Row],[Quantity sold]])</f>
        <v>14912</v>
      </c>
      <c r="M120" s="2">
        <f>Table2[[#This Row],[TOTAL SALES]]-Table2[[#This Row],[TOTAL COST PRICE]]</f>
        <v>2702</v>
      </c>
      <c r="N120" s="2">
        <f>IF(Table2[[#This Row],[Amount Paid]]&gt;0,(SUMIF(Table2[Order ID],Table2[[#This Row],[Order ID]],Table2[Amount Paid])-SUMIF(Table2[Order ID],Table2[[#This Row],[Order ID]],Table2[TOTAL SALES])),0)</f>
        <v>0</v>
      </c>
      <c r="O120" s="8">
        <v>40</v>
      </c>
      <c r="P120" s="8" t="s">
        <v>25</v>
      </c>
      <c r="Q120" s="8" t="s">
        <v>26</v>
      </c>
      <c r="R120" s="8" t="s">
        <v>27</v>
      </c>
      <c r="S120" s="8" t="s">
        <v>28</v>
      </c>
      <c r="T120" s="8">
        <f t="shared" si="1"/>
        <v>0</v>
      </c>
      <c r="U120" t="str" cm="1">
        <f t="array" ref="U120">_xlfn.IFNA(_xlfn.IFS(Table2[[#This Row],[DEFICIT /SURPLUS]]&lt;0,"Deficit",Table2[[#This Row],[DEFICIT /SURPLUS]]&gt;0,"surplus"),"-")</f>
        <v>-</v>
      </c>
    </row>
    <row r="121" spans="1:21" ht="14.5">
      <c r="A121" s="8" t="s">
        <v>135</v>
      </c>
      <c r="B121" s="9">
        <v>45551</v>
      </c>
      <c r="C121" s="8" t="s">
        <v>22</v>
      </c>
      <c r="D121" s="8" t="s">
        <v>92</v>
      </c>
      <c r="E121" s="8" t="s">
        <v>63</v>
      </c>
      <c r="F121" s="31">
        <f>_xlfn.XLOOKUP(Table2[[#This Row],[Shoe style]],val[SHOE STYLE],val[UNIT PRICE])</f>
        <v>12107</v>
      </c>
      <c r="H121" s="11">
        <v>1</v>
      </c>
      <c r="I121" s="6">
        <f>IF(Table2[[#This Row],[Discount]]&lt;(Table2[[#This Row],[UNIT PRICE]]*Table2[[#This Row],[Quantity sold]]),Table2[[#This Row],[UNIT PRICE]]*Table2[[#This Row],[Quantity sold]]-Table2[[#This Row],[Discount]],0)</f>
        <v>12107</v>
      </c>
      <c r="K121" s="2">
        <f>_xlfn.XLOOKUP(Table2[[#This Row],[Shoe style]],val[SHOE STYLE],val[COST PRICE])</f>
        <v>9752</v>
      </c>
      <c r="L121" s="2">
        <f>(Table2[[#This Row],[COST PRICE]]*Table2[[#This Row],[Quantity sold]])</f>
        <v>9752</v>
      </c>
      <c r="M121" s="2">
        <f>Table2[[#This Row],[TOTAL SALES]]-Table2[[#This Row],[TOTAL COST PRICE]]</f>
        <v>2355</v>
      </c>
      <c r="N121" s="2">
        <f>IF(Table2[[#This Row],[Amount Paid]]&gt;0,(SUMIF(Table2[Order ID],Table2[[#This Row],[Order ID]],Table2[Amount Paid])-SUMIF(Table2[Order ID],Table2[[#This Row],[Order ID]],Table2[TOTAL SALES])),0)</f>
        <v>0</v>
      </c>
      <c r="O121" s="8">
        <v>40</v>
      </c>
      <c r="P121" s="8" t="s">
        <v>25</v>
      </c>
      <c r="Q121" s="8" t="s">
        <v>26</v>
      </c>
      <c r="R121" s="8" t="s">
        <v>27</v>
      </c>
      <c r="S121" s="8" t="s">
        <v>28</v>
      </c>
      <c r="T121" s="8">
        <f t="shared" si="1"/>
        <v>0</v>
      </c>
      <c r="U121" t="str" cm="1">
        <f t="array" ref="U121">_xlfn.IFNA(_xlfn.IFS(Table2[[#This Row],[DEFICIT /SURPLUS]]&lt;0,"Deficit",Table2[[#This Row],[DEFICIT /SURPLUS]]&gt;0,"surplus"),"-")</f>
        <v>-</v>
      </c>
    </row>
    <row r="122" spans="1:21" ht="14.5">
      <c r="A122" s="8" t="s">
        <v>135</v>
      </c>
      <c r="B122" s="9">
        <v>45551</v>
      </c>
      <c r="C122" s="8" t="s">
        <v>22</v>
      </c>
      <c r="D122" s="8" t="s">
        <v>136</v>
      </c>
      <c r="E122" s="8" t="s">
        <v>24</v>
      </c>
      <c r="F122" s="31">
        <f>_xlfn.XLOOKUP(Table2[[#This Row],[Shoe style]],val[SHOE STYLE],val[UNIT PRICE])</f>
        <v>20502</v>
      </c>
      <c r="H122" s="11">
        <v>1</v>
      </c>
      <c r="I122" s="6">
        <f>IF(Table2[[#This Row],[Discount]]&lt;(Table2[[#This Row],[UNIT PRICE]]*Table2[[#This Row],[Quantity sold]]),Table2[[#This Row],[UNIT PRICE]]*Table2[[#This Row],[Quantity sold]]-Table2[[#This Row],[Discount]],0)</f>
        <v>20502</v>
      </c>
      <c r="K122" s="2">
        <f>_xlfn.XLOOKUP(Table2[[#This Row],[Shoe style]],val[SHOE STYLE],val[COST PRICE])</f>
        <v>18239</v>
      </c>
      <c r="L122" s="2">
        <f>(Table2[[#This Row],[COST PRICE]]*Table2[[#This Row],[Quantity sold]])</f>
        <v>18239</v>
      </c>
      <c r="M122" s="2">
        <f>Table2[[#This Row],[TOTAL SALES]]-Table2[[#This Row],[TOTAL COST PRICE]]</f>
        <v>2263</v>
      </c>
      <c r="N122" s="2">
        <f>IF(Table2[[#This Row],[Amount Paid]]&gt;0,(SUMIF(Table2[Order ID],Table2[[#This Row],[Order ID]],Table2[Amount Paid])-SUMIF(Table2[Order ID],Table2[[#This Row],[Order ID]],Table2[TOTAL SALES])),0)</f>
        <v>0</v>
      </c>
      <c r="O122" s="8">
        <v>40</v>
      </c>
      <c r="P122" s="8" t="s">
        <v>25</v>
      </c>
      <c r="Q122" s="8" t="s">
        <v>26</v>
      </c>
      <c r="R122" s="8" t="s">
        <v>27</v>
      </c>
      <c r="S122" s="8" t="s">
        <v>28</v>
      </c>
      <c r="T122" s="8">
        <f t="shared" si="1"/>
        <v>0</v>
      </c>
      <c r="U122" t="str" cm="1">
        <f t="array" ref="U122">_xlfn.IFNA(_xlfn.IFS(Table2[[#This Row],[DEFICIT /SURPLUS]]&lt;0,"Deficit",Table2[[#This Row],[DEFICIT /SURPLUS]]&gt;0,"surplus"),"-")</f>
        <v>-</v>
      </c>
    </row>
    <row r="123" spans="1:21" ht="14.5">
      <c r="A123" s="8" t="s">
        <v>137</v>
      </c>
      <c r="B123" s="9">
        <v>45553</v>
      </c>
      <c r="C123" s="8" t="s">
        <v>22</v>
      </c>
      <c r="D123" s="8" t="s">
        <v>49</v>
      </c>
      <c r="E123" s="8" t="s">
        <v>63</v>
      </c>
      <c r="F123" s="31">
        <f>_xlfn.XLOOKUP(Table2[[#This Row],[Shoe style]],val[SHOE STYLE],val[UNIT PRICE])</f>
        <v>20500</v>
      </c>
      <c r="H123" s="11">
        <v>1</v>
      </c>
      <c r="I123" s="6">
        <f>IF(Table2[[#This Row],[Discount]]&lt;(Table2[[#This Row],[UNIT PRICE]]*Table2[[#This Row],[Quantity sold]]),Table2[[#This Row],[UNIT PRICE]]*Table2[[#This Row],[Quantity sold]]-Table2[[#This Row],[Discount]],0)</f>
        <v>20500</v>
      </c>
      <c r="J123" s="10">
        <v>18000</v>
      </c>
      <c r="K123" s="2">
        <f>_xlfn.XLOOKUP(Table2[[#This Row],[Shoe style]],val[SHOE STYLE],val[COST PRICE])</f>
        <v>17339</v>
      </c>
      <c r="L123" s="2">
        <f>(Table2[[#This Row],[COST PRICE]]*Table2[[#This Row],[Quantity sold]])</f>
        <v>17339</v>
      </c>
      <c r="M123" s="2">
        <f>Table2[[#This Row],[TOTAL SALES]]-Table2[[#This Row],[TOTAL COST PRICE]]</f>
        <v>3161</v>
      </c>
      <c r="N123" s="2">
        <f>IF(Table2[[#This Row],[Amount Paid]]&gt;0,(SUMIF(Table2[Order ID],Table2[[#This Row],[Order ID]],Table2[Amount Paid])-SUMIF(Table2[Order ID],Table2[[#This Row],[Order ID]],Table2[TOTAL SALES])),0)</f>
        <v>-2500</v>
      </c>
      <c r="O123" s="8">
        <v>42</v>
      </c>
      <c r="P123" s="8" t="s">
        <v>25</v>
      </c>
      <c r="Q123" s="8" t="s">
        <v>26</v>
      </c>
      <c r="R123" s="8" t="s">
        <v>44</v>
      </c>
      <c r="S123" s="8" t="s">
        <v>28</v>
      </c>
      <c r="T123" s="8">
        <f t="shared" si="1"/>
        <v>0</v>
      </c>
      <c r="U123" t="str" cm="1">
        <f t="array" ref="U123">_xlfn.IFNA(_xlfn.IFS(Table2[[#This Row],[DEFICIT /SURPLUS]]&lt;0,"Deficit",Table2[[#This Row],[DEFICIT /SURPLUS]]&gt;0,"surplus"),"-")</f>
        <v>Deficit</v>
      </c>
    </row>
    <row r="124" spans="1:21" ht="14.5">
      <c r="A124" s="8" t="s">
        <v>138</v>
      </c>
      <c r="B124" s="9">
        <v>45555</v>
      </c>
      <c r="C124" s="8" t="s">
        <v>139</v>
      </c>
      <c r="D124" s="8" t="s">
        <v>140</v>
      </c>
      <c r="E124" s="8" t="s">
        <v>78</v>
      </c>
      <c r="F124" s="31">
        <f>_xlfn.XLOOKUP(Table2[[#This Row],[Shoe style]],val[SHOE STYLE],val[UNIT PRICE])</f>
        <v>22517</v>
      </c>
      <c r="H124" s="11">
        <v>1</v>
      </c>
      <c r="I124" s="6">
        <f>IF(Table2[[#This Row],[Discount]]&lt;(Table2[[#This Row],[UNIT PRICE]]*Table2[[#This Row],[Quantity sold]]),Table2[[#This Row],[UNIT PRICE]]*Table2[[#This Row],[Quantity sold]]-Table2[[#This Row],[Discount]],0)</f>
        <v>22517</v>
      </c>
      <c r="J124" s="10">
        <v>67187</v>
      </c>
      <c r="K124" s="2">
        <f>_xlfn.XLOOKUP(Table2[[#This Row],[Shoe style]],val[SHOE STYLE],val[COST PRICE])</f>
        <v>18931</v>
      </c>
      <c r="L124" s="2">
        <f>(Table2[[#This Row],[COST PRICE]]*Table2[[#This Row],[Quantity sold]])</f>
        <v>18931</v>
      </c>
      <c r="M124" s="2">
        <f>Table2[[#This Row],[TOTAL SALES]]-Table2[[#This Row],[TOTAL COST PRICE]]</f>
        <v>3586</v>
      </c>
      <c r="N124" s="2">
        <f>IF(Table2[[#This Row],[Amount Paid]]&gt;0,(SUMIF(Table2[Order ID],Table2[[#This Row],[Order ID]],Table2[Amount Paid])-SUMIF(Table2[Order ID],Table2[[#This Row],[Order ID]],Table2[TOTAL SALES])),0)</f>
        <v>-21075</v>
      </c>
      <c r="O124" s="8">
        <v>42</v>
      </c>
      <c r="P124" s="8" t="s">
        <v>25</v>
      </c>
      <c r="Q124" s="8" t="s">
        <v>54</v>
      </c>
      <c r="R124" s="8" t="s">
        <v>44</v>
      </c>
      <c r="S124" s="8" t="s">
        <v>28</v>
      </c>
      <c r="T124" s="8">
        <f t="shared" si="1"/>
        <v>0</v>
      </c>
      <c r="U124" t="str" cm="1">
        <f t="array" ref="U124">_xlfn.IFNA(_xlfn.IFS(Table2[[#This Row],[DEFICIT /SURPLUS]]&lt;0,"Deficit",Table2[[#This Row],[DEFICIT /SURPLUS]]&gt;0,"surplus"),"-")</f>
        <v>Deficit</v>
      </c>
    </row>
    <row r="125" spans="1:21" ht="14.5">
      <c r="A125" s="8" t="s">
        <v>138</v>
      </c>
      <c r="B125" s="9">
        <v>45554</v>
      </c>
      <c r="C125" s="8" t="s">
        <v>139</v>
      </c>
      <c r="D125" s="8" t="s">
        <v>37</v>
      </c>
      <c r="E125" s="8" t="s">
        <v>55</v>
      </c>
      <c r="F125" s="31">
        <f>_xlfn.XLOOKUP(Table2[[#This Row],[Shoe style]],val[SHOE STYLE],val[UNIT PRICE])</f>
        <v>22728</v>
      </c>
      <c r="H125" s="11">
        <v>1</v>
      </c>
      <c r="I125" s="6">
        <f>IF(Table2[[#This Row],[Discount]]&lt;(Table2[[#This Row],[UNIT PRICE]]*Table2[[#This Row],[Quantity sold]]),Table2[[#This Row],[UNIT PRICE]]*Table2[[#This Row],[Quantity sold]]-Table2[[#This Row],[Discount]],0)</f>
        <v>22728</v>
      </c>
      <c r="K125" s="2">
        <f>_xlfn.XLOOKUP(Table2[[#This Row],[Shoe style]],val[SHOE STYLE],val[COST PRICE])</f>
        <v>20451</v>
      </c>
      <c r="L125" s="2">
        <f>(Table2[[#This Row],[COST PRICE]]*Table2[[#This Row],[Quantity sold]])</f>
        <v>20451</v>
      </c>
      <c r="M125" s="2">
        <f>Table2[[#This Row],[TOTAL SALES]]-Table2[[#This Row],[TOTAL COST PRICE]]</f>
        <v>2277</v>
      </c>
      <c r="N125" s="2">
        <f>IF(Table2[[#This Row],[Amount Paid]]&gt;0,(SUMIF(Table2[Order ID],Table2[[#This Row],[Order ID]],Table2[Amount Paid])-SUMIF(Table2[Order ID],Table2[[#This Row],[Order ID]],Table2[TOTAL SALES])),0)</f>
        <v>0</v>
      </c>
      <c r="O125" s="8">
        <v>42</v>
      </c>
      <c r="P125" s="8" t="s">
        <v>25</v>
      </c>
      <c r="Q125" s="8" t="s">
        <v>54</v>
      </c>
      <c r="R125" s="8" t="s">
        <v>44</v>
      </c>
      <c r="S125" s="8" t="s">
        <v>28</v>
      </c>
      <c r="T125" s="8">
        <f t="shared" si="1"/>
        <v>0</v>
      </c>
      <c r="U125" t="str" cm="1">
        <f t="array" ref="U125">_xlfn.IFNA(_xlfn.IFS(Table2[[#This Row],[DEFICIT /SURPLUS]]&lt;0,"Deficit",Table2[[#This Row],[DEFICIT /SURPLUS]]&gt;0,"surplus"),"-")</f>
        <v>-</v>
      </c>
    </row>
    <row r="126" spans="1:21" ht="14.5">
      <c r="A126" s="8" t="s">
        <v>138</v>
      </c>
      <c r="B126" s="9">
        <v>45554</v>
      </c>
      <c r="C126" s="8" t="s">
        <v>139</v>
      </c>
      <c r="D126" s="8" t="s">
        <v>49</v>
      </c>
      <c r="E126" s="8" t="s">
        <v>89</v>
      </c>
      <c r="F126" s="31">
        <f>_xlfn.XLOOKUP(Table2[[#This Row],[Shoe style]],val[SHOE STYLE],val[UNIT PRICE])</f>
        <v>20500</v>
      </c>
      <c r="H126" s="11">
        <v>1</v>
      </c>
      <c r="I126" s="6">
        <f>IF(Table2[[#This Row],[Discount]]&lt;(Table2[[#This Row],[UNIT PRICE]]*Table2[[#This Row],[Quantity sold]]),Table2[[#This Row],[UNIT PRICE]]*Table2[[#This Row],[Quantity sold]]-Table2[[#This Row],[Discount]],0)</f>
        <v>20500</v>
      </c>
      <c r="K126" s="2">
        <f>_xlfn.XLOOKUP(Table2[[#This Row],[Shoe style]],val[SHOE STYLE],val[COST PRICE])</f>
        <v>17339</v>
      </c>
      <c r="L126" s="2">
        <f>(Table2[[#This Row],[COST PRICE]]*Table2[[#This Row],[Quantity sold]])</f>
        <v>17339</v>
      </c>
      <c r="M126" s="2">
        <f>Table2[[#This Row],[TOTAL SALES]]-Table2[[#This Row],[TOTAL COST PRICE]]</f>
        <v>3161</v>
      </c>
      <c r="N126" s="2">
        <f>IF(Table2[[#This Row],[Amount Paid]]&gt;0,(SUMIF(Table2[Order ID],Table2[[#This Row],[Order ID]],Table2[Amount Paid])-SUMIF(Table2[Order ID],Table2[[#This Row],[Order ID]],Table2[TOTAL SALES])),0)</f>
        <v>0</v>
      </c>
      <c r="O126" s="8">
        <v>42</v>
      </c>
      <c r="P126" s="8" t="s">
        <v>25</v>
      </c>
      <c r="Q126" s="8" t="s">
        <v>54</v>
      </c>
      <c r="R126" s="8" t="s">
        <v>44</v>
      </c>
      <c r="S126" s="8" t="s">
        <v>28</v>
      </c>
      <c r="T126" s="8">
        <f t="shared" si="1"/>
        <v>0</v>
      </c>
      <c r="U126" t="str" cm="1">
        <f t="array" ref="U126">_xlfn.IFNA(_xlfn.IFS(Table2[[#This Row],[DEFICIT /SURPLUS]]&lt;0,"Deficit",Table2[[#This Row],[DEFICIT /SURPLUS]]&gt;0,"surplus"),"-")</f>
        <v>-</v>
      </c>
    </row>
    <row r="127" spans="1:21" ht="14.5">
      <c r="A127" s="8" t="s">
        <v>138</v>
      </c>
      <c r="B127" s="9">
        <v>45554</v>
      </c>
      <c r="C127" s="8" t="s">
        <v>139</v>
      </c>
      <c r="D127" s="8" t="s">
        <v>140</v>
      </c>
      <c r="E127" s="8" t="s">
        <v>78</v>
      </c>
      <c r="F127" s="31">
        <f>_xlfn.XLOOKUP(Table2[[#This Row],[Shoe style]],val[SHOE STYLE],val[UNIT PRICE])</f>
        <v>22517</v>
      </c>
      <c r="H127" s="11">
        <v>1</v>
      </c>
      <c r="I127" s="6">
        <f>IF(Table2[[#This Row],[Discount]]&lt;(Table2[[#This Row],[UNIT PRICE]]*Table2[[#This Row],[Quantity sold]]),Table2[[#This Row],[UNIT PRICE]]*Table2[[#This Row],[Quantity sold]]-Table2[[#This Row],[Discount]],0)</f>
        <v>22517</v>
      </c>
      <c r="K127" s="2">
        <f>_xlfn.XLOOKUP(Table2[[#This Row],[Shoe style]],val[SHOE STYLE],val[COST PRICE])</f>
        <v>18931</v>
      </c>
      <c r="L127" s="2">
        <f>(Table2[[#This Row],[COST PRICE]]*Table2[[#This Row],[Quantity sold]])</f>
        <v>18931</v>
      </c>
      <c r="M127" s="2">
        <f>Table2[[#This Row],[TOTAL SALES]]-Table2[[#This Row],[TOTAL COST PRICE]]</f>
        <v>3586</v>
      </c>
      <c r="N127" s="2">
        <f>IF(Table2[[#This Row],[Amount Paid]]&gt;0,(SUMIF(Table2[Order ID],Table2[[#This Row],[Order ID]],Table2[Amount Paid])-SUMIF(Table2[Order ID],Table2[[#This Row],[Order ID]],Table2[TOTAL SALES])),0)</f>
        <v>0</v>
      </c>
      <c r="O127" s="8">
        <v>42</v>
      </c>
      <c r="P127" s="8" t="s">
        <v>25</v>
      </c>
      <c r="Q127" s="8" t="s">
        <v>54</v>
      </c>
      <c r="R127" s="8" t="s">
        <v>44</v>
      </c>
      <c r="S127" s="8" t="s">
        <v>28</v>
      </c>
      <c r="T127" s="8">
        <f t="shared" ref="T127:T189" si="2">IF(S127="NO",1,0)</f>
        <v>0</v>
      </c>
      <c r="U127" t="str" cm="1">
        <f t="array" ref="U127">_xlfn.IFNA(_xlfn.IFS(Table2[[#This Row],[DEFICIT /SURPLUS]]&lt;0,"Deficit",Table2[[#This Row],[DEFICIT /SURPLUS]]&gt;0,"surplus"),"-")</f>
        <v>-</v>
      </c>
    </row>
    <row r="128" spans="1:21" ht="14.5">
      <c r="A128" s="8" t="s">
        <v>141</v>
      </c>
      <c r="B128" s="9">
        <v>45555</v>
      </c>
      <c r="C128" s="8" t="s">
        <v>22</v>
      </c>
      <c r="D128" s="8" t="s">
        <v>68</v>
      </c>
      <c r="E128" s="8" t="s">
        <v>142</v>
      </c>
      <c r="F128" s="31">
        <f>_xlfn.XLOOKUP(Table2[[#This Row],[Shoe style]],val[SHOE STYLE],val[UNIT PRICE])</f>
        <v>10509</v>
      </c>
      <c r="H128" s="11">
        <v>1</v>
      </c>
      <c r="I128" s="6">
        <f>IF(Table2[[#This Row],[Discount]]&lt;(Table2[[#This Row],[UNIT PRICE]]*Table2[[#This Row],[Quantity sold]]),Table2[[#This Row],[UNIT PRICE]]*Table2[[#This Row],[Quantity sold]]-Table2[[#This Row],[Discount]],0)</f>
        <v>10509</v>
      </c>
      <c r="J128" s="10">
        <v>32250</v>
      </c>
      <c r="K128" s="2">
        <f>_xlfn.XLOOKUP(Table2[[#This Row],[Shoe style]],val[SHOE STYLE],val[COST PRICE])</f>
        <v>7573</v>
      </c>
      <c r="L128" s="2">
        <f>(Table2[[#This Row],[COST PRICE]]*Table2[[#This Row],[Quantity sold]])</f>
        <v>7573</v>
      </c>
      <c r="M128" s="2">
        <f>Table2[[#This Row],[TOTAL SALES]]-Table2[[#This Row],[TOTAL COST PRICE]]</f>
        <v>2936</v>
      </c>
      <c r="N128" s="2">
        <f>IF(Table2[[#This Row],[Amount Paid]]&gt;0,(SUMIF(Table2[Order ID],Table2[[#This Row],[Order ID]],Table2[Amount Paid])-SUMIF(Table2[Order ID],Table2[[#This Row],[Order ID]],Table2[TOTAL SALES])),0)</f>
        <v>21741</v>
      </c>
      <c r="O128" s="8">
        <v>38</v>
      </c>
      <c r="P128" s="8" t="s">
        <v>25</v>
      </c>
      <c r="Q128" s="8" t="s">
        <v>54</v>
      </c>
      <c r="R128" s="8" t="s">
        <v>44</v>
      </c>
      <c r="S128" s="8" t="s">
        <v>28</v>
      </c>
      <c r="T128" s="8">
        <f t="shared" si="2"/>
        <v>0</v>
      </c>
      <c r="U128" t="str" cm="1">
        <f t="array" ref="U128">_xlfn.IFNA(_xlfn.IFS(Table2[[#This Row],[DEFICIT /SURPLUS]]&lt;0,"Deficit",Table2[[#This Row],[DEFICIT /SURPLUS]]&gt;0,"surplus"),"-")</f>
        <v>surplus</v>
      </c>
    </row>
    <row r="129" spans="1:21" ht="14.5">
      <c r="A129" s="8" t="s">
        <v>143</v>
      </c>
      <c r="B129" s="9">
        <v>45551</v>
      </c>
      <c r="C129" s="8" t="s">
        <v>104</v>
      </c>
      <c r="D129" s="8" t="s">
        <v>29</v>
      </c>
      <c r="E129" s="8" t="s">
        <v>109</v>
      </c>
      <c r="F129" s="31">
        <f>_xlfn.XLOOKUP(Table2[[#This Row],[Shoe style]],val[SHOE STYLE],val[UNIT PRICE])</f>
        <v>12395</v>
      </c>
      <c r="H129" s="11">
        <v>1</v>
      </c>
      <c r="I129" s="6">
        <f>IF(Table2[[#This Row],[Discount]]&lt;(Table2[[#This Row],[UNIT PRICE]]*Table2[[#This Row],[Quantity sold]]),Table2[[#This Row],[UNIT PRICE]]*Table2[[#This Row],[Quantity sold]]-Table2[[#This Row],[Discount]],0)</f>
        <v>12395</v>
      </c>
      <c r="J129" s="10">
        <v>19000</v>
      </c>
      <c r="K129" s="2">
        <f>_xlfn.XLOOKUP(Table2[[#This Row],[Shoe style]],val[SHOE STYLE],val[COST PRICE])</f>
        <v>7909</v>
      </c>
      <c r="L129" s="2">
        <f>(Table2[[#This Row],[COST PRICE]]*Table2[[#This Row],[Quantity sold]])</f>
        <v>7909</v>
      </c>
      <c r="M129" s="2">
        <f>Table2[[#This Row],[TOTAL SALES]]-Table2[[#This Row],[TOTAL COST PRICE]]</f>
        <v>4486</v>
      </c>
      <c r="N129" s="2">
        <f>IF(Table2[[#This Row],[Amount Paid]]&gt;0,(SUMIF(Table2[Order ID],Table2[[#This Row],[Order ID]],Table2[Amount Paid])-SUMIF(Table2[Order ID],Table2[[#This Row],[Order ID]],Table2[TOTAL SALES])),0)</f>
        <v>6605</v>
      </c>
      <c r="O129" s="8">
        <v>40</v>
      </c>
      <c r="P129" s="8" t="s">
        <v>25</v>
      </c>
      <c r="Q129" s="8" t="s">
        <v>26</v>
      </c>
      <c r="R129" s="8" t="s">
        <v>44</v>
      </c>
      <c r="S129" s="8" t="s">
        <v>28</v>
      </c>
      <c r="T129" s="8">
        <f t="shared" si="2"/>
        <v>0</v>
      </c>
      <c r="U129" t="str" cm="1">
        <f t="array" ref="U129">_xlfn.IFNA(_xlfn.IFS(Table2[[#This Row],[DEFICIT /SURPLUS]]&lt;0,"Deficit",Table2[[#This Row],[DEFICIT /SURPLUS]]&gt;0,"surplus"),"-")</f>
        <v>surplus</v>
      </c>
    </row>
    <row r="130" spans="1:21" ht="14.5">
      <c r="A130" s="8" t="s">
        <v>144</v>
      </c>
      <c r="B130" s="9">
        <v>45554</v>
      </c>
      <c r="C130" s="8" t="s">
        <v>22</v>
      </c>
      <c r="D130" s="8" t="s">
        <v>29</v>
      </c>
      <c r="E130" s="8" t="s">
        <v>50</v>
      </c>
      <c r="F130" s="31">
        <f>_xlfn.XLOOKUP(Table2[[#This Row],[Shoe style]],val[SHOE STYLE],val[UNIT PRICE])</f>
        <v>12395</v>
      </c>
      <c r="H130" s="11">
        <v>1</v>
      </c>
      <c r="I130" s="6">
        <f>IF(Table2[[#This Row],[Discount]]&lt;(Table2[[#This Row],[UNIT PRICE]]*Table2[[#This Row],[Quantity sold]]),Table2[[#This Row],[UNIT PRICE]]*Table2[[#This Row],[Quantity sold]]-Table2[[#This Row],[Discount]],0)</f>
        <v>12395</v>
      </c>
      <c r="J130" s="10">
        <v>33000</v>
      </c>
      <c r="K130" s="2">
        <f>_xlfn.XLOOKUP(Table2[[#This Row],[Shoe style]],val[SHOE STYLE],val[COST PRICE])</f>
        <v>7909</v>
      </c>
      <c r="L130" s="2">
        <f>(Table2[[#This Row],[COST PRICE]]*Table2[[#This Row],[Quantity sold]])</f>
        <v>7909</v>
      </c>
      <c r="M130" s="2">
        <f>Table2[[#This Row],[TOTAL SALES]]-Table2[[#This Row],[TOTAL COST PRICE]]</f>
        <v>4486</v>
      </c>
      <c r="N130" s="2">
        <f>IF(Table2[[#This Row],[Amount Paid]]&gt;0,(SUMIF(Table2[Order ID],Table2[[#This Row],[Order ID]],Table2[Amount Paid])-SUMIF(Table2[Order ID],Table2[[#This Row],[Order ID]],Table2[TOTAL SALES])),0)</f>
        <v>2991</v>
      </c>
      <c r="O130" s="8">
        <v>42</v>
      </c>
      <c r="P130" s="8" t="s">
        <v>25</v>
      </c>
      <c r="Q130" s="8" t="s">
        <v>26</v>
      </c>
      <c r="R130" s="8" t="s">
        <v>27</v>
      </c>
      <c r="S130" s="8" t="s">
        <v>28</v>
      </c>
      <c r="T130" s="8">
        <f t="shared" si="2"/>
        <v>0</v>
      </c>
      <c r="U130" t="str" cm="1">
        <f t="array" ref="U130">_xlfn.IFNA(_xlfn.IFS(Table2[[#This Row],[DEFICIT /SURPLUS]]&lt;0,"Deficit",Table2[[#This Row],[DEFICIT /SURPLUS]]&gt;0,"surplus"),"-")</f>
        <v>surplus</v>
      </c>
    </row>
    <row r="131" spans="1:21" ht="14.5">
      <c r="A131" s="8" t="s">
        <v>144</v>
      </c>
      <c r="B131" s="9">
        <v>45554</v>
      </c>
      <c r="C131" s="8" t="s">
        <v>22</v>
      </c>
      <c r="D131" s="8" t="s">
        <v>42</v>
      </c>
      <c r="E131" s="8" t="s">
        <v>38</v>
      </c>
      <c r="F131" s="31">
        <f>_xlfn.XLOOKUP(Table2[[#This Row],[Shoe style]],val[SHOE STYLE],val[UNIT PRICE])</f>
        <v>17614</v>
      </c>
      <c r="H131" s="11">
        <v>1</v>
      </c>
      <c r="I131" s="6">
        <f>IF(Table2[[#This Row],[Discount]]&lt;(Table2[[#This Row],[UNIT PRICE]]*Table2[[#This Row],[Quantity sold]]),Table2[[#This Row],[UNIT PRICE]]*Table2[[#This Row],[Quantity sold]]-Table2[[#This Row],[Discount]],0)</f>
        <v>17614</v>
      </c>
      <c r="K131" s="2">
        <f>_xlfn.XLOOKUP(Table2[[#This Row],[Shoe style]],val[SHOE STYLE],val[COST PRICE])</f>
        <v>14912</v>
      </c>
      <c r="L131" s="2">
        <f>(Table2[[#This Row],[COST PRICE]]*Table2[[#This Row],[Quantity sold]])</f>
        <v>14912</v>
      </c>
      <c r="M131" s="2">
        <f>Table2[[#This Row],[TOTAL SALES]]-Table2[[#This Row],[TOTAL COST PRICE]]</f>
        <v>2702</v>
      </c>
      <c r="N131" s="2">
        <f>IF(Table2[[#This Row],[Amount Paid]]&gt;0,(SUMIF(Table2[Order ID],Table2[[#This Row],[Order ID]],Table2[Amount Paid])-SUMIF(Table2[Order ID],Table2[[#This Row],[Order ID]],Table2[TOTAL SALES])),0)</f>
        <v>0</v>
      </c>
      <c r="O131" s="8">
        <v>42</v>
      </c>
      <c r="P131" s="8" t="s">
        <v>25</v>
      </c>
      <c r="Q131" s="8" t="s">
        <v>26</v>
      </c>
      <c r="R131" s="8" t="s">
        <v>27</v>
      </c>
      <c r="S131" s="8" t="s">
        <v>28</v>
      </c>
      <c r="T131" s="8">
        <f t="shared" si="2"/>
        <v>0</v>
      </c>
      <c r="U131" t="str" cm="1">
        <f t="array" ref="U131">_xlfn.IFNA(_xlfn.IFS(Table2[[#This Row],[DEFICIT /SURPLUS]]&lt;0,"Deficit",Table2[[#This Row],[DEFICIT /SURPLUS]]&gt;0,"surplus"),"-")</f>
        <v>-</v>
      </c>
    </row>
    <row r="132" spans="1:21" ht="14.5">
      <c r="A132" s="8" t="s">
        <v>145</v>
      </c>
      <c r="B132" s="9">
        <v>45555</v>
      </c>
      <c r="C132" s="8" t="s">
        <v>22</v>
      </c>
      <c r="D132" s="8" t="s">
        <v>49</v>
      </c>
      <c r="E132" s="8" t="s">
        <v>109</v>
      </c>
      <c r="F132" s="31">
        <f>_xlfn.XLOOKUP(Table2[[#This Row],[Shoe style]],val[SHOE STYLE],val[UNIT PRICE])</f>
        <v>20500</v>
      </c>
      <c r="H132" s="11">
        <v>1</v>
      </c>
      <c r="I132" s="6">
        <f>IF(Table2[[#This Row],[Discount]]&lt;(Table2[[#This Row],[UNIT PRICE]]*Table2[[#This Row],[Quantity sold]]),Table2[[#This Row],[UNIT PRICE]]*Table2[[#This Row],[Quantity sold]]-Table2[[#This Row],[Discount]],0)</f>
        <v>20500</v>
      </c>
      <c r="J132" s="10">
        <v>32500</v>
      </c>
      <c r="K132" s="2">
        <f>_xlfn.XLOOKUP(Table2[[#This Row],[Shoe style]],val[SHOE STYLE],val[COST PRICE])</f>
        <v>17339</v>
      </c>
      <c r="L132" s="2">
        <f>(Table2[[#This Row],[COST PRICE]]*Table2[[#This Row],[Quantity sold]])</f>
        <v>17339</v>
      </c>
      <c r="M132" s="2">
        <f>Table2[[#This Row],[TOTAL SALES]]-Table2[[#This Row],[TOTAL COST PRICE]]</f>
        <v>3161</v>
      </c>
      <c r="N132" s="2">
        <f>IF(Table2[[#This Row],[Amount Paid]]&gt;0,(SUMIF(Table2[Order ID],Table2[[#This Row],[Order ID]],Table2[Amount Paid])-SUMIF(Table2[Order ID],Table2[[#This Row],[Order ID]],Table2[TOTAL SALES])),0)</f>
        <v>-5614</v>
      </c>
      <c r="O132" s="8">
        <v>42</v>
      </c>
      <c r="P132" s="8" t="s">
        <v>25</v>
      </c>
      <c r="Q132" s="8" t="s">
        <v>26</v>
      </c>
      <c r="R132" s="8" t="s">
        <v>44</v>
      </c>
      <c r="S132" s="8" t="s">
        <v>28</v>
      </c>
      <c r="T132" s="8">
        <f t="shared" si="2"/>
        <v>0</v>
      </c>
      <c r="U132" t="str" cm="1">
        <f t="array" ref="U132">_xlfn.IFNA(_xlfn.IFS(Table2[[#This Row],[DEFICIT /SURPLUS]]&lt;0,"Deficit",Table2[[#This Row],[DEFICIT /SURPLUS]]&gt;0,"surplus"),"-")</f>
        <v>Deficit</v>
      </c>
    </row>
    <row r="133" spans="1:21" ht="14.5">
      <c r="A133" s="8" t="s">
        <v>145</v>
      </c>
      <c r="B133" s="9">
        <v>45555</v>
      </c>
      <c r="C133" s="8" t="s">
        <v>22</v>
      </c>
      <c r="D133" s="8" t="s">
        <v>42</v>
      </c>
      <c r="E133" s="8" t="s">
        <v>24</v>
      </c>
      <c r="F133" s="31">
        <f>_xlfn.XLOOKUP(Table2[[#This Row],[Shoe style]],val[SHOE STYLE],val[UNIT PRICE])</f>
        <v>17614</v>
      </c>
      <c r="H133" s="11">
        <v>1</v>
      </c>
      <c r="I133" s="6">
        <f>IF(Table2[[#This Row],[Discount]]&lt;(Table2[[#This Row],[UNIT PRICE]]*Table2[[#This Row],[Quantity sold]]),Table2[[#This Row],[UNIT PRICE]]*Table2[[#This Row],[Quantity sold]]-Table2[[#This Row],[Discount]],0)</f>
        <v>17614</v>
      </c>
      <c r="K133" s="2">
        <f>_xlfn.XLOOKUP(Table2[[#This Row],[Shoe style]],val[SHOE STYLE],val[COST PRICE])</f>
        <v>14912</v>
      </c>
      <c r="L133" s="2">
        <f>(Table2[[#This Row],[COST PRICE]]*Table2[[#This Row],[Quantity sold]])</f>
        <v>14912</v>
      </c>
      <c r="M133" s="2">
        <f>Table2[[#This Row],[TOTAL SALES]]-Table2[[#This Row],[TOTAL COST PRICE]]</f>
        <v>2702</v>
      </c>
      <c r="N133" s="2">
        <f>IF(Table2[[#This Row],[Amount Paid]]&gt;0,(SUMIF(Table2[Order ID],Table2[[#This Row],[Order ID]],Table2[Amount Paid])-SUMIF(Table2[Order ID],Table2[[#This Row],[Order ID]],Table2[TOTAL SALES])),0)</f>
        <v>0</v>
      </c>
      <c r="O133" s="8">
        <v>42</v>
      </c>
      <c r="P133" s="8" t="s">
        <v>25</v>
      </c>
      <c r="Q133" s="8" t="s">
        <v>26</v>
      </c>
      <c r="R133" s="8" t="s">
        <v>44</v>
      </c>
      <c r="S133" s="8" t="s">
        <v>28</v>
      </c>
      <c r="T133" s="8">
        <f t="shared" si="2"/>
        <v>0</v>
      </c>
      <c r="U133" t="str" cm="1">
        <f t="array" ref="U133">_xlfn.IFNA(_xlfn.IFS(Table2[[#This Row],[DEFICIT /SURPLUS]]&lt;0,"Deficit",Table2[[#This Row],[DEFICIT /SURPLUS]]&gt;0,"surplus"),"-")</f>
        <v>-</v>
      </c>
    </row>
    <row r="134" spans="1:21" ht="14.5">
      <c r="A134" s="8" t="s">
        <v>146</v>
      </c>
      <c r="B134" s="9">
        <v>45555</v>
      </c>
      <c r="C134" s="8" t="s">
        <v>22</v>
      </c>
      <c r="D134" s="8" t="s">
        <v>37</v>
      </c>
      <c r="E134" s="8" t="s">
        <v>78</v>
      </c>
      <c r="F134" s="31">
        <f>_xlfn.XLOOKUP(Table2[[#This Row],[Shoe style]],val[SHOE STYLE],val[UNIT PRICE])</f>
        <v>22728</v>
      </c>
      <c r="H134" s="11">
        <v>1</v>
      </c>
      <c r="I134" s="6">
        <f>IF(Table2[[#This Row],[Discount]]&lt;(Table2[[#This Row],[UNIT PRICE]]*Table2[[#This Row],[Quantity sold]]),Table2[[#This Row],[UNIT PRICE]]*Table2[[#This Row],[Quantity sold]]-Table2[[#This Row],[Discount]],0)</f>
        <v>22728</v>
      </c>
      <c r="J134" s="10">
        <v>32000</v>
      </c>
      <c r="K134" s="2">
        <f>_xlfn.XLOOKUP(Table2[[#This Row],[Shoe style]],val[SHOE STYLE],val[COST PRICE])</f>
        <v>20451</v>
      </c>
      <c r="L134" s="2">
        <f>(Table2[[#This Row],[COST PRICE]]*Table2[[#This Row],[Quantity sold]])</f>
        <v>20451</v>
      </c>
      <c r="M134" s="2">
        <f>Table2[[#This Row],[TOTAL SALES]]-Table2[[#This Row],[TOTAL COST PRICE]]</f>
        <v>2277</v>
      </c>
      <c r="N134" s="2">
        <f>IF(Table2[[#This Row],[Amount Paid]]&gt;0,(SUMIF(Table2[Order ID],Table2[[#This Row],[Order ID]],Table2[Amount Paid])-SUMIF(Table2[Order ID],Table2[[#This Row],[Order ID]],Table2[TOTAL SALES])),0)</f>
        <v>-5932</v>
      </c>
      <c r="O134" s="8">
        <v>43</v>
      </c>
      <c r="P134" s="8" t="s">
        <v>25</v>
      </c>
      <c r="Q134" s="8" t="s">
        <v>26</v>
      </c>
      <c r="R134" s="8" t="s">
        <v>27</v>
      </c>
      <c r="S134" s="8" t="s">
        <v>28</v>
      </c>
      <c r="T134" s="8">
        <f t="shared" si="2"/>
        <v>0</v>
      </c>
      <c r="U134" t="str" cm="1">
        <f t="array" ref="U134">_xlfn.IFNA(_xlfn.IFS(Table2[[#This Row],[DEFICIT /SURPLUS]]&lt;0,"Deficit",Table2[[#This Row],[DEFICIT /SURPLUS]]&gt;0,"surplus"),"-")</f>
        <v>Deficit</v>
      </c>
    </row>
    <row r="135" spans="1:21" ht="14.5">
      <c r="A135" s="8" t="s">
        <v>146</v>
      </c>
      <c r="B135" s="9">
        <v>45555</v>
      </c>
      <c r="C135" s="8" t="s">
        <v>22</v>
      </c>
      <c r="D135" s="8" t="s">
        <v>124</v>
      </c>
      <c r="E135" s="8" t="s">
        <v>63</v>
      </c>
      <c r="F135" s="31">
        <f>_xlfn.XLOOKUP(Table2[[#This Row],[Shoe style]],val[SHOE STYLE],val[UNIT PRICE])</f>
        <v>15204</v>
      </c>
      <c r="H135" s="11">
        <v>1</v>
      </c>
      <c r="I135" s="6">
        <f>IF(Table2[[#This Row],[Discount]]&lt;(Table2[[#This Row],[UNIT PRICE]]*Table2[[#This Row],[Quantity sold]]),Table2[[#This Row],[UNIT PRICE]]*Table2[[#This Row],[Quantity sold]]-Table2[[#This Row],[Discount]],0)</f>
        <v>15204</v>
      </c>
      <c r="K135" s="2">
        <f>_xlfn.XLOOKUP(Table2[[#This Row],[Shoe style]],val[SHOE STYLE],val[COST PRICE])</f>
        <v>12537</v>
      </c>
      <c r="L135" s="2">
        <f>(Table2[[#This Row],[COST PRICE]]*Table2[[#This Row],[Quantity sold]])</f>
        <v>12537</v>
      </c>
      <c r="M135" s="2">
        <f>Table2[[#This Row],[TOTAL SALES]]-Table2[[#This Row],[TOTAL COST PRICE]]</f>
        <v>2667</v>
      </c>
      <c r="N135" s="2">
        <f>IF(Table2[[#This Row],[Amount Paid]]&gt;0,(SUMIF(Table2[Order ID],Table2[[#This Row],[Order ID]],Table2[Amount Paid])-SUMIF(Table2[Order ID],Table2[[#This Row],[Order ID]],Table2[TOTAL SALES])),0)</f>
        <v>0</v>
      </c>
      <c r="O135" s="8">
        <v>43</v>
      </c>
      <c r="P135" s="8" t="s">
        <v>25</v>
      </c>
      <c r="Q135" s="8" t="s">
        <v>26</v>
      </c>
      <c r="R135" s="8" t="s">
        <v>27</v>
      </c>
      <c r="S135" s="8" t="s">
        <v>28</v>
      </c>
      <c r="T135" s="8">
        <f t="shared" si="2"/>
        <v>0</v>
      </c>
      <c r="U135" t="str" cm="1">
        <f t="array" ref="U135">_xlfn.IFNA(_xlfn.IFS(Table2[[#This Row],[DEFICIT /SURPLUS]]&lt;0,"Deficit",Table2[[#This Row],[DEFICIT /SURPLUS]]&gt;0,"surplus"),"-")</f>
        <v>-</v>
      </c>
    </row>
    <row r="136" spans="1:21" ht="14.5">
      <c r="A136" s="8" t="s">
        <v>147</v>
      </c>
      <c r="B136" s="9">
        <v>45556</v>
      </c>
      <c r="C136" s="8" t="s">
        <v>22</v>
      </c>
      <c r="D136" s="8" t="s">
        <v>29</v>
      </c>
      <c r="E136" s="8" t="s">
        <v>109</v>
      </c>
      <c r="F136" s="31">
        <f>_xlfn.XLOOKUP(Table2[[#This Row],[Shoe style]],val[SHOE STYLE],val[UNIT PRICE])</f>
        <v>12395</v>
      </c>
      <c r="H136" s="11">
        <v>1</v>
      </c>
      <c r="I136" s="6">
        <f>IF(Table2[[#This Row],[Discount]]&lt;(Table2[[#This Row],[UNIT PRICE]]*Table2[[#This Row],[Quantity sold]]),Table2[[#This Row],[UNIT PRICE]]*Table2[[#This Row],[Quantity sold]]-Table2[[#This Row],[Discount]],0)</f>
        <v>12395</v>
      </c>
      <c r="J136" s="10">
        <v>16000</v>
      </c>
      <c r="K136" s="2">
        <f>_xlfn.XLOOKUP(Table2[[#This Row],[Shoe style]],val[SHOE STYLE],val[COST PRICE])</f>
        <v>7909</v>
      </c>
      <c r="L136" s="2">
        <f>(Table2[[#This Row],[COST PRICE]]*Table2[[#This Row],[Quantity sold]])</f>
        <v>7909</v>
      </c>
      <c r="M136" s="2">
        <f>Table2[[#This Row],[TOTAL SALES]]-Table2[[#This Row],[TOTAL COST PRICE]]</f>
        <v>4486</v>
      </c>
      <c r="N136" s="2">
        <f>IF(Table2[[#This Row],[Amount Paid]]&gt;0,(SUMIF(Table2[Order ID],Table2[[#This Row],[Order ID]],Table2[Amount Paid])-SUMIF(Table2[Order ID],Table2[[#This Row],[Order ID]],Table2[TOTAL SALES])),0)</f>
        <v>3605</v>
      </c>
      <c r="O136" s="8">
        <v>40</v>
      </c>
      <c r="P136" s="8" t="s">
        <v>25</v>
      </c>
      <c r="Q136" s="8" t="s">
        <v>26</v>
      </c>
      <c r="R136" s="8" t="s">
        <v>27</v>
      </c>
      <c r="S136" s="8" t="s">
        <v>28</v>
      </c>
      <c r="T136" s="8">
        <f t="shared" si="2"/>
        <v>0</v>
      </c>
      <c r="U136" t="str" cm="1">
        <f t="array" ref="U136">_xlfn.IFNA(_xlfn.IFS(Table2[[#This Row],[DEFICIT /SURPLUS]]&lt;0,"Deficit",Table2[[#This Row],[DEFICIT /SURPLUS]]&gt;0,"surplus"),"-")</f>
        <v>surplus</v>
      </c>
    </row>
    <row r="137" spans="1:21" ht="14.5">
      <c r="A137" s="8" t="s">
        <v>148</v>
      </c>
      <c r="B137" s="9">
        <v>45556</v>
      </c>
      <c r="C137" s="8" t="s">
        <v>22</v>
      </c>
      <c r="D137" s="8" t="s">
        <v>49</v>
      </c>
      <c r="E137" s="8" t="s">
        <v>43</v>
      </c>
      <c r="F137" s="31">
        <f>_xlfn.XLOOKUP(Table2[[#This Row],[Shoe style]],val[SHOE STYLE],val[UNIT PRICE])</f>
        <v>20500</v>
      </c>
      <c r="H137" s="11">
        <v>1</v>
      </c>
      <c r="I137" s="6">
        <f>IF(Table2[[#This Row],[Discount]]&lt;(Table2[[#This Row],[UNIT PRICE]]*Table2[[#This Row],[Quantity sold]]),Table2[[#This Row],[UNIT PRICE]]*Table2[[#This Row],[Quantity sold]]-Table2[[#This Row],[Discount]],0)</f>
        <v>20500</v>
      </c>
      <c r="J137" s="10">
        <v>14500</v>
      </c>
      <c r="K137" s="2">
        <f>_xlfn.XLOOKUP(Table2[[#This Row],[Shoe style]],val[SHOE STYLE],val[COST PRICE])</f>
        <v>17339</v>
      </c>
      <c r="L137" s="2">
        <f>(Table2[[#This Row],[COST PRICE]]*Table2[[#This Row],[Quantity sold]])</f>
        <v>17339</v>
      </c>
      <c r="M137" s="2">
        <f>Table2[[#This Row],[TOTAL SALES]]-Table2[[#This Row],[TOTAL COST PRICE]]</f>
        <v>3161</v>
      </c>
      <c r="N137" s="2">
        <f>IF(Table2[[#This Row],[Amount Paid]]&gt;0,(SUMIF(Table2[Order ID],Table2[[#This Row],[Order ID]],Table2[Amount Paid])-SUMIF(Table2[Order ID],Table2[[#This Row],[Order ID]],Table2[TOTAL SALES])),0)</f>
        <v>-6000</v>
      </c>
      <c r="O137" s="8">
        <v>40</v>
      </c>
      <c r="P137" s="8" t="s">
        <v>25</v>
      </c>
      <c r="Q137" s="8" t="s">
        <v>26</v>
      </c>
      <c r="R137" s="8" t="s">
        <v>44</v>
      </c>
      <c r="S137" s="8" t="s">
        <v>28</v>
      </c>
      <c r="T137" s="8">
        <f t="shared" si="2"/>
        <v>0</v>
      </c>
      <c r="U137" t="str" cm="1">
        <f t="array" ref="U137">_xlfn.IFNA(_xlfn.IFS(Table2[[#This Row],[DEFICIT /SURPLUS]]&lt;0,"Deficit",Table2[[#This Row],[DEFICIT /SURPLUS]]&gt;0,"surplus"),"-")</f>
        <v>Deficit</v>
      </c>
    </row>
    <row r="138" spans="1:21" ht="14.5">
      <c r="A138" s="8" t="s">
        <v>149</v>
      </c>
      <c r="B138" s="9">
        <v>45556</v>
      </c>
      <c r="C138" s="8" t="s">
        <v>22</v>
      </c>
      <c r="D138" s="8" t="s">
        <v>71</v>
      </c>
      <c r="E138" s="8" t="s">
        <v>62</v>
      </c>
      <c r="F138" s="31">
        <f>_xlfn.XLOOKUP(Table2[[#This Row],[Shoe style]],val[SHOE STYLE],val[UNIT PRICE])</f>
        <v>14873</v>
      </c>
      <c r="H138" s="11">
        <v>1</v>
      </c>
      <c r="I138" s="6">
        <f>IF(Table2[[#This Row],[Discount]]&lt;(Table2[[#This Row],[UNIT PRICE]]*Table2[[#This Row],[Quantity sold]]),Table2[[#This Row],[UNIT PRICE]]*Table2[[#This Row],[Quantity sold]]-Table2[[#This Row],[Discount]],0)</f>
        <v>14873</v>
      </c>
      <c r="J138" s="10">
        <v>51062.5</v>
      </c>
      <c r="K138" s="2">
        <f>_xlfn.XLOOKUP(Table2[[#This Row],[Shoe style]],val[SHOE STYLE],val[COST PRICE])</f>
        <v>11503</v>
      </c>
      <c r="L138" s="2">
        <f>(Table2[[#This Row],[COST PRICE]]*Table2[[#This Row],[Quantity sold]])</f>
        <v>11503</v>
      </c>
      <c r="M138" s="2">
        <f>Table2[[#This Row],[TOTAL SALES]]-Table2[[#This Row],[TOTAL COST PRICE]]</f>
        <v>3370</v>
      </c>
      <c r="N138" s="2">
        <f>IF(Table2[[#This Row],[Amount Paid]]&gt;0,(SUMIF(Table2[Order ID],Table2[[#This Row],[Order ID]],Table2[Amount Paid])-SUMIF(Table2[Order ID],Table2[[#This Row],[Order ID]],Table2[TOTAL SALES])),0)</f>
        <v>5887.5</v>
      </c>
      <c r="O138" s="8">
        <v>41</v>
      </c>
      <c r="P138" s="8" t="s">
        <v>25</v>
      </c>
      <c r="Q138" s="8" t="s">
        <v>54</v>
      </c>
      <c r="R138" s="8" t="s">
        <v>44</v>
      </c>
      <c r="S138" s="8" t="s">
        <v>28</v>
      </c>
      <c r="T138" s="8">
        <f t="shared" si="2"/>
        <v>0</v>
      </c>
      <c r="U138" t="str" cm="1">
        <f t="array" ref="U138">_xlfn.IFNA(_xlfn.IFS(Table2[[#This Row],[DEFICIT /SURPLUS]]&lt;0,"Deficit",Table2[[#This Row],[DEFICIT /SURPLUS]]&gt;0,"surplus"),"-")</f>
        <v>surplus</v>
      </c>
    </row>
    <row r="139" spans="1:21" ht="14.5">
      <c r="A139" s="8" t="s">
        <v>149</v>
      </c>
      <c r="B139" s="9">
        <v>45556</v>
      </c>
      <c r="C139" s="8" t="s">
        <v>22</v>
      </c>
      <c r="D139" s="8" t="s">
        <v>51</v>
      </c>
      <c r="E139" s="8" t="s">
        <v>78</v>
      </c>
      <c r="F139" s="31">
        <f>_xlfn.XLOOKUP(Table2[[#This Row],[Shoe style]],val[SHOE STYLE],val[UNIT PRICE])</f>
        <v>11007</v>
      </c>
      <c r="H139" s="11">
        <v>1</v>
      </c>
      <c r="I139" s="6">
        <f>IF(Table2[[#This Row],[Discount]]&lt;(Table2[[#This Row],[UNIT PRICE]]*Table2[[#This Row],[Quantity sold]]),Table2[[#This Row],[UNIT PRICE]]*Table2[[#This Row],[Quantity sold]]-Table2[[#This Row],[Discount]],0)</f>
        <v>11007</v>
      </c>
      <c r="K139" s="2">
        <f>_xlfn.XLOOKUP(Table2[[#This Row],[Shoe style]],val[SHOE STYLE],val[COST PRICE])</f>
        <v>8327</v>
      </c>
      <c r="L139" s="2">
        <f>(Table2[[#This Row],[COST PRICE]]*Table2[[#This Row],[Quantity sold]])</f>
        <v>8327</v>
      </c>
      <c r="M139" s="2">
        <f>Table2[[#This Row],[TOTAL SALES]]-Table2[[#This Row],[TOTAL COST PRICE]]</f>
        <v>2680</v>
      </c>
      <c r="N139" s="2">
        <f>IF(Table2[[#This Row],[Amount Paid]]&gt;0,(SUMIF(Table2[Order ID],Table2[[#This Row],[Order ID]],Table2[Amount Paid])-SUMIF(Table2[Order ID],Table2[[#This Row],[Order ID]],Table2[TOTAL SALES])),0)</f>
        <v>0</v>
      </c>
      <c r="O139" s="8">
        <v>41</v>
      </c>
      <c r="P139" s="8" t="s">
        <v>25</v>
      </c>
      <c r="Q139" s="8" t="s">
        <v>54</v>
      </c>
      <c r="R139" s="8" t="s">
        <v>44</v>
      </c>
      <c r="S139" s="8" t="s">
        <v>28</v>
      </c>
      <c r="T139" s="8">
        <f t="shared" si="2"/>
        <v>0</v>
      </c>
      <c r="U139" t="str" cm="1">
        <f t="array" ref="U139">_xlfn.IFNA(_xlfn.IFS(Table2[[#This Row],[DEFICIT /SURPLUS]]&lt;0,"Deficit",Table2[[#This Row],[DEFICIT /SURPLUS]]&gt;0,"surplus"),"-")</f>
        <v>-</v>
      </c>
    </row>
    <row r="140" spans="1:21" ht="14.5">
      <c r="A140" s="8" t="s">
        <v>149</v>
      </c>
      <c r="B140" s="9">
        <v>45556</v>
      </c>
      <c r="C140" s="8" t="s">
        <v>22</v>
      </c>
      <c r="D140" s="8" t="s">
        <v>32</v>
      </c>
      <c r="E140" s="8" t="s">
        <v>61</v>
      </c>
      <c r="F140" s="31">
        <f>_xlfn.XLOOKUP(Table2[[#This Row],[Shoe style]],val[SHOE STYLE],val[UNIT PRICE])</f>
        <v>19295</v>
      </c>
      <c r="H140" s="11">
        <v>1</v>
      </c>
      <c r="I140" s="6">
        <f>IF(Table2[[#This Row],[Discount]]&lt;(Table2[[#This Row],[UNIT PRICE]]*Table2[[#This Row],[Quantity sold]]),Table2[[#This Row],[UNIT PRICE]]*Table2[[#This Row],[Quantity sold]]-Table2[[#This Row],[Discount]],0)</f>
        <v>19295</v>
      </c>
      <c r="K140" s="2">
        <f>_xlfn.XLOOKUP(Table2[[#This Row],[Shoe style]],val[SHOE STYLE],val[COST PRICE])</f>
        <v>16705</v>
      </c>
      <c r="L140" s="2">
        <f>(Table2[[#This Row],[COST PRICE]]*Table2[[#This Row],[Quantity sold]])</f>
        <v>16705</v>
      </c>
      <c r="M140" s="2">
        <f>Table2[[#This Row],[TOTAL SALES]]-Table2[[#This Row],[TOTAL COST PRICE]]</f>
        <v>2590</v>
      </c>
      <c r="N140" s="2">
        <f>IF(Table2[[#This Row],[Amount Paid]]&gt;0,(SUMIF(Table2[Order ID],Table2[[#This Row],[Order ID]],Table2[Amount Paid])-SUMIF(Table2[Order ID],Table2[[#This Row],[Order ID]],Table2[TOTAL SALES])),0)</f>
        <v>0</v>
      </c>
      <c r="O140" s="8">
        <v>41</v>
      </c>
      <c r="P140" s="8" t="s">
        <v>25</v>
      </c>
      <c r="Q140" s="8" t="s">
        <v>54</v>
      </c>
      <c r="R140" s="8" t="s">
        <v>44</v>
      </c>
      <c r="S140" s="8" t="s">
        <v>28</v>
      </c>
      <c r="T140" s="8">
        <f t="shared" si="2"/>
        <v>0</v>
      </c>
      <c r="U140" t="str" cm="1">
        <f t="array" ref="U140">_xlfn.IFNA(_xlfn.IFS(Table2[[#This Row],[DEFICIT /SURPLUS]]&lt;0,"Deficit",Table2[[#This Row],[DEFICIT /SURPLUS]]&gt;0,"surplus"),"-")</f>
        <v>-</v>
      </c>
    </row>
    <row r="141" spans="1:21" ht="14.5">
      <c r="A141" s="8" t="s">
        <v>150</v>
      </c>
      <c r="B141" s="9">
        <v>45556</v>
      </c>
      <c r="C141" s="8" t="s">
        <v>22</v>
      </c>
      <c r="D141" s="8" t="s">
        <v>29</v>
      </c>
      <c r="E141" s="8" t="s">
        <v>63</v>
      </c>
      <c r="F141" s="31">
        <f>_xlfn.XLOOKUP(Table2[[#This Row],[Shoe style]],val[SHOE STYLE],val[UNIT PRICE])</f>
        <v>12395</v>
      </c>
      <c r="H141" s="11">
        <v>1</v>
      </c>
      <c r="I141" s="6">
        <f>IF(Table2[[#This Row],[Discount]]&lt;(Table2[[#This Row],[UNIT PRICE]]*Table2[[#This Row],[Quantity sold]]),Table2[[#This Row],[UNIT PRICE]]*Table2[[#This Row],[Quantity sold]]-Table2[[#This Row],[Discount]],0)</f>
        <v>12395</v>
      </c>
      <c r="J141" s="10">
        <v>13500</v>
      </c>
      <c r="K141" s="2">
        <f>_xlfn.XLOOKUP(Table2[[#This Row],[Shoe style]],val[SHOE STYLE],val[COST PRICE])</f>
        <v>7909</v>
      </c>
      <c r="L141" s="2">
        <f>(Table2[[#This Row],[COST PRICE]]*Table2[[#This Row],[Quantity sold]])</f>
        <v>7909</v>
      </c>
      <c r="M141" s="2">
        <f>Table2[[#This Row],[TOTAL SALES]]-Table2[[#This Row],[TOTAL COST PRICE]]</f>
        <v>4486</v>
      </c>
      <c r="N141" s="2">
        <f>IF(Table2[[#This Row],[Amount Paid]]&gt;0,(SUMIF(Table2[Order ID],Table2[[#This Row],[Order ID]],Table2[Amount Paid])-SUMIF(Table2[Order ID],Table2[[#This Row],[Order ID]],Table2[TOTAL SALES])),0)</f>
        <v>1105</v>
      </c>
      <c r="O141" s="8">
        <v>38</v>
      </c>
      <c r="P141" s="8" t="s">
        <v>25</v>
      </c>
      <c r="Q141" s="8" t="s">
        <v>26</v>
      </c>
      <c r="R141" s="8" t="s">
        <v>44</v>
      </c>
      <c r="S141" s="8" t="s">
        <v>28</v>
      </c>
      <c r="T141" s="8">
        <f t="shared" si="2"/>
        <v>0</v>
      </c>
      <c r="U141" t="str" cm="1">
        <f t="array" ref="U141">_xlfn.IFNA(_xlfn.IFS(Table2[[#This Row],[DEFICIT /SURPLUS]]&lt;0,"Deficit",Table2[[#This Row],[DEFICIT /SURPLUS]]&gt;0,"surplus"),"-")</f>
        <v>surplus</v>
      </c>
    </row>
    <row r="142" spans="1:21" ht="14.5">
      <c r="A142" s="8" t="s">
        <v>151</v>
      </c>
      <c r="B142" s="9">
        <v>45556</v>
      </c>
      <c r="C142" s="8" t="s">
        <v>22</v>
      </c>
      <c r="D142" s="8" t="s">
        <v>49</v>
      </c>
      <c r="E142" s="8" t="s">
        <v>43</v>
      </c>
      <c r="F142" s="31">
        <f>_xlfn.XLOOKUP(Table2[[#This Row],[Shoe style]],val[SHOE STYLE],val[UNIT PRICE])</f>
        <v>20500</v>
      </c>
      <c r="H142" s="11">
        <v>1</v>
      </c>
      <c r="I142" s="6">
        <f>IF(Table2[[#This Row],[Discount]]&lt;(Table2[[#This Row],[UNIT PRICE]]*Table2[[#This Row],[Quantity sold]]),Table2[[#This Row],[UNIT PRICE]]*Table2[[#This Row],[Quantity sold]]-Table2[[#This Row],[Discount]],0)</f>
        <v>20500</v>
      </c>
      <c r="J142" s="10">
        <v>31000</v>
      </c>
      <c r="K142" s="2">
        <f>_xlfn.XLOOKUP(Table2[[#This Row],[Shoe style]],val[SHOE STYLE],val[COST PRICE])</f>
        <v>17339</v>
      </c>
      <c r="L142" s="2">
        <f>(Table2[[#This Row],[COST PRICE]]*Table2[[#This Row],[Quantity sold]])</f>
        <v>17339</v>
      </c>
      <c r="M142" s="2">
        <f>Table2[[#This Row],[TOTAL SALES]]-Table2[[#This Row],[TOTAL COST PRICE]]</f>
        <v>3161</v>
      </c>
      <c r="N142" s="2">
        <f>IF(Table2[[#This Row],[Amount Paid]]&gt;0,(SUMIF(Table2[Order ID],Table2[[#This Row],[Order ID]],Table2[Amount Paid])-SUMIF(Table2[Order ID],Table2[[#This Row],[Order ID]],Table2[TOTAL SALES])),0)</f>
        <v>-10000</v>
      </c>
      <c r="O142" s="8">
        <v>45</v>
      </c>
      <c r="P142" s="8" t="s">
        <v>25</v>
      </c>
      <c r="Q142" s="8" t="s">
        <v>26</v>
      </c>
      <c r="R142" s="8" t="s">
        <v>44</v>
      </c>
      <c r="S142" s="8" t="s">
        <v>28</v>
      </c>
      <c r="T142" s="8">
        <f t="shared" si="2"/>
        <v>0</v>
      </c>
      <c r="U142" t="str" cm="1">
        <f t="array" ref="U142">_xlfn.IFNA(_xlfn.IFS(Table2[[#This Row],[DEFICIT /SURPLUS]]&lt;0,"Deficit",Table2[[#This Row],[DEFICIT /SURPLUS]]&gt;0,"surplus"),"-")</f>
        <v>Deficit</v>
      </c>
    </row>
    <row r="143" spans="1:21" ht="14.5">
      <c r="A143" s="8" t="s">
        <v>151</v>
      </c>
      <c r="B143" s="9">
        <v>45556</v>
      </c>
      <c r="C143" s="8" t="s">
        <v>22</v>
      </c>
      <c r="D143" s="8" t="s">
        <v>49</v>
      </c>
      <c r="E143" s="8" t="s">
        <v>43</v>
      </c>
      <c r="F143" s="31">
        <f>_xlfn.XLOOKUP(Table2[[#This Row],[Shoe style]],val[SHOE STYLE],val[UNIT PRICE])</f>
        <v>20500</v>
      </c>
      <c r="H143" s="11">
        <v>1</v>
      </c>
      <c r="I143" s="6">
        <f>IF(Table2[[#This Row],[Discount]]&lt;(Table2[[#This Row],[UNIT PRICE]]*Table2[[#This Row],[Quantity sold]]),Table2[[#This Row],[UNIT PRICE]]*Table2[[#This Row],[Quantity sold]]-Table2[[#This Row],[Discount]],0)</f>
        <v>20500</v>
      </c>
      <c r="K143" s="2">
        <f>_xlfn.XLOOKUP(Table2[[#This Row],[Shoe style]],val[SHOE STYLE],val[COST PRICE])</f>
        <v>17339</v>
      </c>
      <c r="L143" s="2">
        <f>(Table2[[#This Row],[COST PRICE]]*Table2[[#This Row],[Quantity sold]])</f>
        <v>17339</v>
      </c>
      <c r="M143" s="2">
        <f>Table2[[#This Row],[TOTAL SALES]]-Table2[[#This Row],[TOTAL COST PRICE]]</f>
        <v>3161</v>
      </c>
      <c r="N143" s="2">
        <f>IF(Table2[[#This Row],[Amount Paid]]&gt;0,(SUMIF(Table2[Order ID],Table2[[#This Row],[Order ID]],Table2[Amount Paid])-SUMIF(Table2[Order ID],Table2[[#This Row],[Order ID]],Table2[TOTAL SALES])),0)</f>
        <v>0</v>
      </c>
      <c r="O143" s="8">
        <v>45</v>
      </c>
      <c r="P143" s="8" t="s">
        <v>25</v>
      </c>
      <c r="Q143" s="8" t="s">
        <v>26</v>
      </c>
      <c r="R143" s="8" t="s">
        <v>44</v>
      </c>
      <c r="S143" s="8" t="s">
        <v>28</v>
      </c>
      <c r="T143" s="8">
        <f t="shared" si="2"/>
        <v>0</v>
      </c>
      <c r="U143" t="str" cm="1">
        <f t="array" ref="U143">_xlfn.IFNA(_xlfn.IFS(Table2[[#This Row],[DEFICIT /SURPLUS]]&lt;0,"Deficit",Table2[[#This Row],[DEFICIT /SURPLUS]]&gt;0,"surplus"),"-")</f>
        <v>-</v>
      </c>
    </row>
    <row r="144" spans="1:21" ht="14.5">
      <c r="A144" s="8" t="s">
        <v>152</v>
      </c>
      <c r="B144" s="9">
        <v>45556</v>
      </c>
      <c r="C144" s="8" t="s">
        <v>22</v>
      </c>
      <c r="D144" s="8" t="s">
        <v>29</v>
      </c>
      <c r="E144" s="8" t="s">
        <v>89</v>
      </c>
      <c r="F144" s="31">
        <f>_xlfn.XLOOKUP(Table2[[#This Row],[Shoe style]],val[SHOE STYLE],val[UNIT PRICE])</f>
        <v>12395</v>
      </c>
      <c r="H144" s="11">
        <v>1</v>
      </c>
      <c r="I144" s="6">
        <f>IF(Table2[[#This Row],[Discount]]&lt;(Table2[[#This Row],[UNIT PRICE]]*Table2[[#This Row],[Quantity sold]]),Table2[[#This Row],[UNIT PRICE]]*Table2[[#This Row],[Quantity sold]]-Table2[[#This Row],[Discount]],0)</f>
        <v>12395</v>
      </c>
      <c r="J144" s="10">
        <v>14000</v>
      </c>
      <c r="K144" s="2">
        <f>_xlfn.XLOOKUP(Table2[[#This Row],[Shoe style]],val[SHOE STYLE],val[COST PRICE])</f>
        <v>7909</v>
      </c>
      <c r="L144" s="2">
        <f>(Table2[[#This Row],[COST PRICE]]*Table2[[#This Row],[Quantity sold]])</f>
        <v>7909</v>
      </c>
      <c r="M144" s="2">
        <f>Table2[[#This Row],[TOTAL SALES]]-Table2[[#This Row],[TOTAL COST PRICE]]</f>
        <v>4486</v>
      </c>
      <c r="N144" s="2">
        <f>IF(Table2[[#This Row],[Amount Paid]]&gt;0,(SUMIF(Table2[Order ID],Table2[[#This Row],[Order ID]],Table2[Amount Paid])-SUMIF(Table2[Order ID],Table2[[#This Row],[Order ID]],Table2[TOTAL SALES])),0)</f>
        <v>1605</v>
      </c>
      <c r="O144" s="8">
        <v>43</v>
      </c>
      <c r="P144" s="8" t="s">
        <v>25</v>
      </c>
      <c r="Q144" s="8" t="s">
        <v>26</v>
      </c>
      <c r="R144" s="8" t="s">
        <v>27</v>
      </c>
      <c r="S144" s="8" t="s">
        <v>28</v>
      </c>
      <c r="T144" s="8">
        <f t="shared" si="2"/>
        <v>0</v>
      </c>
      <c r="U144" t="str" cm="1">
        <f t="array" ref="U144">_xlfn.IFNA(_xlfn.IFS(Table2[[#This Row],[DEFICIT /SURPLUS]]&lt;0,"Deficit",Table2[[#This Row],[DEFICIT /SURPLUS]]&gt;0,"surplus"),"-")</f>
        <v>surplus</v>
      </c>
    </row>
    <row r="145" spans="1:21" ht="14.5">
      <c r="A145" s="8" t="s">
        <v>153</v>
      </c>
      <c r="B145" s="9">
        <v>45558</v>
      </c>
      <c r="C145" s="8" t="s">
        <v>22</v>
      </c>
      <c r="D145" s="8" t="s">
        <v>29</v>
      </c>
      <c r="E145" s="8" t="s">
        <v>109</v>
      </c>
      <c r="F145" s="31">
        <f>_xlfn.XLOOKUP(Table2[[#This Row],[Shoe style]],val[SHOE STYLE],val[UNIT PRICE])</f>
        <v>12395</v>
      </c>
      <c r="H145" s="11">
        <v>1</v>
      </c>
      <c r="I145" s="6">
        <f>IF(Table2[[#This Row],[Discount]]&lt;(Table2[[#This Row],[UNIT PRICE]]*Table2[[#This Row],[Quantity sold]]),Table2[[#This Row],[UNIT PRICE]]*Table2[[#This Row],[Quantity sold]]-Table2[[#This Row],[Discount]],0)</f>
        <v>12395</v>
      </c>
      <c r="J145" s="10">
        <v>33000</v>
      </c>
      <c r="K145" s="2">
        <f>_xlfn.XLOOKUP(Table2[[#This Row],[Shoe style]],val[SHOE STYLE],val[COST PRICE])</f>
        <v>7909</v>
      </c>
      <c r="L145" s="2">
        <f>(Table2[[#This Row],[COST PRICE]]*Table2[[#This Row],[Quantity sold]])</f>
        <v>7909</v>
      </c>
      <c r="M145" s="2">
        <f>Table2[[#This Row],[TOTAL SALES]]-Table2[[#This Row],[TOTAL COST PRICE]]</f>
        <v>4486</v>
      </c>
      <c r="N145" s="2">
        <f>IF(Table2[[#This Row],[Amount Paid]]&gt;0,(SUMIF(Table2[Order ID],Table2[[#This Row],[Order ID]],Table2[Amount Paid])-SUMIF(Table2[Order ID],Table2[[#This Row],[Order ID]],Table2[TOTAL SALES])),0)</f>
        <v>8210</v>
      </c>
      <c r="O145" s="8">
        <v>39</v>
      </c>
      <c r="P145" s="8" t="s">
        <v>25</v>
      </c>
      <c r="Q145" s="8" t="s">
        <v>26</v>
      </c>
      <c r="R145" s="8" t="s">
        <v>44</v>
      </c>
      <c r="S145" s="8" t="s">
        <v>28</v>
      </c>
      <c r="T145" s="8">
        <f t="shared" si="2"/>
        <v>0</v>
      </c>
      <c r="U145" t="str" cm="1">
        <f t="array" ref="U145">_xlfn.IFNA(_xlfn.IFS(Table2[[#This Row],[DEFICIT /SURPLUS]]&lt;0,"Deficit",Table2[[#This Row],[DEFICIT /SURPLUS]]&gt;0,"surplus"),"-")</f>
        <v>surplus</v>
      </c>
    </row>
    <row r="146" spans="1:21" ht="14.5">
      <c r="A146" s="8" t="s">
        <v>153</v>
      </c>
      <c r="B146" s="9">
        <v>45558</v>
      </c>
      <c r="C146" s="8" t="s">
        <v>22</v>
      </c>
      <c r="D146" s="8" t="s">
        <v>29</v>
      </c>
      <c r="E146" s="8" t="s">
        <v>109</v>
      </c>
      <c r="F146" s="31">
        <f>_xlfn.XLOOKUP(Table2[[#This Row],[Shoe style]],val[SHOE STYLE],val[UNIT PRICE])</f>
        <v>12395</v>
      </c>
      <c r="H146" s="11">
        <v>1</v>
      </c>
      <c r="I146" s="6">
        <f>IF(Table2[[#This Row],[Discount]]&lt;(Table2[[#This Row],[UNIT PRICE]]*Table2[[#This Row],[Quantity sold]]),Table2[[#This Row],[UNIT PRICE]]*Table2[[#This Row],[Quantity sold]]-Table2[[#This Row],[Discount]],0)</f>
        <v>12395</v>
      </c>
      <c r="K146" s="2">
        <f>_xlfn.XLOOKUP(Table2[[#This Row],[Shoe style]],val[SHOE STYLE],val[COST PRICE])</f>
        <v>7909</v>
      </c>
      <c r="L146" s="2">
        <f>(Table2[[#This Row],[COST PRICE]]*Table2[[#This Row],[Quantity sold]])</f>
        <v>7909</v>
      </c>
      <c r="M146" s="2">
        <f>Table2[[#This Row],[TOTAL SALES]]-Table2[[#This Row],[TOTAL COST PRICE]]</f>
        <v>4486</v>
      </c>
      <c r="N146" s="2">
        <f>IF(Table2[[#This Row],[Amount Paid]]&gt;0,(SUMIF(Table2[Order ID],Table2[[#This Row],[Order ID]],Table2[Amount Paid])-SUMIF(Table2[Order ID],Table2[[#This Row],[Order ID]],Table2[TOTAL SALES])),0)</f>
        <v>0</v>
      </c>
      <c r="O146" s="8">
        <v>40</v>
      </c>
      <c r="P146" s="8" t="s">
        <v>25</v>
      </c>
      <c r="Q146" s="8" t="s">
        <v>26</v>
      </c>
      <c r="R146" s="8" t="s">
        <v>44</v>
      </c>
      <c r="S146" s="8" t="s">
        <v>28</v>
      </c>
      <c r="T146" s="8">
        <f t="shared" si="2"/>
        <v>0</v>
      </c>
      <c r="U146" t="str" cm="1">
        <f t="array" ref="U146">_xlfn.IFNA(_xlfn.IFS(Table2[[#This Row],[DEFICIT /SURPLUS]]&lt;0,"Deficit",Table2[[#This Row],[DEFICIT /SURPLUS]]&gt;0,"surplus"),"-")</f>
        <v>-</v>
      </c>
    </row>
    <row r="147" spans="1:21" ht="14.5">
      <c r="A147" s="8" t="s">
        <v>154</v>
      </c>
      <c r="B147" s="9">
        <v>45558</v>
      </c>
      <c r="C147" s="8" t="s">
        <v>22</v>
      </c>
      <c r="D147" s="8" t="s">
        <v>68</v>
      </c>
      <c r="E147" s="8" t="s">
        <v>109</v>
      </c>
      <c r="F147" s="31">
        <f>_xlfn.XLOOKUP(Table2[[#This Row],[Shoe style]],val[SHOE STYLE],val[UNIT PRICE])</f>
        <v>10509</v>
      </c>
      <c r="H147" s="11">
        <v>1</v>
      </c>
      <c r="I147" s="6">
        <f>IF(Table2[[#This Row],[Discount]]&lt;(Table2[[#This Row],[UNIT PRICE]]*Table2[[#This Row],[Quantity sold]]),Table2[[#This Row],[UNIT PRICE]]*Table2[[#This Row],[Quantity sold]]-Table2[[#This Row],[Discount]],0)</f>
        <v>10509</v>
      </c>
      <c r="J147" s="10">
        <v>17550</v>
      </c>
      <c r="K147" s="2">
        <f>_xlfn.XLOOKUP(Table2[[#This Row],[Shoe style]],val[SHOE STYLE],val[COST PRICE])</f>
        <v>7573</v>
      </c>
      <c r="L147" s="2">
        <f>(Table2[[#This Row],[COST PRICE]]*Table2[[#This Row],[Quantity sold]])</f>
        <v>7573</v>
      </c>
      <c r="M147" s="2">
        <f>Table2[[#This Row],[TOTAL SALES]]-Table2[[#This Row],[TOTAL COST PRICE]]</f>
        <v>2936</v>
      </c>
      <c r="N147" s="2">
        <f>IF(Table2[[#This Row],[Amount Paid]]&gt;0,(SUMIF(Table2[Order ID],Table2[[#This Row],[Order ID]],Table2[Amount Paid])-SUMIF(Table2[Order ID],Table2[[#This Row],[Order ID]],Table2[TOTAL SALES])),0)</f>
        <v>7041</v>
      </c>
      <c r="O147" s="8">
        <v>40</v>
      </c>
      <c r="P147" s="8" t="s">
        <v>25</v>
      </c>
      <c r="Q147" s="8" t="s">
        <v>54</v>
      </c>
      <c r="R147" s="8" t="s">
        <v>44</v>
      </c>
      <c r="S147" s="8" t="s">
        <v>28</v>
      </c>
      <c r="T147" s="8">
        <f t="shared" si="2"/>
        <v>0</v>
      </c>
      <c r="U147" t="str" cm="1">
        <f t="array" ref="U147">_xlfn.IFNA(_xlfn.IFS(Table2[[#This Row],[DEFICIT /SURPLUS]]&lt;0,"Deficit",Table2[[#This Row],[DEFICIT /SURPLUS]]&gt;0,"surplus"),"-")</f>
        <v>surplus</v>
      </c>
    </row>
    <row r="148" spans="1:21" ht="14.5">
      <c r="A148" s="8" t="s">
        <v>155</v>
      </c>
      <c r="B148" s="9">
        <v>45559</v>
      </c>
      <c r="C148" s="8" t="s">
        <v>22</v>
      </c>
      <c r="D148" s="8" t="s">
        <v>29</v>
      </c>
      <c r="E148" s="8" t="s">
        <v>109</v>
      </c>
      <c r="F148" s="31">
        <f>_xlfn.XLOOKUP(Table2[[#This Row],[Shoe style]],val[SHOE STYLE],val[UNIT PRICE])</f>
        <v>12395</v>
      </c>
      <c r="H148" s="11">
        <v>1</v>
      </c>
      <c r="I148" s="6">
        <f>IF(Table2[[#This Row],[Discount]]&lt;(Table2[[#This Row],[UNIT PRICE]]*Table2[[#This Row],[Quantity sold]]),Table2[[#This Row],[UNIT PRICE]]*Table2[[#This Row],[Quantity sold]]-Table2[[#This Row],[Discount]],0)</f>
        <v>12395</v>
      </c>
      <c r="J148" s="10">
        <v>17500</v>
      </c>
      <c r="K148" s="2">
        <f>_xlfn.XLOOKUP(Table2[[#This Row],[Shoe style]],val[SHOE STYLE],val[COST PRICE])</f>
        <v>7909</v>
      </c>
      <c r="L148" s="2">
        <f>(Table2[[#This Row],[COST PRICE]]*Table2[[#This Row],[Quantity sold]])</f>
        <v>7909</v>
      </c>
      <c r="M148" s="2">
        <f>Table2[[#This Row],[TOTAL SALES]]-Table2[[#This Row],[TOTAL COST PRICE]]</f>
        <v>4486</v>
      </c>
      <c r="N148" s="2">
        <f>IF(Table2[[#This Row],[Amount Paid]]&gt;0,(SUMIF(Table2[Order ID],Table2[[#This Row],[Order ID]],Table2[Amount Paid])-SUMIF(Table2[Order ID],Table2[[#This Row],[Order ID]],Table2[TOTAL SALES])),0)</f>
        <v>5105</v>
      </c>
      <c r="O148" s="8">
        <v>39</v>
      </c>
      <c r="P148" s="8" t="s">
        <v>25</v>
      </c>
      <c r="Q148" s="8" t="s">
        <v>26</v>
      </c>
      <c r="R148" s="8" t="s">
        <v>44</v>
      </c>
      <c r="S148" s="8" t="s">
        <v>28</v>
      </c>
      <c r="T148" s="8">
        <f t="shared" si="2"/>
        <v>0</v>
      </c>
      <c r="U148" t="str" cm="1">
        <f t="array" ref="U148">_xlfn.IFNA(_xlfn.IFS(Table2[[#This Row],[DEFICIT /SURPLUS]]&lt;0,"Deficit",Table2[[#This Row],[DEFICIT /SURPLUS]]&gt;0,"surplus"),"-")</f>
        <v>surplus</v>
      </c>
    </row>
    <row r="149" spans="1:21" ht="14.5">
      <c r="A149" s="8" t="s">
        <v>156</v>
      </c>
      <c r="B149" s="9">
        <v>45559</v>
      </c>
      <c r="C149" s="8" t="s">
        <v>157</v>
      </c>
      <c r="D149" s="8" t="s">
        <v>29</v>
      </c>
      <c r="E149" s="8" t="s">
        <v>109</v>
      </c>
      <c r="F149" s="31">
        <f>_xlfn.XLOOKUP(Table2[[#This Row],[Shoe style]],val[SHOE STYLE],val[UNIT PRICE])</f>
        <v>12395</v>
      </c>
      <c r="H149" s="11">
        <v>1</v>
      </c>
      <c r="I149" s="6">
        <f>IF(Table2[[#This Row],[Discount]]&lt;(Table2[[#This Row],[UNIT PRICE]]*Table2[[#This Row],[Quantity sold]]),Table2[[#This Row],[UNIT PRICE]]*Table2[[#This Row],[Quantity sold]]-Table2[[#This Row],[Discount]],0)</f>
        <v>12395</v>
      </c>
      <c r="J149" s="10">
        <v>18500</v>
      </c>
      <c r="K149" s="2">
        <f>_xlfn.XLOOKUP(Table2[[#This Row],[Shoe style]],val[SHOE STYLE],val[COST PRICE])</f>
        <v>7909</v>
      </c>
      <c r="L149" s="2">
        <f>(Table2[[#This Row],[COST PRICE]]*Table2[[#This Row],[Quantity sold]])</f>
        <v>7909</v>
      </c>
      <c r="M149" s="2">
        <f>Table2[[#This Row],[TOTAL SALES]]-Table2[[#This Row],[TOTAL COST PRICE]]</f>
        <v>4486</v>
      </c>
      <c r="N149" s="2">
        <f>IF(Table2[[#This Row],[Amount Paid]]&gt;0,(SUMIF(Table2[Order ID],Table2[[#This Row],[Order ID]],Table2[Amount Paid])-SUMIF(Table2[Order ID],Table2[[#This Row],[Order ID]],Table2[TOTAL SALES])),0)</f>
        <v>6105</v>
      </c>
      <c r="O149" s="8">
        <v>39</v>
      </c>
      <c r="P149" s="8" t="s">
        <v>25</v>
      </c>
      <c r="Q149" s="8" t="s">
        <v>26</v>
      </c>
      <c r="R149" s="8" t="s">
        <v>44</v>
      </c>
      <c r="S149" s="8" t="s">
        <v>28</v>
      </c>
      <c r="T149" s="8">
        <f t="shared" si="2"/>
        <v>0</v>
      </c>
      <c r="U149" t="str" cm="1">
        <f t="array" ref="U149">_xlfn.IFNA(_xlfn.IFS(Table2[[#This Row],[DEFICIT /SURPLUS]]&lt;0,"Deficit",Table2[[#This Row],[DEFICIT /SURPLUS]]&gt;0,"surplus"),"-")</f>
        <v>surplus</v>
      </c>
    </row>
    <row r="150" spans="1:21" ht="14.5">
      <c r="A150" s="8" t="s">
        <v>158</v>
      </c>
      <c r="B150" s="9">
        <v>45560</v>
      </c>
      <c r="C150" s="8" t="s">
        <v>22</v>
      </c>
      <c r="D150" s="8" t="s">
        <v>68</v>
      </c>
      <c r="E150" s="8" t="s">
        <v>109</v>
      </c>
      <c r="F150" s="31">
        <f>_xlfn.XLOOKUP(Table2[[#This Row],[Shoe style]],val[SHOE STYLE],val[UNIT PRICE])</f>
        <v>10509</v>
      </c>
      <c r="H150" s="11">
        <v>1</v>
      </c>
      <c r="I150" s="6">
        <f>IF(Table2[[#This Row],[Discount]]&lt;(Table2[[#This Row],[UNIT PRICE]]*Table2[[#This Row],[Quantity sold]]),Table2[[#This Row],[UNIT PRICE]]*Table2[[#This Row],[Quantity sold]]-Table2[[#This Row],[Discount]],0)</f>
        <v>10509</v>
      </c>
      <c r="J150" s="10">
        <v>15050</v>
      </c>
      <c r="K150" s="2">
        <f>_xlfn.XLOOKUP(Table2[[#This Row],[Shoe style]],val[SHOE STYLE],val[COST PRICE])</f>
        <v>7573</v>
      </c>
      <c r="L150" s="2">
        <f>(Table2[[#This Row],[COST PRICE]]*Table2[[#This Row],[Quantity sold]])</f>
        <v>7573</v>
      </c>
      <c r="M150" s="2">
        <f>Table2[[#This Row],[TOTAL SALES]]-Table2[[#This Row],[TOTAL COST PRICE]]</f>
        <v>2936</v>
      </c>
      <c r="N150" s="2">
        <f>IF(Table2[[#This Row],[Amount Paid]]&gt;0,(SUMIF(Table2[Order ID],Table2[[#This Row],[Order ID]],Table2[Amount Paid])-SUMIF(Table2[Order ID],Table2[[#This Row],[Order ID]],Table2[TOTAL SALES])),0)</f>
        <v>4541</v>
      </c>
      <c r="O150" s="8">
        <v>40</v>
      </c>
      <c r="P150" s="8" t="s">
        <v>25</v>
      </c>
      <c r="Q150" s="8" t="s">
        <v>54</v>
      </c>
      <c r="R150" s="8" t="s">
        <v>44</v>
      </c>
      <c r="S150" s="8" t="s">
        <v>28</v>
      </c>
      <c r="T150" s="8">
        <f t="shared" si="2"/>
        <v>0</v>
      </c>
      <c r="U150" t="str" cm="1">
        <f t="array" ref="U150">_xlfn.IFNA(_xlfn.IFS(Table2[[#This Row],[DEFICIT /SURPLUS]]&lt;0,"Deficit",Table2[[#This Row],[DEFICIT /SURPLUS]]&gt;0,"surplus"),"-")</f>
        <v>surplus</v>
      </c>
    </row>
    <row r="151" spans="1:21" ht="14.5">
      <c r="A151" s="8" t="s">
        <v>159</v>
      </c>
      <c r="B151" s="9">
        <v>45562</v>
      </c>
      <c r="C151" s="8" t="s">
        <v>22</v>
      </c>
      <c r="D151" s="8" t="s">
        <v>68</v>
      </c>
      <c r="E151" s="8" t="s">
        <v>109</v>
      </c>
      <c r="F151" s="31">
        <f>_xlfn.XLOOKUP(Table2[[#This Row],[Shoe style]],val[SHOE STYLE],val[UNIT PRICE])</f>
        <v>10509</v>
      </c>
      <c r="H151" s="11">
        <v>1</v>
      </c>
      <c r="I151" s="6">
        <f>IF(Table2[[#This Row],[Discount]]&lt;(Table2[[#This Row],[UNIT PRICE]]*Table2[[#This Row],[Quantity sold]]),Table2[[#This Row],[UNIT PRICE]]*Table2[[#This Row],[Quantity sold]]-Table2[[#This Row],[Discount]],0)</f>
        <v>10509</v>
      </c>
      <c r="J151" s="10">
        <v>17550</v>
      </c>
      <c r="K151" s="2">
        <f>_xlfn.XLOOKUP(Table2[[#This Row],[Shoe style]],val[SHOE STYLE],val[COST PRICE])</f>
        <v>7573</v>
      </c>
      <c r="L151" s="2">
        <f>(Table2[[#This Row],[COST PRICE]]*Table2[[#This Row],[Quantity sold]])</f>
        <v>7573</v>
      </c>
      <c r="M151" s="2">
        <f>Table2[[#This Row],[TOTAL SALES]]-Table2[[#This Row],[TOTAL COST PRICE]]</f>
        <v>2936</v>
      </c>
      <c r="N151" s="2">
        <f>IF(Table2[[#This Row],[Amount Paid]]&gt;0,(SUMIF(Table2[Order ID],Table2[[#This Row],[Order ID]],Table2[Amount Paid])-SUMIF(Table2[Order ID],Table2[[#This Row],[Order ID]],Table2[TOTAL SALES])),0)</f>
        <v>7041</v>
      </c>
      <c r="O151" s="8">
        <v>40</v>
      </c>
      <c r="P151" s="8" t="s">
        <v>25</v>
      </c>
      <c r="Q151" s="8" t="s">
        <v>54</v>
      </c>
      <c r="R151" s="8" t="s">
        <v>44</v>
      </c>
      <c r="S151" s="8" t="s">
        <v>28</v>
      </c>
      <c r="T151" s="8">
        <f t="shared" si="2"/>
        <v>0</v>
      </c>
      <c r="U151" t="str" cm="1">
        <f t="array" ref="U151">_xlfn.IFNA(_xlfn.IFS(Table2[[#This Row],[DEFICIT /SURPLUS]]&lt;0,"Deficit",Table2[[#This Row],[DEFICIT /SURPLUS]]&gt;0,"surplus"),"-")</f>
        <v>surplus</v>
      </c>
    </row>
    <row r="152" spans="1:21" ht="14.5">
      <c r="A152" s="8" t="s">
        <v>160</v>
      </c>
      <c r="B152" s="9">
        <v>45562</v>
      </c>
      <c r="C152" s="8" t="s">
        <v>161</v>
      </c>
      <c r="D152" s="8" t="s">
        <v>49</v>
      </c>
      <c r="E152" s="8" t="s">
        <v>43</v>
      </c>
      <c r="F152" s="31">
        <f>_xlfn.XLOOKUP(Table2[[#This Row],[Shoe style]],val[SHOE STYLE],val[UNIT PRICE])</f>
        <v>20500</v>
      </c>
      <c r="H152" s="11">
        <v>1</v>
      </c>
      <c r="I152" s="6">
        <f>IF(Table2[[#This Row],[Discount]]&lt;(Table2[[#This Row],[UNIT PRICE]]*Table2[[#This Row],[Quantity sold]]),Table2[[#This Row],[UNIT PRICE]]*Table2[[#This Row],[Quantity sold]]-Table2[[#This Row],[Discount]],0)</f>
        <v>20500</v>
      </c>
      <c r="J152" s="10">
        <v>19000</v>
      </c>
      <c r="K152" s="2">
        <f>_xlfn.XLOOKUP(Table2[[#This Row],[Shoe style]],val[SHOE STYLE],val[COST PRICE])</f>
        <v>17339</v>
      </c>
      <c r="L152" s="2">
        <f>(Table2[[#This Row],[COST PRICE]]*Table2[[#This Row],[Quantity sold]])</f>
        <v>17339</v>
      </c>
      <c r="M152" s="2">
        <f>Table2[[#This Row],[TOTAL SALES]]-Table2[[#This Row],[TOTAL COST PRICE]]</f>
        <v>3161</v>
      </c>
      <c r="N152" s="2">
        <f>IF(Table2[[#This Row],[Amount Paid]]&gt;0,(SUMIF(Table2[Order ID],Table2[[#This Row],[Order ID]],Table2[Amount Paid])-SUMIF(Table2[Order ID],Table2[[#This Row],[Order ID]],Table2[TOTAL SALES])),0)</f>
        <v>-1500</v>
      </c>
      <c r="O152" s="8">
        <v>39</v>
      </c>
      <c r="P152" s="8" t="s">
        <v>25</v>
      </c>
      <c r="Q152" s="8" t="s">
        <v>26</v>
      </c>
      <c r="R152" s="8" t="s">
        <v>162</v>
      </c>
      <c r="S152" s="8" t="s">
        <v>28</v>
      </c>
      <c r="T152" s="8">
        <f t="shared" si="2"/>
        <v>0</v>
      </c>
      <c r="U152" t="str" cm="1">
        <f t="array" ref="U152">_xlfn.IFNA(_xlfn.IFS(Table2[[#This Row],[DEFICIT /SURPLUS]]&lt;0,"Deficit",Table2[[#This Row],[DEFICIT /SURPLUS]]&gt;0,"surplus"),"-")</f>
        <v>Deficit</v>
      </c>
    </row>
    <row r="153" spans="1:21" ht="14.5">
      <c r="A153" s="8" t="s">
        <v>163</v>
      </c>
      <c r="B153" s="9">
        <v>45562</v>
      </c>
      <c r="C153" s="8" t="s">
        <v>112</v>
      </c>
      <c r="D153" s="8" t="s">
        <v>29</v>
      </c>
      <c r="E153" s="8" t="s">
        <v>109</v>
      </c>
      <c r="F153" s="31">
        <f>_xlfn.XLOOKUP(Table2[[#This Row],[Shoe style]],val[SHOE STYLE],val[UNIT PRICE])</f>
        <v>12395</v>
      </c>
      <c r="H153" s="11">
        <v>1</v>
      </c>
      <c r="I153" s="6">
        <f>IF(Table2[[#This Row],[Discount]]&lt;(Table2[[#This Row],[UNIT PRICE]]*Table2[[#This Row],[Quantity sold]]),Table2[[#This Row],[UNIT PRICE]]*Table2[[#This Row],[Quantity sold]]-Table2[[#This Row],[Discount]],0)</f>
        <v>12395</v>
      </c>
      <c r="J153" s="10">
        <v>82000</v>
      </c>
      <c r="K153" s="2">
        <f>_xlfn.XLOOKUP(Table2[[#This Row],[Shoe style]],val[SHOE STYLE],val[COST PRICE])</f>
        <v>7909</v>
      </c>
      <c r="L153" s="2">
        <f>(Table2[[#This Row],[COST PRICE]]*Table2[[#This Row],[Quantity sold]])</f>
        <v>7909</v>
      </c>
      <c r="M153" s="2">
        <f>Table2[[#This Row],[TOTAL SALES]]-Table2[[#This Row],[TOTAL COST PRICE]]</f>
        <v>4486</v>
      </c>
      <c r="N153" s="2">
        <f>IF(Table2[[#This Row],[Amount Paid]]&gt;0,(SUMIF(Table2[Order ID],Table2[[#This Row],[Order ID]],Table2[Amount Paid])-SUMIF(Table2[Order ID],Table2[[#This Row],[Order ID]],Table2[TOTAL SALES])),0)</f>
        <v>730</v>
      </c>
      <c r="O153" s="8">
        <v>39</v>
      </c>
      <c r="P153" s="8" t="s">
        <v>25</v>
      </c>
      <c r="Q153" s="8" t="s">
        <v>26</v>
      </c>
      <c r="R153" s="8" t="s">
        <v>27</v>
      </c>
      <c r="S153" s="8" t="s">
        <v>28</v>
      </c>
      <c r="T153" s="8">
        <f t="shared" si="2"/>
        <v>0</v>
      </c>
      <c r="U153" t="str" cm="1">
        <f t="array" ref="U153">_xlfn.IFNA(_xlfn.IFS(Table2[[#This Row],[DEFICIT /SURPLUS]]&lt;0,"Deficit",Table2[[#This Row],[DEFICIT /SURPLUS]]&gt;0,"surplus"),"-")</f>
        <v>surplus</v>
      </c>
    </row>
    <row r="154" spans="1:21" ht="14.5">
      <c r="A154" s="8" t="s">
        <v>163</v>
      </c>
      <c r="B154" s="9">
        <v>45562</v>
      </c>
      <c r="C154" s="8" t="s">
        <v>112</v>
      </c>
      <c r="D154" s="8" t="s">
        <v>29</v>
      </c>
      <c r="E154" s="8" t="s">
        <v>109</v>
      </c>
      <c r="F154" s="31">
        <f>_xlfn.XLOOKUP(Table2[[#This Row],[Shoe style]],val[SHOE STYLE],val[UNIT PRICE])</f>
        <v>12395</v>
      </c>
      <c r="H154" s="11">
        <v>1</v>
      </c>
      <c r="I154" s="6">
        <f>IF(Table2[[#This Row],[Discount]]&lt;(Table2[[#This Row],[UNIT PRICE]]*Table2[[#This Row],[Quantity sold]]),Table2[[#This Row],[UNIT PRICE]]*Table2[[#This Row],[Quantity sold]]-Table2[[#This Row],[Discount]],0)</f>
        <v>12395</v>
      </c>
      <c r="K154" s="2">
        <f>_xlfn.XLOOKUP(Table2[[#This Row],[Shoe style]],val[SHOE STYLE],val[COST PRICE])</f>
        <v>7909</v>
      </c>
      <c r="L154" s="2">
        <f>(Table2[[#This Row],[COST PRICE]]*Table2[[#This Row],[Quantity sold]])</f>
        <v>7909</v>
      </c>
      <c r="M154" s="2">
        <f>Table2[[#This Row],[TOTAL SALES]]-Table2[[#This Row],[TOTAL COST PRICE]]</f>
        <v>4486</v>
      </c>
      <c r="N154" s="2">
        <f>IF(Table2[[#This Row],[Amount Paid]]&gt;0,(SUMIF(Table2[Order ID],Table2[[#This Row],[Order ID]],Table2[Amount Paid])-SUMIF(Table2[Order ID],Table2[[#This Row],[Order ID]],Table2[TOTAL SALES])),0)</f>
        <v>0</v>
      </c>
      <c r="O154" s="8">
        <v>39</v>
      </c>
      <c r="P154" s="8" t="s">
        <v>25</v>
      </c>
      <c r="Q154" s="8" t="s">
        <v>26</v>
      </c>
      <c r="R154" s="8" t="s">
        <v>27</v>
      </c>
      <c r="S154" s="8" t="s">
        <v>28</v>
      </c>
      <c r="T154" s="8">
        <f t="shared" si="2"/>
        <v>0</v>
      </c>
      <c r="U154" t="str" cm="1">
        <f t="array" ref="U154">_xlfn.IFNA(_xlfn.IFS(Table2[[#This Row],[DEFICIT /SURPLUS]]&lt;0,"Deficit",Table2[[#This Row],[DEFICIT /SURPLUS]]&gt;0,"surplus"),"-")</f>
        <v>-</v>
      </c>
    </row>
    <row r="155" spans="1:21" ht="14.5">
      <c r="A155" s="8" t="s">
        <v>163</v>
      </c>
      <c r="B155" s="9">
        <v>45562</v>
      </c>
      <c r="C155" s="8" t="s">
        <v>112</v>
      </c>
      <c r="D155" s="8" t="s">
        <v>32</v>
      </c>
      <c r="E155" s="8" t="s">
        <v>109</v>
      </c>
      <c r="F155" s="31">
        <f>_xlfn.XLOOKUP(Table2[[#This Row],[Shoe style]],val[SHOE STYLE],val[UNIT PRICE])</f>
        <v>19295</v>
      </c>
      <c r="H155" s="11">
        <v>1</v>
      </c>
      <c r="I155" s="6">
        <f>IF(Table2[[#This Row],[Discount]]&lt;(Table2[[#This Row],[UNIT PRICE]]*Table2[[#This Row],[Quantity sold]]),Table2[[#This Row],[UNIT PRICE]]*Table2[[#This Row],[Quantity sold]]-Table2[[#This Row],[Discount]],0)</f>
        <v>19295</v>
      </c>
      <c r="K155" s="2">
        <f>_xlfn.XLOOKUP(Table2[[#This Row],[Shoe style]],val[SHOE STYLE],val[COST PRICE])</f>
        <v>16705</v>
      </c>
      <c r="L155" s="2">
        <f>(Table2[[#This Row],[COST PRICE]]*Table2[[#This Row],[Quantity sold]])</f>
        <v>16705</v>
      </c>
      <c r="M155" s="2">
        <f>Table2[[#This Row],[TOTAL SALES]]-Table2[[#This Row],[TOTAL COST PRICE]]</f>
        <v>2590</v>
      </c>
      <c r="N155" s="2">
        <f>IF(Table2[[#This Row],[Amount Paid]]&gt;0,(SUMIF(Table2[Order ID],Table2[[#This Row],[Order ID]],Table2[Amount Paid])-SUMIF(Table2[Order ID],Table2[[#This Row],[Order ID]],Table2[TOTAL SALES])),0)</f>
        <v>0</v>
      </c>
      <c r="O155" s="8">
        <v>39</v>
      </c>
      <c r="P155" s="8" t="s">
        <v>25</v>
      </c>
      <c r="Q155" s="8" t="s">
        <v>26</v>
      </c>
      <c r="R155" s="8" t="s">
        <v>27</v>
      </c>
      <c r="S155" s="8" t="s">
        <v>28</v>
      </c>
      <c r="T155" s="8">
        <f t="shared" si="2"/>
        <v>0</v>
      </c>
      <c r="U155" t="str" cm="1">
        <f t="array" ref="U155">_xlfn.IFNA(_xlfn.IFS(Table2[[#This Row],[DEFICIT /SURPLUS]]&lt;0,"Deficit",Table2[[#This Row],[DEFICIT /SURPLUS]]&gt;0,"surplus"),"-")</f>
        <v>-</v>
      </c>
    </row>
    <row r="156" spans="1:21" ht="14.5">
      <c r="A156" s="8" t="s">
        <v>163</v>
      </c>
      <c r="B156" s="9">
        <v>45562</v>
      </c>
      <c r="C156" s="8" t="s">
        <v>112</v>
      </c>
      <c r="D156" s="8" t="s">
        <v>29</v>
      </c>
      <c r="E156" s="8" t="s">
        <v>109</v>
      </c>
      <c r="F156" s="31">
        <f>_xlfn.XLOOKUP(Table2[[#This Row],[Shoe style]],val[SHOE STYLE],val[UNIT PRICE])</f>
        <v>12395</v>
      </c>
      <c r="H156" s="11">
        <v>1</v>
      </c>
      <c r="I156" s="6">
        <f>IF(Table2[[#This Row],[Discount]]&lt;(Table2[[#This Row],[UNIT PRICE]]*Table2[[#This Row],[Quantity sold]]),Table2[[#This Row],[UNIT PRICE]]*Table2[[#This Row],[Quantity sold]]-Table2[[#This Row],[Discount]],0)</f>
        <v>12395</v>
      </c>
      <c r="K156" s="2">
        <f>_xlfn.XLOOKUP(Table2[[#This Row],[Shoe style]],val[SHOE STYLE],val[COST PRICE])</f>
        <v>7909</v>
      </c>
      <c r="L156" s="2">
        <f>(Table2[[#This Row],[COST PRICE]]*Table2[[#This Row],[Quantity sold]])</f>
        <v>7909</v>
      </c>
      <c r="M156" s="2">
        <f>Table2[[#This Row],[TOTAL SALES]]-Table2[[#This Row],[TOTAL COST PRICE]]</f>
        <v>4486</v>
      </c>
      <c r="N156" s="2">
        <f>IF(Table2[[#This Row],[Amount Paid]]&gt;0,(SUMIF(Table2[Order ID],Table2[[#This Row],[Order ID]],Table2[Amount Paid])-SUMIF(Table2[Order ID],Table2[[#This Row],[Order ID]],Table2[TOTAL SALES])),0)</f>
        <v>0</v>
      </c>
      <c r="O156" s="8">
        <v>41</v>
      </c>
      <c r="P156" s="8" t="s">
        <v>25</v>
      </c>
      <c r="Q156" s="8" t="s">
        <v>26</v>
      </c>
      <c r="R156" s="8" t="s">
        <v>27</v>
      </c>
      <c r="S156" s="8" t="s">
        <v>28</v>
      </c>
      <c r="T156" s="8">
        <f t="shared" si="2"/>
        <v>0</v>
      </c>
      <c r="U156" t="str" cm="1">
        <f t="array" ref="U156">_xlfn.IFNA(_xlfn.IFS(Table2[[#This Row],[DEFICIT /SURPLUS]]&lt;0,"Deficit",Table2[[#This Row],[DEFICIT /SURPLUS]]&gt;0,"surplus"),"-")</f>
        <v>-</v>
      </c>
    </row>
    <row r="157" spans="1:21" ht="14.5">
      <c r="A157" s="8" t="s">
        <v>163</v>
      </c>
      <c r="B157" s="9">
        <v>45562</v>
      </c>
      <c r="C157" s="8" t="s">
        <v>112</v>
      </c>
      <c r="D157" s="8" t="s">
        <v>29</v>
      </c>
      <c r="E157" s="8" t="s">
        <v>62</v>
      </c>
      <c r="F157" s="31">
        <f>_xlfn.XLOOKUP(Table2[[#This Row],[Shoe style]],val[SHOE STYLE],val[UNIT PRICE])</f>
        <v>12395</v>
      </c>
      <c r="H157" s="11">
        <v>1</v>
      </c>
      <c r="I157" s="6">
        <f>IF(Table2[[#This Row],[Discount]]&lt;(Table2[[#This Row],[UNIT PRICE]]*Table2[[#This Row],[Quantity sold]]),Table2[[#This Row],[UNIT PRICE]]*Table2[[#This Row],[Quantity sold]]-Table2[[#This Row],[Discount]],0)</f>
        <v>12395</v>
      </c>
      <c r="K157" s="2">
        <f>_xlfn.XLOOKUP(Table2[[#This Row],[Shoe style]],val[SHOE STYLE],val[COST PRICE])</f>
        <v>7909</v>
      </c>
      <c r="L157" s="2">
        <f>(Table2[[#This Row],[COST PRICE]]*Table2[[#This Row],[Quantity sold]])</f>
        <v>7909</v>
      </c>
      <c r="M157" s="2">
        <f>Table2[[#This Row],[TOTAL SALES]]-Table2[[#This Row],[TOTAL COST PRICE]]</f>
        <v>4486</v>
      </c>
      <c r="N157" s="2">
        <f>IF(Table2[[#This Row],[Amount Paid]]&gt;0,(SUMIF(Table2[Order ID],Table2[[#This Row],[Order ID]],Table2[Amount Paid])-SUMIF(Table2[Order ID],Table2[[#This Row],[Order ID]],Table2[TOTAL SALES])),0)</f>
        <v>0</v>
      </c>
      <c r="O157" s="8">
        <v>39</v>
      </c>
      <c r="P157" s="8" t="s">
        <v>25</v>
      </c>
      <c r="Q157" s="8" t="s">
        <v>26</v>
      </c>
      <c r="R157" s="8" t="s">
        <v>27</v>
      </c>
      <c r="S157" s="8" t="s">
        <v>28</v>
      </c>
      <c r="T157" s="8">
        <f t="shared" si="2"/>
        <v>0</v>
      </c>
      <c r="U157" t="str" cm="1">
        <f t="array" ref="U157">_xlfn.IFNA(_xlfn.IFS(Table2[[#This Row],[DEFICIT /SURPLUS]]&lt;0,"Deficit",Table2[[#This Row],[DEFICIT /SURPLUS]]&gt;0,"surplus"),"-")</f>
        <v>-</v>
      </c>
    </row>
    <row r="158" spans="1:21" ht="14.5">
      <c r="A158" s="8" t="s">
        <v>163</v>
      </c>
      <c r="B158" s="9">
        <v>45562</v>
      </c>
      <c r="C158" s="8" t="s">
        <v>112</v>
      </c>
      <c r="D158" s="8" t="s">
        <v>29</v>
      </c>
      <c r="E158" s="8" t="s">
        <v>55</v>
      </c>
      <c r="F158" s="31">
        <f>_xlfn.XLOOKUP(Table2[[#This Row],[Shoe style]],val[SHOE STYLE],val[UNIT PRICE])</f>
        <v>12395</v>
      </c>
      <c r="H158" s="11">
        <v>1</v>
      </c>
      <c r="I158" s="6">
        <f>IF(Table2[[#This Row],[Discount]]&lt;(Table2[[#This Row],[UNIT PRICE]]*Table2[[#This Row],[Quantity sold]]),Table2[[#This Row],[UNIT PRICE]]*Table2[[#This Row],[Quantity sold]]-Table2[[#This Row],[Discount]],0)</f>
        <v>12395</v>
      </c>
      <c r="K158" s="2">
        <f>_xlfn.XLOOKUP(Table2[[#This Row],[Shoe style]],val[SHOE STYLE],val[COST PRICE])</f>
        <v>7909</v>
      </c>
      <c r="L158" s="2">
        <f>(Table2[[#This Row],[COST PRICE]]*Table2[[#This Row],[Quantity sold]])</f>
        <v>7909</v>
      </c>
      <c r="M158" s="2">
        <f>Table2[[#This Row],[TOTAL SALES]]-Table2[[#This Row],[TOTAL COST PRICE]]</f>
        <v>4486</v>
      </c>
      <c r="N158" s="2">
        <f>IF(Table2[[#This Row],[Amount Paid]]&gt;0,(SUMIF(Table2[Order ID],Table2[[#This Row],[Order ID]],Table2[Amount Paid])-SUMIF(Table2[Order ID],Table2[[#This Row],[Order ID]],Table2[TOTAL SALES])),0)</f>
        <v>0</v>
      </c>
      <c r="O158" s="8">
        <v>39</v>
      </c>
      <c r="P158" s="8" t="s">
        <v>25</v>
      </c>
      <c r="Q158" s="8" t="s">
        <v>26</v>
      </c>
      <c r="R158" s="8" t="s">
        <v>27</v>
      </c>
      <c r="S158" s="8" t="s">
        <v>28</v>
      </c>
      <c r="T158" s="8">
        <f t="shared" si="2"/>
        <v>0</v>
      </c>
      <c r="U158" t="str" cm="1">
        <f t="array" ref="U158">_xlfn.IFNA(_xlfn.IFS(Table2[[#This Row],[DEFICIT /SURPLUS]]&lt;0,"Deficit",Table2[[#This Row],[DEFICIT /SURPLUS]]&gt;0,"surplus"),"-")</f>
        <v>-</v>
      </c>
    </row>
    <row r="159" spans="1:21" ht="14.5">
      <c r="A159" s="8" t="s">
        <v>164</v>
      </c>
      <c r="B159" s="9">
        <v>45563</v>
      </c>
      <c r="C159" s="8" t="s">
        <v>98</v>
      </c>
      <c r="D159" s="8" t="s">
        <v>37</v>
      </c>
      <c r="E159" s="8" t="s">
        <v>24</v>
      </c>
      <c r="F159" s="31">
        <f>_xlfn.XLOOKUP(Table2[[#This Row],[Shoe style]],val[SHOE STYLE],val[UNIT PRICE])</f>
        <v>22728</v>
      </c>
      <c r="H159" s="11">
        <v>1</v>
      </c>
      <c r="I159" s="6">
        <f>IF(Table2[[#This Row],[Discount]]&lt;(Table2[[#This Row],[UNIT PRICE]]*Table2[[#This Row],[Quantity sold]]),Table2[[#This Row],[UNIT PRICE]]*Table2[[#This Row],[Quantity sold]]-Table2[[#This Row],[Discount]],0)</f>
        <v>22728</v>
      </c>
      <c r="J159" s="10">
        <v>28500</v>
      </c>
      <c r="K159" s="2">
        <f>_xlfn.XLOOKUP(Table2[[#This Row],[Shoe style]],val[SHOE STYLE],val[COST PRICE])</f>
        <v>20451</v>
      </c>
      <c r="L159" s="2">
        <f>(Table2[[#This Row],[COST PRICE]]*Table2[[#This Row],[Quantity sold]])</f>
        <v>20451</v>
      </c>
      <c r="M159" s="2">
        <f>Table2[[#This Row],[TOTAL SALES]]-Table2[[#This Row],[TOTAL COST PRICE]]</f>
        <v>2277</v>
      </c>
      <c r="N159" s="2">
        <f>IF(Table2[[#This Row],[Amount Paid]]&gt;0,(SUMIF(Table2[Order ID],Table2[[#This Row],[Order ID]],Table2[Amount Paid])-SUMIF(Table2[Order ID],Table2[[#This Row],[Order ID]],Table2[TOTAL SALES])),0)</f>
        <v>-4737</v>
      </c>
      <c r="O159" s="8">
        <v>39</v>
      </c>
      <c r="P159" s="8" t="s">
        <v>25</v>
      </c>
      <c r="Q159" s="8" t="s">
        <v>26</v>
      </c>
      <c r="R159" s="8" t="s">
        <v>27</v>
      </c>
      <c r="S159" s="8" t="s">
        <v>28</v>
      </c>
      <c r="T159" s="8">
        <f t="shared" si="2"/>
        <v>0</v>
      </c>
      <c r="U159" t="str" cm="1">
        <f t="array" ref="U159">_xlfn.IFNA(_xlfn.IFS(Table2[[#This Row],[DEFICIT /SURPLUS]]&lt;0,"Deficit",Table2[[#This Row],[DEFICIT /SURPLUS]]&gt;0,"surplus"),"-")</f>
        <v>Deficit</v>
      </c>
    </row>
    <row r="160" spans="1:21" ht="14.5">
      <c r="A160" s="8" t="s">
        <v>164</v>
      </c>
      <c r="B160" s="9">
        <v>45563</v>
      </c>
      <c r="C160" s="8" t="s">
        <v>98</v>
      </c>
      <c r="D160" s="8" t="s">
        <v>68</v>
      </c>
      <c r="E160" s="8" t="s">
        <v>109</v>
      </c>
      <c r="F160" s="31">
        <f>_xlfn.XLOOKUP(Table2[[#This Row],[Shoe style]],val[SHOE STYLE],val[UNIT PRICE])</f>
        <v>10509</v>
      </c>
      <c r="H160" s="11">
        <v>1</v>
      </c>
      <c r="I160" s="6">
        <f>IF(Table2[[#This Row],[Discount]]&lt;(Table2[[#This Row],[UNIT PRICE]]*Table2[[#This Row],[Quantity sold]]),Table2[[#This Row],[UNIT PRICE]]*Table2[[#This Row],[Quantity sold]]-Table2[[#This Row],[Discount]],0)</f>
        <v>10509</v>
      </c>
      <c r="K160" s="2">
        <f>_xlfn.XLOOKUP(Table2[[#This Row],[Shoe style]],val[SHOE STYLE],val[COST PRICE])</f>
        <v>7573</v>
      </c>
      <c r="L160" s="2">
        <f>(Table2[[#This Row],[COST PRICE]]*Table2[[#This Row],[Quantity sold]])</f>
        <v>7573</v>
      </c>
      <c r="M160" s="2">
        <f>Table2[[#This Row],[TOTAL SALES]]-Table2[[#This Row],[TOTAL COST PRICE]]</f>
        <v>2936</v>
      </c>
      <c r="N160" s="2">
        <f>IF(Table2[[#This Row],[Amount Paid]]&gt;0,(SUMIF(Table2[Order ID],Table2[[#This Row],[Order ID]],Table2[Amount Paid])-SUMIF(Table2[Order ID],Table2[[#This Row],[Order ID]],Table2[TOTAL SALES])),0)</f>
        <v>0</v>
      </c>
      <c r="O160" s="8">
        <v>39</v>
      </c>
      <c r="P160" s="8" t="s">
        <v>25</v>
      </c>
      <c r="Q160" s="8" t="s">
        <v>26</v>
      </c>
      <c r="R160" s="8" t="s">
        <v>27</v>
      </c>
      <c r="S160" s="8" t="s">
        <v>28</v>
      </c>
      <c r="T160" s="8">
        <f t="shared" si="2"/>
        <v>0</v>
      </c>
      <c r="U160" t="str" cm="1">
        <f t="array" ref="U160">_xlfn.IFNA(_xlfn.IFS(Table2[[#This Row],[DEFICIT /SURPLUS]]&lt;0,"Deficit",Table2[[#This Row],[DEFICIT /SURPLUS]]&gt;0,"surplus"),"-")</f>
        <v>-</v>
      </c>
    </row>
    <row r="161" spans="1:21" ht="14.5">
      <c r="A161" s="8" t="s">
        <v>165</v>
      </c>
      <c r="B161" s="9">
        <v>45563</v>
      </c>
      <c r="C161" s="8" t="s">
        <v>22</v>
      </c>
      <c r="D161" s="8" t="s">
        <v>49</v>
      </c>
      <c r="E161" s="8" t="s">
        <v>43</v>
      </c>
      <c r="F161" s="31">
        <f>_xlfn.XLOOKUP(Table2[[#This Row],[Shoe style]],val[SHOE STYLE],val[UNIT PRICE])</f>
        <v>20500</v>
      </c>
      <c r="H161" s="11">
        <v>1</v>
      </c>
      <c r="I161" s="6">
        <f>IF(Table2[[#This Row],[Discount]]&lt;(Table2[[#This Row],[UNIT PRICE]]*Table2[[#This Row],[Quantity sold]]),Table2[[#This Row],[UNIT PRICE]]*Table2[[#This Row],[Quantity sold]]-Table2[[#This Row],[Discount]],0)</f>
        <v>20500</v>
      </c>
      <c r="J161" s="10">
        <v>17500</v>
      </c>
      <c r="K161" s="2">
        <f>_xlfn.XLOOKUP(Table2[[#This Row],[Shoe style]],val[SHOE STYLE],val[COST PRICE])</f>
        <v>17339</v>
      </c>
      <c r="L161" s="2">
        <f>(Table2[[#This Row],[COST PRICE]]*Table2[[#This Row],[Quantity sold]])</f>
        <v>17339</v>
      </c>
      <c r="M161" s="2">
        <f>Table2[[#This Row],[TOTAL SALES]]-Table2[[#This Row],[TOTAL COST PRICE]]</f>
        <v>3161</v>
      </c>
      <c r="N161" s="2">
        <f>IF(Table2[[#This Row],[Amount Paid]]&gt;0,(SUMIF(Table2[Order ID],Table2[[#This Row],[Order ID]],Table2[Amount Paid])-SUMIF(Table2[Order ID],Table2[[#This Row],[Order ID]],Table2[TOTAL SALES])),0)</f>
        <v>-3000</v>
      </c>
      <c r="O161" s="8">
        <v>39</v>
      </c>
      <c r="P161" s="8" t="s">
        <v>25</v>
      </c>
      <c r="Q161" s="8" t="s">
        <v>26</v>
      </c>
      <c r="R161" s="8" t="s">
        <v>27</v>
      </c>
      <c r="S161" s="8" t="s">
        <v>28</v>
      </c>
      <c r="T161" s="8">
        <f t="shared" si="2"/>
        <v>0</v>
      </c>
      <c r="U161" t="str" cm="1">
        <f t="array" ref="U161">_xlfn.IFNA(_xlfn.IFS(Table2[[#This Row],[DEFICIT /SURPLUS]]&lt;0,"Deficit",Table2[[#This Row],[DEFICIT /SURPLUS]]&gt;0,"surplus"),"-")</f>
        <v>Deficit</v>
      </c>
    </row>
    <row r="162" spans="1:21" ht="14.5">
      <c r="A162" s="8" t="s">
        <v>166</v>
      </c>
      <c r="B162" s="9">
        <v>45563</v>
      </c>
      <c r="C162" s="8" t="s">
        <v>22</v>
      </c>
      <c r="D162" s="8" t="s">
        <v>29</v>
      </c>
      <c r="E162" s="8" t="s">
        <v>109</v>
      </c>
      <c r="F162" s="31">
        <f>_xlfn.XLOOKUP(Table2[[#This Row],[Shoe style]],val[SHOE STYLE],val[UNIT PRICE])</f>
        <v>12395</v>
      </c>
      <c r="H162" s="11">
        <v>1</v>
      </c>
      <c r="I162" s="6">
        <f>IF(Table2[[#This Row],[Discount]]&lt;(Table2[[#This Row],[UNIT PRICE]]*Table2[[#This Row],[Quantity sold]]),Table2[[#This Row],[UNIT PRICE]]*Table2[[#This Row],[Quantity sold]]-Table2[[#This Row],[Discount]],0)</f>
        <v>12395</v>
      </c>
      <c r="J162" s="10">
        <v>17000</v>
      </c>
      <c r="K162" s="2">
        <f>_xlfn.XLOOKUP(Table2[[#This Row],[Shoe style]],val[SHOE STYLE],val[COST PRICE])</f>
        <v>7909</v>
      </c>
      <c r="L162" s="2">
        <f>(Table2[[#This Row],[COST PRICE]]*Table2[[#This Row],[Quantity sold]])</f>
        <v>7909</v>
      </c>
      <c r="M162" s="2">
        <f>Table2[[#This Row],[TOTAL SALES]]-Table2[[#This Row],[TOTAL COST PRICE]]</f>
        <v>4486</v>
      </c>
      <c r="N162" s="2">
        <f>IF(Table2[[#This Row],[Amount Paid]]&gt;0,(SUMIF(Table2[Order ID],Table2[[#This Row],[Order ID]],Table2[Amount Paid])-SUMIF(Table2[Order ID],Table2[[#This Row],[Order ID]],Table2[TOTAL SALES])),0)</f>
        <v>4605</v>
      </c>
      <c r="O162" s="8">
        <v>40</v>
      </c>
      <c r="P162" s="8" t="s">
        <v>25</v>
      </c>
      <c r="Q162" s="8" t="s">
        <v>26</v>
      </c>
      <c r="R162" s="8" t="s">
        <v>27</v>
      </c>
      <c r="S162" s="8" t="s">
        <v>28</v>
      </c>
      <c r="T162" s="8">
        <f t="shared" si="2"/>
        <v>0</v>
      </c>
      <c r="U162" t="str" cm="1">
        <f t="array" ref="U162">_xlfn.IFNA(_xlfn.IFS(Table2[[#This Row],[DEFICIT /SURPLUS]]&lt;0,"Deficit",Table2[[#This Row],[DEFICIT /SURPLUS]]&gt;0,"surplus"),"-")</f>
        <v>surplus</v>
      </c>
    </row>
    <row r="163" spans="1:21" ht="14.5">
      <c r="A163" s="8" t="s">
        <v>167</v>
      </c>
      <c r="B163" s="9">
        <v>45564</v>
      </c>
      <c r="C163" s="8" t="s">
        <v>83</v>
      </c>
      <c r="D163" s="8" t="s">
        <v>168</v>
      </c>
      <c r="E163" s="8" t="s">
        <v>109</v>
      </c>
      <c r="F163" s="31">
        <f>_xlfn.XLOOKUP(Table2[[#This Row],[Shoe style]],val[SHOE STYLE],val[UNIT PRICE])</f>
        <v>18661</v>
      </c>
      <c r="H163" s="11">
        <v>1</v>
      </c>
      <c r="I163" s="6">
        <f>IF(Table2[[#This Row],[Discount]]&lt;(Table2[[#This Row],[UNIT PRICE]]*Table2[[#This Row],[Quantity sold]]),Table2[[#This Row],[UNIT PRICE]]*Table2[[#This Row],[Quantity sold]]-Table2[[#This Row],[Discount]],0)</f>
        <v>18661</v>
      </c>
      <c r="J163" s="10">
        <v>34606</v>
      </c>
      <c r="K163" s="2">
        <f>_xlfn.XLOOKUP(Table2[[#This Row],[Shoe style]],val[SHOE STYLE],val[COST PRICE])</f>
        <v>13922</v>
      </c>
      <c r="L163" s="2">
        <f>(Table2[[#This Row],[COST PRICE]]*Table2[[#This Row],[Quantity sold]])</f>
        <v>13922</v>
      </c>
      <c r="M163" s="2">
        <f>Table2[[#This Row],[TOTAL SALES]]-Table2[[#This Row],[TOTAL COST PRICE]]</f>
        <v>4739</v>
      </c>
      <c r="N163" s="2">
        <f>IF(Table2[[#This Row],[Amount Paid]]&gt;0,(SUMIF(Table2[Order ID],Table2[[#This Row],[Order ID]],Table2[Amount Paid])-SUMIF(Table2[Order ID],Table2[[#This Row],[Order ID]],Table2[TOTAL SALES])),0)</f>
        <v>15945</v>
      </c>
      <c r="O163" s="8">
        <v>39</v>
      </c>
      <c r="P163" s="8" t="s">
        <v>25</v>
      </c>
      <c r="Q163" s="8" t="s">
        <v>26</v>
      </c>
      <c r="R163" s="8" t="s">
        <v>44</v>
      </c>
      <c r="S163" s="8" t="s">
        <v>28</v>
      </c>
      <c r="T163" s="8">
        <f t="shared" si="2"/>
        <v>0</v>
      </c>
      <c r="U163" t="str" cm="1">
        <f t="array" ref="U163">_xlfn.IFNA(_xlfn.IFS(Table2[[#This Row],[DEFICIT /SURPLUS]]&lt;0,"Deficit",Table2[[#This Row],[DEFICIT /SURPLUS]]&gt;0,"surplus"),"-")</f>
        <v>surplus</v>
      </c>
    </row>
    <row r="164" spans="1:21" ht="14.5">
      <c r="A164" s="8" t="s">
        <v>169</v>
      </c>
      <c r="B164" s="9">
        <v>45564</v>
      </c>
      <c r="C164" s="8" t="s">
        <v>83</v>
      </c>
      <c r="D164" s="8" t="s">
        <v>170</v>
      </c>
      <c r="E164" s="8" t="s">
        <v>109</v>
      </c>
      <c r="F164" s="31">
        <f>_xlfn.XLOOKUP(Table2[[#This Row],[Shoe style]],val[SHOE STYLE],val[UNIT PRICE])</f>
        <v>22433</v>
      </c>
      <c r="H164" s="11">
        <v>1</v>
      </c>
      <c r="I164" s="6">
        <f>IF(Table2[[#This Row],[Discount]]&lt;(Table2[[#This Row],[UNIT PRICE]]*Table2[[#This Row],[Quantity sold]]),Table2[[#This Row],[UNIT PRICE]]*Table2[[#This Row],[Quantity sold]]-Table2[[#This Row],[Discount]],0)</f>
        <v>22433</v>
      </c>
      <c r="J164" s="10">
        <v>34606</v>
      </c>
      <c r="K164" s="2">
        <f>_xlfn.XLOOKUP(Table2[[#This Row],[Shoe style]],val[SHOE STYLE],val[COST PRICE])</f>
        <v>17880</v>
      </c>
      <c r="L164" s="2">
        <f>(Table2[[#This Row],[COST PRICE]]*Table2[[#This Row],[Quantity sold]])</f>
        <v>17880</v>
      </c>
      <c r="M164" s="2">
        <f>Table2[[#This Row],[TOTAL SALES]]-Table2[[#This Row],[TOTAL COST PRICE]]</f>
        <v>4553</v>
      </c>
      <c r="N164" s="2">
        <f>IF(Table2[[#This Row],[Amount Paid]]&gt;0,(SUMIF(Table2[Order ID],Table2[[#This Row],[Order ID]],Table2[Amount Paid])-SUMIF(Table2[Order ID],Table2[[#This Row],[Order ID]],Table2[TOTAL SALES])),0)</f>
        <v>12173</v>
      </c>
      <c r="O164" s="8">
        <v>39</v>
      </c>
      <c r="P164" s="8" t="s">
        <v>25</v>
      </c>
      <c r="Q164" s="8" t="s">
        <v>26</v>
      </c>
      <c r="R164" s="8" t="s">
        <v>44</v>
      </c>
      <c r="S164" s="8" t="s">
        <v>28</v>
      </c>
      <c r="T164" s="8">
        <f t="shared" si="2"/>
        <v>0</v>
      </c>
      <c r="U164" t="str" cm="1">
        <f t="array" ref="U164">_xlfn.IFNA(_xlfn.IFS(Table2[[#This Row],[DEFICIT /SURPLUS]]&lt;0,"Deficit",Table2[[#This Row],[DEFICIT /SURPLUS]]&gt;0,"surplus"),"-")</f>
        <v>surplus</v>
      </c>
    </row>
    <row r="165" spans="1:21" ht="14.5">
      <c r="A165" s="8" t="s">
        <v>171</v>
      </c>
      <c r="B165" s="9">
        <v>45565</v>
      </c>
      <c r="C165" s="8" t="s">
        <v>22</v>
      </c>
      <c r="D165" s="8" t="s">
        <v>86</v>
      </c>
      <c r="E165" s="8" t="s">
        <v>61</v>
      </c>
      <c r="F165" s="31">
        <f>_xlfn.XLOOKUP(Table2[[#This Row],[Shoe style]],val[SHOE STYLE],val[UNIT PRICE])</f>
        <v>18539</v>
      </c>
      <c r="H165" s="11">
        <v>1</v>
      </c>
      <c r="I165" s="6">
        <f>IF(Table2[[#This Row],[Discount]]&lt;(Table2[[#This Row],[UNIT PRICE]]*Table2[[#This Row],[Quantity sold]]),Table2[[#This Row],[UNIT PRICE]]*Table2[[#This Row],[Quantity sold]]-Table2[[#This Row],[Discount]],0)</f>
        <v>18539</v>
      </c>
      <c r="J165" s="10">
        <v>29025</v>
      </c>
      <c r="K165" s="2">
        <f>_xlfn.XLOOKUP(Table2[[#This Row],[Shoe style]],val[SHOE STYLE],val[COST PRICE])</f>
        <v>15497</v>
      </c>
      <c r="L165" s="2">
        <f>(Table2[[#This Row],[COST PRICE]]*Table2[[#This Row],[Quantity sold]])</f>
        <v>15497</v>
      </c>
      <c r="M165" s="2">
        <f>Table2[[#This Row],[TOTAL SALES]]-Table2[[#This Row],[TOTAL COST PRICE]]</f>
        <v>3042</v>
      </c>
      <c r="N165" s="2">
        <f>IF(Table2[[#This Row],[Amount Paid]]&gt;0,(SUMIF(Table2[Order ID],Table2[[#This Row],[Order ID]],Table2[Amount Paid])-SUMIF(Table2[Order ID],Table2[[#This Row],[Order ID]],Table2[TOTAL SALES])),0)</f>
        <v>10486</v>
      </c>
      <c r="O165" s="8">
        <v>41</v>
      </c>
      <c r="P165" s="8" t="s">
        <v>25</v>
      </c>
      <c r="Q165" s="8" t="s">
        <v>54</v>
      </c>
      <c r="R165" s="8" t="s">
        <v>44</v>
      </c>
      <c r="S165" s="8" t="s">
        <v>28</v>
      </c>
      <c r="T165" s="8">
        <f t="shared" si="2"/>
        <v>0</v>
      </c>
      <c r="U165" t="str" cm="1">
        <f t="array" ref="U165">_xlfn.IFNA(_xlfn.IFS(Table2[[#This Row],[DEFICIT /SURPLUS]]&lt;0,"Deficit",Table2[[#This Row],[DEFICIT /SURPLUS]]&gt;0,"surplus"),"-")</f>
        <v>surplus</v>
      </c>
    </row>
    <row r="166" spans="1:21" ht="14.5">
      <c r="A166" s="8" t="s">
        <v>172</v>
      </c>
      <c r="B166" s="9">
        <v>45565</v>
      </c>
      <c r="C166" s="8" t="s">
        <v>22</v>
      </c>
      <c r="D166" s="8" t="s">
        <v>68</v>
      </c>
      <c r="E166" s="8" t="s">
        <v>109</v>
      </c>
      <c r="F166" s="31">
        <f>_xlfn.XLOOKUP(Table2[[#This Row],[Shoe style]],val[SHOE STYLE],val[UNIT PRICE])</f>
        <v>10509</v>
      </c>
      <c r="H166" s="11">
        <v>1</v>
      </c>
      <c r="I166" s="6">
        <f>IF(Table2[[#This Row],[Discount]]&lt;(Table2[[#This Row],[UNIT PRICE]]*Table2[[#This Row],[Quantity sold]]),Table2[[#This Row],[UNIT PRICE]]*Table2[[#This Row],[Quantity sold]]-Table2[[#This Row],[Discount]],0)</f>
        <v>10509</v>
      </c>
      <c r="J166" s="10">
        <v>29025</v>
      </c>
      <c r="K166" s="2">
        <f>_xlfn.XLOOKUP(Table2[[#This Row],[Shoe style]],val[SHOE STYLE],val[COST PRICE])</f>
        <v>7573</v>
      </c>
      <c r="L166" s="2">
        <f>(Table2[[#This Row],[COST PRICE]]*Table2[[#This Row],[Quantity sold]])</f>
        <v>7573</v>
      </c>
      <c r="M166" s="2">
        <f>Table2[[#This Row],[TOTAL SALES]]-Table2[[#This Row],[TOTAL COST PRICE]]</f>
        <v>2936</v>
      </c>
      <c r="N166" s="2">
        <f>IF(Table2[[#This Row],[Amount Paid]]&gt;0,(SUMIF(Table2[Order ID],Table2[[#This Row],[Order ID]],Table2[Amount Paid])-SUMIF(Table2[Order ID],Table2[[#This Row],[Order ID]],Table2[TOTAL SALES])),0)</f>
        <v>18516</v>
      </c>
      <c r="O166" s="8">
        <v>41</v>
      </c>
      <c r="P166" s="8" t="s">
        <v>25</v>
      </c>
      <c r="Q166" s="8" t="s">
        <v>54</v>
      </c>
      <c r="R166" s="8" t="s">
        <v>44</v>
      </c>
      <c r="S166" s="8" t="s">
        <v>28</v>
      </c>
      <c r="T166" s="8">
        <f t="shared" si="2"/>
        <v>0</v>
      </c>
      <c r="U166" t="str" cm="1">
        <f t="array" ref="U166">_xlfn.IFNA(_xlfn.IFS(Table2[[#This Row],[DEFICIT /SURPLUS]]&lt;0,"Deficit",Table2[[#This Row],[DEFICIT /SURPLUS]]&gt;0,"surplus"),"-")</f>
        <v>surplus</v>
      </c>
    </row>
    <row r="167" spans="1:21" ht="14.5">
      <c r="A167" s="8" t="s">
        <v>173</v>
      </c>
      <c r="B167" s="9">
        <v>45565</v>
      </c>
      <c r="C167" s="8" t="s">
        <v>22</v>
      </c>
      <c r="D167" s="8" t="s">
        <v>29</v>
      </c>
      <c r="E167" s="8" t="s">
        <v>109</v>
      </c>
      <c r="F167" s="31">
        <f>_xlfn.XLOOKUP(Table2[[#This Row],[Shoe style]],val[SHOE STYLE],val[UNIT PRICE])</f>
        <v>12395</v>
      </c>
      <c r="H167" s="11">
        <v>1</v>
      </c>
      <c r="I167" s="6">
        <f>IF(Table2[[#This Row],[Discount]]&lt;(Table2[[#This Row],[UNIT PRICE]]*Table2[[#This Row],[Quantity sold]]),Table2[[#This Row],[UNIT PRICE]]*Table2[[#This Row],[Quantity sold]]-Table2[[#This Row],[Discount]],0)</f>
        <v>12395</v>
      </c>
      <c r="J167" s="10">
        <v>16500</v>
      </c>
      <c r="K167" s="2">
        <f>_xlfn.XLOOKUP(Table2[[#This Row],[Shoe style]],val[SHOE STYLE],val[COST PRICE])</f>
        <v>7909</v>
      </c>
      <c r="L167" s="2">
        <f>(Table2[[#This Row],[COST PRICE]]*Table2[[#This Row],[Quantity sold]])</f>
        <v>7909</v>
      </c>
      <c r="M167" s="2">
        <f>Table2[[#This Row],[TOTAL SALES]]-Table2[[#This Row],[TOTAL COST PRICE]]</f>
        <v>4486</v>
      </c>
      <c r="N167" s="2">
        <f>IF(Table2[[#This Row],[Amount Paid]]&gt;0,(SUMIF(Table2[Order ID],Table2[[#This Row],[Order ID]],Table2[Amount Paid])-SUMIF(Table2[Order ID],Table2[[#This Row],[Order ID]],Table2[TOTAL SALES])),0)</f>
        <v>4105</v>
      </c>
      <c r="O167" s="8">
        <v>40</v>
      </c>
      <c r="P167" s="8" t="s">
        <v>25</v>
      </c>
      <c r="Q167" s="8" t="s">
        <v>26</v>
      </c>
      <c r="R167" s="8" t="s">
        <v>27</v>
      </c>
      <c r="S167" s="8" t="s">
        <v>28</v>
      </c>
      <c r="T167" s="8">
        <f t="shared" si="2"/>
        <v>0</v>
      </c>
      <c r="U167" t="str" cm="1">
        <f t="array" ref="U167">_xlfn.IFNA(_xlfn.IFS(Table2[[#This Row],[DEFICIT /SURPLUS]]&lt;0,"Deficit",Table2[[#This Row],[DEFICIT /SURPLUS]]&gt;0,"surplus"),"-")</f>
        <v>surplus</v>
      </c>
    </row>
    <row r="168" spans="1:21" ht="14.5">
      <c r="A168" s="8" t="s">
        <v>174</v>
      </c>
      <c r="B168" s="9">
        <v>45565</v>
      </c>
      <c r="C168" s="8" t="s">
        <v>22</v>
      </c>
      <c r="D168" s="8" t="s">
        <v>29</v>
      </c>
      <c r="E168" s="8" t="s">
        <v>109</v>
      </c>
      <c r="F168" s="31">
        <f>_xlfn.XLOOKUP(Table2[[#This Row],[Shoe style]],val[SHOE STYLE],val[UNIT PRICE])</f>
        <v>12395</v>
      </c>
      <c r="H168" s="11">
        <v>1</v>
      </c>
      <c r="I168" s="6">
        <f>IF(Table2[[#This Row],[Discount]]&lt;(Table2[[#This Row],[UNIT PRICE]]*Table2[[#This Row],[Quantity sold]]),Table2[[#This Row],[UNIT PRICE]]*Table2[[#This Row],[Quantity sold]]-Table2[[#This Row],[Discount]],0)</f>
        <v>12395</v>
      </c>
      <c r="J168" s="10">
        <v>105000</v>
      </c>
      <c r="K168" s="2">
        <f>_xlfn.XLOOKUP(Table2[[#This Row],[Shoe style]],val[SHOE STYLE],val[COST PRICE])</f>
        <v>7909</v>
      </c>
      <c r="L168" s="2">
        <f>(Table2[[#This Row],[COST PRICE]]*Table2[[#This Row],[Quantity sold]])</f>
        <v>7909</v>
      </c>
      <c r="M168" s="2">
        <f>Table2[[#This Row],[TOTAL SALES]]-Table2[[#This Row],[TOTAL COST PRICE]]</f>
        <v>4486</v>
      </c>
      <c r="N168" s="2">
        <f>IF(Table2[[#This Row],[Amount Paid]]&gt;0,(SUMIF(Table2[Order ID],Table2[[#This Row],[Order ID]],Table2[Amount Paid])-SUMIF(Table2[Order ID],Table2[[#This Row],[Order ID]],Table2[TOTAL SALES])),0)</f>
        <v>92605</v>
      </c>
      <c r="O168" s="8">
        <v>40</v>
      </c>
      <c r="P168" s="8" t="s">
        <v>25</v>
      </c>
      <c r="Q168" s="8" t="s">
        <v>26</v>
      </c>
      <c r="R168" s="8" t="s">
        <v>27</v>
      </c>
      <c r="S168" s="8" t="s">
        <v>28</v>
      </c>
      <c r="T168" s="8">
        <f t="shared" si="2"/>
        <v>0</v>
      </c>
      <c r="U168" t="str" cm="1">
        <f t="array" ref="U168">_xlfn.IFNA(_xlfn.IFS(Table2[[#This Row],[DEFICIT /SURPLUS]]&lt;0,"Deficit",Table2[[#This Row],[DEFICIT /SURPLUS]]&gt;0,"surplus"),"-")</f>
        <v>surplus</v>
      </c>
    </row>
    <row r="169" spans="1:21" ht="16.149999999999999" customHeight="1">
      <c r="A169" s="8" t="s">
        <v>175</v>
      </c>
      <c r="B169" s="9">
        <v>45566</v>
      </c>
      <c r="C169" s="8" t="s">
        <v>22</v>
      </c>
      <c r="D169" s="8" t="s">
        <v>29</v>
      </c>
      <c r="E169" s="8" t="s">
        <v>176</v>
      </c>
      <c r="F169" s="31">
        <f>_xlfn.XLOOKUP(Table2[[#This Row],[Shoe style]],val[SHOE STYLE],val[UNIT PRICE])</f>
        <v>12395</v>
      </c>
      <c r="H169" s="11">
        <v>1</v>
      </c>
      <c r="I169" s="6">
        <f>IF(Table2[[#This Row],[Discount]]&lt;(Table2[[#This Row],[UNIT PRICE]]*Table2[[#This Row],[Quantity sold]]),Table2[[#This Row],[UNIT PRICE]]*Table2[[#This Row],[Quantity sold]]-Table2[[#This Row],[Discount]],0)</f>
        <v>12395</v>
      </c>
      <c r="K169" s="2">
        <f>_xlfn.XLOOKUP(Table2[[#This Row],[Shoe style]],val[SHOE STYLE],val[COST PRICE])</f>
        <v>7909</v>
      </c>
      <c r="L169" s="2">
        <f>(Table2[[#This Row],[COST PRICE]]*Table2[[#This Row],[Quantity sold]])</f>
        <v>7909</v>
      </c>
      <c r="M169" s="2">
        <f>Table2[[#This Row],[TOTAL SALES]]-Table2[[#This Row],[TOTAL COST PRICE]]</f>
        <v>4486</v>
      </c>
      <c r="N169" s="2">
        <f>IF(Table2[[#This Row],[Amount Paid]]&gt;0,(SUMIF(Table2[Order ID],Table2[[#This Row],[Order ID]],Table2[Amount Paid])-SUMIF(Table2[Order ID],Table2[[#This Row],[Order ID]],Table2[TOTAL SALES])),0)</f>
        <v>0</v>
      </c>
      <c r="O169" s="8">
        <v>41</v>
      </c>
      <c r="P169" s="8" t="s">
        <v>25</v>
      </c>
      <c r="Q169" s="8" t="s">
        <v>26</v>
      </c>
      <c r="R169" s="8" t="s">
        <v>27</v>
      </c>
      <c r="S169" s="8" t="s">
        <v>28</v>
      </c>
      <c r="T169" s="8">
        <f t="shared" si="2"/>
        <v>0</v>
      </c>
      <c r="U169" t="str" cm="1">
        <f t="array" ref="U169">_xlfn.IFNA(_xlfn.IFS(Table2[[#This Row],[DEFICIT /SURPLUS]]&lt;0,"Deficit",Table2[[#This Row],[DEFICIT /SURPLUS]]&gt;0,"surplus"),"-")</f>
        <v>-</v>
      </c>
    </row>
    <row r="170" spans="1:21" ht="14.5">
      <c r="A170" s="8" t="s">
        <v>177</v>
      </c>
      <c r="B170" s="9">
        <v>45566</v>
      </c>
      <c r="C170" s="8" t="s">
        <v>22</v>
      </c>
      <c r="D170" s="8" t="s">
        <v>29</v>
      </c>
      <c r="E170" s="8" t="s">
        <v>109</v>
      </c>
      <c r="F170" s="31">
        <f>_xlfn.XLOOKUP(Table2[[#This Row],[Shoe style]],val[SHOE STYLE],val[UNIT PRICE])</f>
        <v>12395</v>
      </c>
      <c r="H170" s="11">
        <v>1</v>
      </c>
      <c r="I170" s="6">
        <f>IF(Table2[[#This Row],[Discount]]&lt;(Table2[[#This Row],[UNIT PRICE]]*Table2[[#This Row],[Quantity sold]]),Table2[[#This Row],[UNIT PRICE]]*Table2[[#This Row],[Quantity sold]]-Table2[[#This Row],[Discount]],0)</f>
        <v>12395</v>
      </c>
      <c r="J170" s="10">
        <v>16500</v>
      </c>
      <c r="K170" s="2">
        <f>_xlfn.XLOOKUP(Table2[[#This Row],[Shoe style]],val[SHOE STYLE],val[COST PRICE])</f>
        <v>7909</v>
      </c>
      <c r="L170" s="2">
        <f>(Table2[[#This Row],[COST PRICE]]*Table2[[#This Row],[Quantity sold]])</f>
        <v>7909</v>
      </c>
      <c r="M170" s="2">
        <f>Table2[[#This Row],[TOTAL SALES]]-Table2[[#This Row],[TOTAL COST PRICE]]</f>
        <v>4486</v>
      </c>
      <c r="N170" s="2">
        <f>IF(Table2[[#This Row],[Amount Paid]]&gt;0,(SUMIF(Table2[Order ID],Table2[[#This Row],[Order ID]],Table2[Amount Paid])-SUMIF(Table2[Order ID],Table2[[#This Row],[Order ID]],Table2[TOTAL SALES])),0)</f>
        <v>4105</v>
      </c>
      <c r="O170" s="8">
        <v>40</v>
      </c>
      <c r="P170" s="8" t="s">
        <v>25</v>
      </c>
      <c r="Q170" s="8" t="s">
        <v>26</v>
      </c>
      <c r="R170" s="8" t="s">
        <v>44</v>
      </c>
      <c r="S170" s="8" t="s">
        <v>28</v>
      </c>
      <c r="T170" s="8">
        <f t="shared" si="2"/>
        <v>0</v>
      </c>
      <c r="U170" t="str" cm="1">
        <f t="array" ref="U170">_xlfn.IFNA(_xlfn.IFS(Table2[[#This Row],[DEFICIT /SURPLUS]]&lt;0,"Deficit",Table2[[#This Row],[DEFICIT /SURPLUS]]&gt;0,"surplus"),"-")</f>
        <v>surplus</v>
      </c>
    </row>
    <row r="171" spans="1:21" ht="14.5">
      <c r="A171" s="8" t="s">
        <v>178</v>
      </c>
      <c r="B171" s="9">
        <v>45567</v>
      </c>
      <c r="C171" s="8" t="s">
        <v>22</v>
      </c>
      <c r="D171" s="8" t="s">
        <v>29</v>
      </c>
      <c r="E171" s="8" t="s">
        <v>109</v>
      </c>
      <c r="F171" s="31">
        <f>_xlfn.XLOOKUP(Table2[[#This Row],[Shoe style]],val[SHOE STYLE],val[UNIT PRICE])</f>
        <v>12395</v>
      </c>
      <c r="H171" s="11">
        <v>1</v>
      </c>
      <c r="I171" s="6">
        <f>IF(Table2[[#This Row],[Discount]]&lt;(Table2[[#This Row],[UNIT PRICE]]*Table2[[#This Row],[Quantity sold]]),Table2[[#This Row],[UNIT PRICE]]*Table2[[#This Row],[Quantity sold]]-Table2[[#This Row],[Discount]],0)</f>
        <v>12395</v>
      </c>
      <c r="J171" s="10">
        <v>16000</v>
      </c>
      <c r="K171" s="2">
        <f>_xlfn.XLOOKUP(Table2[[#This Row],[Shoe style]],val[SHOE STYLE],val[COST PRICE])</f>
        <v>7909</v>
      </c>
      <c r="L171" s="2">
        <f>(Table2[[#This Row],[COST PRICE]]*Table2[[#This Row],[Quantity sold]])</f>
        <v>7909</v>
      </c>
      <c r="M171" s="2">
        <f>Table2[[#This Row],[TOTAL SALES]]-Table2[[#This Row],[TOTAL COST PRICE]]</f>
        <v>4486</v>
      </c>
      <c r="N171" s="2">
        <f>IF(Table2[[#This Row],[Amount Paid]]&gt;0,(SUMIF(Table2[Order ID],Table2[[#This Row],[Order ID]],Table2[Amount Paid])-SUMIF(Table2[Order ID],Table2[[#This Row],[Order ID]],Table2[TOTAL SALES])),0)</f>
        <v>3605</v>
      </c>
      <c r="O171" s="8">
        <v>40</v>
      </c>
      <c r="P171" s="8" t="s">
        <v>25</v>
      </c>
      <c r="Q171" s="8" t="s">
        <v>26</v>
      </c>
      <c r="R171" s="8" t="s">
        <v>27</v>
      </c>
      <c r="S171" s="8" t="s">
        <v>28</v>
      </c>
      <c r="T171" s="8">
        <f t="shared" si="2"/>
        <v>0</v>
      </c>
      <c r="U171" t="str" cm="1">
        <f t="array" ref="U171">_xlfn.IFNA(_xlfn.IFS(Table2[[#This Row],[DEFICIT /SURPLUS]]&lt;0,"Deficit",Table2[[#This Row],[DEFICIT /SURPLUS]]&gt;0,"surplus"),"-")</f>
        <v>surplus</v>
      </c>
    </row>
    <row r="172" spans="1:21" ht="14.5">
      <c r="A172" s="8" t="s">
        <v>179</v>
      </c>
      <c r="B172" s="9">
        <v>45568</v>
      </c>
      <c r="C172" s="8" t="s">
        <v>22</v>
      </c>
      <c r="D172" s="8" t="s">
        <v>29</v>
      </c>
      <c r="E172" s="8" t="s">
        <v>109</v>
      </c>
      <c r="F172" s="31">
        <f>_xlfn.XLOOKUP(Table2[[#This Row],[Shoe style]],val[SHOE STYLE],val[UNIT PRICE])</f>
        <v>12395</v>
      </c>
      <c r="H172" s="11">
        <v>1</v>
      </c>
      <c r="I172" s="6">
        <f>IF(Table2[[#This Row],[Discount]]&lt;(Table2[[#This Row],[UNIT PRICE]]*Table2[[#This Row],[Quantity sold]]),Table2[[#This Row],[UNIT PRICE]]*Table2[[#This Row],[Quantity sold]]-Table2[[#This Row],[Discount]],0)</f>
        <v>12395</v>
      </c>
      <c r="J172" s="10">
        <v>16500</v>
      </c>
      <c r="K172" s="2">
        <f>_xlfn.XLOOKUP(Table2[[#This Row],[Shoe style]],val[SHOE STYLE],val[COST PRICE])</f>
        <v>7909</v>
      </c>
      <c r="L172" s="2">
        <f>(Table2[[#This Row],[COST PRICE]]*Table2[[#This Row],[Quantity sold]])</f>
        <v>7909</v>
      </c>
      <c r="M172" s="2">
        <f>Table2[[#This Row],[TOTAL SALES]]-Table2[[#This Row],[TOTAL COST PRICE]]</f>
        <v>4486</v>
      </c>
      <c r="N172" s="2">
        <f>IF(Table2[[#This Row],[Amount Paid]]&gt;0,(SUMIF(Table2[Order ID],Table2[[#This Row],[Order ID]],Table2[Amount Paid])-SUMIF(Table2[Order ID],Table2[[#This Row],[Order ID]],Table2[TOTAL SALES])),0)</f>
        <v>4105</v>
      </c>
      <c r="O172" s="8">
        <v>40</v>
      </c>
      <c r="P172" s="8" t="s">
        <v>25</v>
      </c>
      <c r="Q172" s="8" t="s">
        <v>26</v>
      </c>
      <c r="R172" s="8" t="s">
        <v>44</v>
      </c>
      <c r="S172" s="8" t="s">
        <v>28</v>
      </c>
      <c r="T172" s="8">
        <f t="shared" si="2"/>
        <v>0</v>
      </c>
      <c r="U172" t="str" cm="1">
        <f t="array" ref="U172">_xlfn.IFNA(_xlfn.IFS(Table2[[#This Row],[DEFICIT /SURPLUS]]&lt;0,"Deficit",Table2[[#This Row],[DEFICIT /SURPLUS]]&gt;0,"surplus"),"-")</f>
        <v>surplus</v>
      </c>
    </row>
    <row r="173" spans="1:21" ht="14.5">
      <c r="A173" s="8" t="s">
        <v>180</v>
      </c>
      <c r="B173" s="9">
        <v>45568</v>
      </c>
      <c r="C173" s="8" t="s">
        <v>22</v>
      </c>
      <c r="D173" s="8" t="s">
        <v>140</v>
      </c>
      <c r="E173" s="8" t="s">
        <v>89</v>
      </c>
      <c r="F173" s="31">
        <f>_xlfn.XLOOKUP(Table2[[#This Row],[Shoe style]],val[SHOE STYLE],val[UNIT PRICE])</f>
        <v>22517</v>
      </c>
      <c r="H173" s="11">
        <v>1</v>
      </c>
      <c r="I173" s="6">
        <f>IF(Table2[[#This Row],[Discount]]&lt;(Table2[[#This Row],[UNIT PRICE]]*Table2[[#This Row],[Quantity sold]]),Table2[[#This Row],[UNIT PRICE]]*Table2[[#This Row],[Quantity sold]]-Table2[[#This Row],[Discount]],0)</f>
        <v>22517</v>
      </c>
      <c r="J173" s="10">
        <v>30000</v>
      </c>
      <c r="K173" s="2">
        <f>_xlfn.XLOOKUP(Table2[[#This Row],[Shoe style]],val[SHOE STYLE],val[COST PRICE])</f>
        <v>18931</v>
      </c>
      <c r="L173" s="2">
        <f>(Table2[[#This Row],[COST PRICE]]*Table2[[#This Row],[Quantity sold]])</f>
        <v>18931</v>
      </c>
      <c r="M173" s="2">
        <f>Table2[[#This Row],[TOTAL SALES]]-Table2[[#This Row],[TOTAL COST PRICE]]</f>
        <v>3586</v>
      </c>
      <c r="N173" s="2">
        <f>IF(Table2[[#This Row],[Amount Paid]]&gt;0,(SUMIF(Table2[Order ID],Table2[[#This Row],[Order ID]],Table2[Amount Paid])-SUMIF(Table2[Order ID],Table2[[#This Row],[Order ID]],Table2[TOTAL SALES])),0)</f>
        <v>-7390</v>
      </c>
      <c r="O173" s="8">
        <v>41</v>
      </c>
      <c r="P173" s="8" t="s">
        <v>25</v>
      </c>
      <c r="Q173" s="8" t="s">
        <v>26</v>
      </c>
      <c r="R173" s="8" t="s">
        <v>44</v>
      </c>
      <c r="S173" s="8" t="s">
        <v>28</v>
      </c>
      <c r="T173" s="8">
        <f t="shared" si="2"/>
        <v>0</v>
      </c>
      <c r="U173" t="str" cm="1">
        <f t="array" ref="U173">_xlfn.IFNA(_xlfn.IFS(Table2[[#This Row],[DEFICIT /SURPLUS]]&lt;0,"Deficit",Table2[[#This Row],[DEFICIT /SURPLUS]]&gt;0,"surplus"),"-")</f>
        <v>Deficit</v>
      </c>
    </row>
    <row r="174" spans="1:21" ht="14.5">
      <c r="A174" s="8" t="s">
        <v>180</v>
      </c>
      <c r="B174" s="9">
        <v>45568</v>
      </c>
      <c r="C174" s="8" t="s">
        <v>22</v>
      </c>
      <c r="D174" s="8" t="s">
        <v>71</v>
      </c>
      <c r="E174" s="8" t="s">
        <v>89</v>
      </c>
      <c r="F174" s="31">
        <f>_xlfn.XLOOKUP(Table2[[#This Row],[Shoe style]],val[SHOE STYLE],val[UNIT PRICE])</f>
        <v>14873</v>
      </c>
      <c r="H174" s="11">
        <v>1</v>
      </c>
      <c r="I174" s="6">
        <f>IF(Table2[[#This Row],[Discount]]&lt;(Table2[[#This Row],[UNIT PRICE]]*Table2[[#This Row],[Quantity sold]]),Table2[[#This Row],[UNIT PRICE]]*Table2[[#This Row],[Quantity sold]]-Table2[[#This Row],[Discount]],0)</f>
        <v>14873</v>
      </c>
      <c r="K174" s="2">
        <f>_xlfn.XLOOKUP(Table2[[#This Row],[Shoe style]],val[SHOE STYLE],val[COST PRICE])</f>
        <v>11503</v>
      </c>
      <c r="L174" s="2">
        <f>(Table2[[#This Row],[COST PRICE]]*Table2[[#This Row],[Quantity sold]])</f>
        <v>11503</v>
      </c>
      <c r="M174" s="2">
        <f>Table2[[#This Row],[TOTAL SALES]]-Table2[[#This Row],[TOTAL COST PRICE]]</f>
        <v>3370</v>
      </c>
      <c r="N174" s="2">
        <f>IF(Table2[[#This Row],[Amount Paid]]&gt;0,(SUMIF(Table2[Order ID],Table2[[#This Row],[Order ID]],Table2[Amount Paid])-SUMIF(Table2[Order ID],Table2[[#This Row],[Order ID]],Table2[TOTAL SALES])),0)</f>
        <v>0</v>
      </c>
      <c r="O174" s="8">
        <v>41</v>
      </c>
      <c r="P174" s="8" t="s">
        <v>25</v>
      </c>
      <c r="Q174" s="8" t="s">
        <v>26</v>
      </c>
      <c r="R174" s="8" t="s">
        <v>44</v>
      </c>
      <c r="S174" s="8" t="s">
        <v>28</v>
      </c>
      <c r="T174" s="8">
        <f t="shared" si="2"/>
        <v>0</v>
      </c>
      <c r="U174" t="str" cm="1">
        <f t="array" ref="U174">_xlfn.IFNA(_xlfn.IFS(Table2[[#This Row],[DEFICIT /SURPLUS]]&lt;0,"Deficit",Table2[[#This Row],[DEFICIT /SURPLUS]]&gt;0,"surplus"),"-")</f>
        <v>-</v>
      </c>
    </row>
    <row r="175" spans="1:21" ht="14.5">
      <c r="A175" s="8" t="s">
        <v>181</v>
      </c>
      <c r="B175" s="9">
        <v>45568</v>
      </c>
      <c r="C175" s="8" t="s">
        <v>22</v>
      </c>
      <c r="D175" s="8" t="s">
        <v>29</v>
      </c>
      <c r="E175" s="8" t="s">
        <v>87</v>
      </c>
      <c r="F175" s="31">
        <f>_xlfn.XLOOKUP(Table2[[#This Row],[Shoe style]],val[SHOE STYLE],val[UNIT PRICE])</f>
        <v>12395</v>
      </c>
      <c r="H175" s="11">
        <v>1</v>
      </c>
      <c r="I175" s="6">
        <f>IF(Table2[[#This Row],[Discount]]&lt;(Table2[[#This Row],[UNIT PRICE]]*Table2[[#This Row],[Quantity sold]]),Table2[[#This Row],[UNIT PRICE]]*Table2[[#This Row],[Quantity sold]]-Table2[[#This Row],[Discount]],0)</f>
        <v>12395</v>
      </c>
      <c r="J175" s="10">
        <v>14000</v>
      </c>
      <c r="K175" s="2">
        <f>_xlfn.XLOOKUP(Table2[[#This Row],[Shoe style]],val[SHOE STYLE],val[COST PRICE])</f>
        <v>7909</v>
      </c>
      <c r="L175" s="2">
        <f>(Table2[[#This Row],[COST PRICE]]*Table2[[#This Row],[Quantity sold]])</f>
        <v>7909</v>
      </c>
      <c r="M175" s="2">
        <f>Table2[[#This Row],[TOTAL SALES]]-Table2[[#This Row],[TOTAL COST PRICE]]</f>
        <v>4486</v>
      </c>
      <c r="N175" s="2">
        <f>IF(Table2[[#This Row],[Amount Paid]]&gt;0,(SUMIF(Table2[Order ID],Table2[[#This Row],[Order ID]],Table2[Amount Paid])-SUMIF(Table2[Order ID],Table2[[#This Row],[Order ID]],Table2[TOTAL SALES])),0)</f>
        <v>1605</v>
      </c>
      <c r="O175" s="8">
        <v>41</v>
      </c>
      <c r="P175" s="8" t="s">
        <v>25</v>
      </c>
      <c r="Q175" s="8" t="s">
        <v>26</v>
      </c>
      <c r="R175" s="8" t="s">
        <v>44</v>
      </c>
      <c r="S175" s="8" t="s">
        <v>28</v>
      </c>
      <c r="T175" s="8">
        <f t="shared" si="2"/>
        <v>0</v>
      </c>
      <c r="U175" t="str" cm="1">
        <f t="array" ref="U175">_xlfn.IFNA(_xlfn.IFS(Table2[[#This Row],[DEFICIT /SURPLUS]]&lt;0,"Deficit",Table2[[#This Row],[DEFICIT /SURPLUS]]&gt;0,"surplus"),"-")</f>
        <v>surplus</v>
      </c>
    </row>
    <row r="176" spans="1:21" ht="14.5">
      <c r="A176" s="8" t="s">
        <v>182</v>
      </c>
      <c r="B176" s="9">
        <v>45568</v>
      </c>
      <c r="C176" s="8" t="s">
        <v>22</v>
      </c>
      <c r="D176" s="8" t="s">
        <v>92</v>
      </c>
      <c r="E176" s="8" t="s">
        <v>87</v>
      </c>
      <c r="F176" s="31">
        <f>_xlfn.XLOOKUP(Table2[[#This Row],[Shoe style]],val[SHOE STYLE],val[UNIT PRICE])</f>
        <v>12107</v>
      </c>
      <c r="H176" s="11">
        <v>1</v>
      </c>
      <c r="I176" s="6">
        <f>IF(Table2[[#This Row],[Discount]]&lt;(Table2[[#This Row],[UNIT PRICE]]*Table2[[#This Row],[Quantity sold]]),Table2[[#This Row],[UNIT PRICE]]*Table2[[#This Row],[Quantity sold]]-Table2[[#This Row],[Discount]],0)</f>
        <v>12107</v>
      </c>
      <c r="J176" s="10">
        <v>32000</v>
      </c>
      <c r="K176" s="2">
        <f>_xlfn.XLOOKUP(Table2[[#This Row],[Shoe style]],val[SHOE STYLE],val[COST PRICE])</f>
        <v>9752</v>
      </c>
      <c r="L176" s="2">
        <f>(Table2[[#This Row],[COST PRICE]]*Table2[[#This Row],[Quantity sold]])</f>
        <v>9752</v>
      </c>
      <c r="M176" s="2">
        <f>Table2[[#This Row],[TOTAL SALES]]-Table2[[#This Row],[TOTAL COST PRICE]]</f>
        <v>2355</v>
      </c>
      <c r="N176" s="2">
        <f>IF(Table2[[#This Row],[Amount Paid]]&gt;0,(SUMIF(Table2[Order ID],Table2[[#This Row],[Order ID]],Table2[Amount Paid])-SUMIF(Table2[Order ID],Table2[[#This Row],[Order ID]],Table2[TOTAL SALES])),0)</f>
        <v>7498</v>
      </c>
      <c r="O176" s="8">
        <v>40</v>
      </c>
      <c r="P176" s="8" t="s">
        <v>25</v>
      </c>
      <c r="Q176" s="8" t="s">
        <v>26</v>
      </c>
      <c r="R176" s="8" t="s">
        <v>44</v>
      </c>
      <c r="S176" s="8" t="s">
        <v>28</v>
      </c>
      <c r="T176" s="8">
        <f t="shared" si="2"/>
        <v>0</v>
      </c>
      <c r="U176" t="str" cm="1">
        <f t="array" ref="U176">_xlfn.IFNA(_xlfn.IFS(Table2[[#This Row],[DEFICIT /SURPLUS]]&lt;0,"Deficit",Table2[[#This Row],[DEFICIT /SURPLUS]]&gt;0,"surplus"),"-")</f>
        <v>surplus</v>
      </c>
    </row>
    <row r="177" spans="1:21" ht="14.5">
      <c r="A177" s="8" t="s">
        <v>182</v>
      </c>
      <c r="B177" s="9">
        <v>45568</v>
      </c>
      <c r="C177" s="8" t="s">
        <v>22</v>
      </c>
      <c r="D177" s="8" t="s">
        <v>29</v>
      </c>
      <c r="E177" s="8" t="s">
        <v>61</v>
      </c>
      <c r="F177" s="31">
        <f>_xlfn.XLOOKUP(Table2[[#This Row],[Shoe style]],val[SHOE STYLE],val[UNIT PRICE])</f>
        <v>12395</v>
      </c>
      <c r="H177" s="11">
        <v>1</v>
      </c>
      <c r="I177" s="6">
        <f>IF(Table2[[#This Row],[Discount]]&lt;(Table2[[#This Row],[UNIT PRICE]]*Table2[[#This Row],[Quantity sold]]),Table2[[#This Row],[UNIT PRICE]]*Table2[[#This Row],[Quantity sold]]-Table2[[#This Row],[Discount]],0)</f>
        <v>12395</v>
      </c>
      <c r="K177" s="2">
        <f>_xlfn.XLOOKUP(Table2[[#This Row],[Shoe style]],val[SHOE STYLE],val[COST PRICE])</f>
        <v>7909</v>
      </c>
      <c r="L177" s="2">
        <f>(Table2[[#This Row],[COST PRICE]]*Table2[[#This Row],[Quantity sold]])</f>
        <v>7909</v>
      </c>
      <c r="M177" s="2">
        <f>Table2[[#This Row],[TOTAL SALES]]-Table2[[#This Row],[TOTAL COST PRICE]]</f>
        <v>4486</v>
      </c>
      <c r="N177" s="2">
        <f>IF(Table2[[#This Row],[Amount Paid]]&gt;0,(SUMIF(Table2[Order ID],Table2[[#This Row],[Order ID]],Table2[Amount Paid])-SUMIF(Table2[Order ID],Table2[[#This Row],[Order ID]],Table2[TOTAL SALES])),0)</f>
        <v>0</v>
      </c>
      <c r="O177" s="8">
        <v>40</v>
      </c>
      <c r="P177" s="8" t="s">
        <v>25</v>
      </c>
      <c r="Q177" s="8" t="s">
        <v>26</v>
      </c>
      <c r="R177" s="8" t="s">
        <v>44</v>
      </c>
      <c r="S177" s="8" t="s">
        <v>28</v>
      </c>
      <c r="T177" s="8">
        <f t="shared" si="2"/>
        <v>0</v>
      </c>
      <c r="U177" t="str" cm="1">
        <f t="array" ref="U177">_xlfn.IFNA(_xlfn.IFS(Table2[[#This Row],[DEFICIT /SURPLUS]]&lt;0,"Deficit",Table2[[#This Row],[DEFICIT /SURPLUS]]&gt;0,"surplus"),"-")</f>
        <v>-</v>
      </c>
    </row>
    <row r="178" spans="1:21" ht="14.5">
      <c r="A178" s="8" t="s">
        <v>183</v>
      </c>
      <c r="B178" s="9">
        <v>45568</v>
      </c>
      <c r="C178" s="8" t="s">
        <v>22</v>
      </c>
      <c r="D178" s="8" t="s">
        <v>53</v>
      </c>
      <c r="E178" s="8" t="s">
        <v>30</v>
      </c>
      <c r="F178" s="31">
        <f>_xlfn.XLOOKUP(Table2[[#This Row],[Shoe style]],val[SHOE STYLE],val[UNIT PRICE])</f>
        <v>9838</v>
      </c>
      <c r="H178" s="11">
        <v>1</v>
      </c>
      <c r="I178" s="6">
        <f>IF(Table2[[#This Row],[Discount]]&lt;(Table2[[#This Row],[UNIT PRICE]]*Table2[[#This Row],[Quantity sold]]),Table2[[#This Row],[UNIT PRICE]]*Table2[[#This Row],[Quantity sold]]-Table2[[#This Row],[Discount]],0)</f>
        <v>9838</v>
      </c>
      <c r="J178" s="10">
        <v>17500</v>
      </c>
      <c r="K178" s="2">
        <f>_xlfn.XLOOKUP(Table2[[#This Row],[Shoe style]],val[SHOE STYLE],val[COST PRICE])</f>
        <v>6687</v>
      </c>
      <c r="L178" s="2">
        <f>(Table2[[#This Row],[COST PRICE]]*Table2[[#This Row],[Quantity sold]])</f>
        <v>6687</v>
      </c>
      <c r="M178" s="2">
        <f>Table2[[#This Row],[TOTAL SALES]]-Table2[[#This Row],[TOTAL COST PRICE]]</f>
        <v>3151</v>
      </c>
      <c r="N178" s="2">
        <f>IF(Table2[[#This Row],[Amount Paid]]&gt;0,(SUMIF(Table2[Order ID],Table2[[#This Row],[Order ID]],Table2[Amount Paid])-SUMIF(Table2[Order ID],Table2[[#This Row],[Order ID]],Table2[TOTAL SALES])),0)</f>
        <v>7662</v>
      </c>
      <c r="O178" s="8">
        <v>39</v>
      </c>
      <c r="P178" s="8" t="s">
        <v>25</v>
      </c>
      <c r="Q178" s="8" t="s">
        <v>26</v>
      </c>
      <c r="R178" s="8" t="s">
        <v>44</v>
      </c>
      <c r="S178" s="8" t="s">
        <v>28</v>
      </c>
      <c r="T178" s="8">
        <f t="shared" si="2"/>
        <v>0</v>
      </c>
      <c r="U178" t="str" cm="1">
        <f t="array" ref="U178">_xlfn.IFNA(_xlfn.IFS(Table2[[#This Row],[DEFICIT /SURPLUS]]&lt;0,"Deficit",Table2[[#This Row],[DEFICIT /SURPLUS]]&gt;0,"surplus"),"-")</f>
        <v>surplus</v>
      </c>
    </row>
    <row r="179" spans="1:21" ht="14.5">
      <c r="A179" s="8" t="s">
        <v>184</v>
      </c>
      <c r="B179" s="9">
        <v>45569</v>
      </c>
      <c r="C179" s="8" t="s">
        <v>22</v>
      </c>
      <c r="D179" s="8" t="s">
        <v>29</v>
      </c>
      <c r="E179" s="8" t="s">
        <v>24</v>
      </c>
      <c r="F179" s="31">
        <f>_xlfn.XLOOKUP(Table2[[#This Row],[Shoe style]],val[SHOE STYLE],val[UNIT PRICE])</f>
        <v>12395</v>
      </c>
      <c r="H179" s="11">
        <v>1</v>
      </c>
      <c r="I179" s="6">
        <f>IF(Table2[[#This Row],[Discount]]&lt;(Table2[[#This Row],[UNIT PRICE]]*Table2[[#This Row],[Quantity sold]]),Table2[[#This Row],[UNIT PRICE]]*Table2[[#This Row],[Quantity sold]]-Table2[[#This Row],[Discount]],0)</f>
        <v>12395</v>
      </c>
      <c r="J179" s="10">
        <v>32500</v>
      </c>
      <c r="K179" s="2">
        <f>_xlfn.XLOOKUP(Table2[[#This Row],[Shoe style]],val[SHOE STYLE],val[COST PRICE])</f>
        <v>7909</v>
      </c>
      <c r="L179" s="2">
        <f>(Table2[[#This Row],[COST PRICE]]*Table2[[#This Row],[Quantity sold]])</f>
        <v>7909</v>
      </c>
      <c r="M179" s="2">
        <f>Table2[[#This Row],[TOTAL SALES]]-Table2[[#This Row],[TOTAL COST PRICE]]</f>
        <v>4486</v>
      </c>
      <c r="N179" s="2">
        <f>IF(Table2[[#This Row],[Amount Paid]]&gt;0,(SUMIF(Table2[Order ID],Table2[[#This Row],[Order ID]],Table2[Amount Paid])-SUMIF(Table2[Order ID],Table2[[#This Row],[Order ID]],Table2[TOTAL SALES])),0)</f>
        <v>7710</v>
      </c>
      <c r="O179" s="8">
        <v>42</v>
      </c>
      <c r="P179" s="8" t="s">
        <v>25</v>
      </c>
      <c r="Q179" s="8" t="s">
        <v>26</v>
      </c>
      <c r="R179" s="8" t="s">
        <v>44</v>
      </c>
      <c r="S179" s="8" t="s">
        <v>28</v>
      </c>
      <c r="T179" s="8">
        <f t="shared" si="2"/>
        <v>0</v>
      </c>
      <c r="U179" t="str" cm="1">
        <f t="array" ref="U179">_xlfn.IFNA(_xlfn.IFS(Table2[[#This Row],[DEFICIT /SURPLUS]]&lt;0,"Deficit",Table2[[#This Row],[DEFICIT /SURPLUS]]&gt;0,"surplus"),"-")</f>
        <v>surplus</v>
      </c>
    </row>
    <row r="180" spans="1:21" ht="14.5">
      <c r="A180" s="8" t="s">
        <v>184</v>
      </c>
      <c r="B180" s="9">
        <v>45569</v>
      </c>
      <c r="C180" s="8" t="s">
        <v>22</v>
      </c>
      <c r="D180" s="8" t="s">
        <v>29</v>
      </c>
      <c r="E180" s="8" t="s">
        <v>62</v>
      </c>
      <c r="F180" s="31">
        <f>_xlfn.XLOOKUP(Table2[[#This Row],[Shoe style]],val[SHOE STYLE],val[UNIT PRICE])</f>
        <v>12395</v>
      </c>
      <c r="H180" s="11">
        <v>1</v>
      </c>
      <c r="I180" s="6">
        <f>IF(Table2[[#This Row],[Discount]]&lt;(Table2[[#This Row],[UNIT PRICE]]*Table2[[#This Row],[Quantity sold]]),Table2[[#This Row],[UNIT PRICE]]*Table2[[#This Row],[Quantity sold]]-Table2[[#This Row],[Discount]],0)</f>
        <v>12395</v>
      </c>
      <c r="K180" s="2">
        <f>_xlfn.XLOOKUP(Table2[[#This Row],[Shoe style]],val[SHOE STYLE],val[COST PRICE])</f>
        <v>7909</v>
      </c>
      <c r="L180" s="2">
        <f>(Table2[[#This Row],[COST PRICE]]*Table2[[#This Row],[Quantity sold]])</f>
        <v>7909</v>
      </c>
      <c r="M180" s="2">
        <f>Table2[[#This Row],[TOTAL SALES]]-Table2[[#This Row],[TOTAL COST PRICE]]</f>
        <v>4486</v>
      </c>
      <c r="N180" s="2">
        <f>IF(Table2[[#This Row],[Amount Paid]]&gt;0,(SUMIF(Table2[Order ID],Table2[[#This Row],[Order ID]],Table2[Amount Paid])-SUMIF(Table2[Order ID],Table2[[#This Row],[Order ID]],Table2[TOTAL SALES])),0)</f>
        <v>0</v>
      </c>
      <c r="O180" s="8">
        <v>42</v>
      </c>
      <c r="P180" s="8" t="s">
        <v>25</v>
      </c>
      <c r="Q180" s="8" t="s">
        <v>26</v>
      </c>
      <c r="R180" s="8" t="s">
        <v>44</v>
      </c>
      <c r="S180" s="8" t="s">
        <v>28</v>
      </c>
      <c r="T180" s="8">
        <f t="shared" si="2"/>
        <v>0</v>
      </c>
      <c r="U180" t="str" cm="1">
        <f t="array" ref="U180">_xlfn.IFNA(_xlfn.IFS(Table2[[#This Row],[DEFICIT /SURPLUS]]&lt;0,"Deficit",Table2[[#This Row],[DEFICIT /SURPLUS]]&gt;0,"surplus"),"-")</f>
        <v>-</v>
      </c>
    </row>
    <row r="181" spans="1:21" ht="14.5">
      <c r="A181" s="8" t="s">
        <v>185</v>
      </c>
      <c r="B181" s="9">
        <v>45569</v>
      </c>
      <c r="C181" s="8" t="s">
        <v>104</v>
      </c>
      <c r="D181" s="8" t="s">
        <v>37</v>
      </c>
      <c r="E181" s="8" t="s">
        <v>62</v>
      </c>
      <c r="F181" s="31">
        <f>_xlfn.XLOOKUP(Table2[[#This Row],[Shoe style]],val[SHOE STYLE],val[UNIT PRICE])</f>
        <v>22728</v>
      </c>
      <c r="H181" s="11">
        <v>1</v>
      </c>
      <c r="I181" s="6">
        <f>IF(Table2[[#This Row],[Discount]]&lt;(Table2[[#This Row],[UNIT PRICE]]*Table2[[#This Row],[Quantity sold]]),Table2[[#This Row],[UNIT PRICE]]*Table2[[#This Row],[Quantity sold]]-Table2[[#This Row],[Discount]],0)</f>
        <v>22728</v>
      </c>
      <c r="J181" s="10">
        <v>48950</v>
      </c>
      <c r="K181" s="2">
        <f>_xlfn.XLOOKUP(Table2[[#This Row],[Shoe style]],val[SHOE STYLE],val[COST PRICE])</f>
        <v>20451</v>
      </c>
      <c r="L181" s="2">
        <f>(Table2[[#This Row],[COST PRICE]]*Table2[[#This Row],[Quantity sold]])</f>
        <v>20451</v>
      </c>
      <c r="M181" s="2">
        <f>Table2[[#This Row],[TOTAL SALES]]-Table2[[#This Row],[TOTAL COST PRICE]]</f>
        <v>2277</v>
      </c>
      <c r="N181" s="2">
        <f>IF(Table2[[#This Row],[Amount Paid]]&gt;0,(SUMIF(Table2[Order ID],Table2[[#This Row],[Order ID]],Table2[Amount Paid])-SUMIF(Table2[Order ID],Table2[[#This Row],[Order ID]],Table2[TOTAL SALES])),0)</f>
        <v>-4787</v>
      </c>
      <c r="O181" s="8">
        <v>39</v>
      </c>
      <c r="P181" s="8" t="s">
        <v>25</v>
      </c>
      <c r="Q181" s="8" t="s">
        <v>26</v>
      </c>
      <c r="R181" s="8" t="s">
        <v>44</v>
      </c>
      <c r="S181" s="8" t="s">
        <v>28</v>
      </c>
      <c r="T181" s="8">
        <f t="shared" si="2"/>
        <v>0</v>
      </c>
      <c r="U181" t="str" cm="1">
        <f t="array" ref="U181">_xlfn.IFNA(_xlfn.IFS(Table2[[#This Row],[DEFICIT /SURPLUS]]&lt;0,"Deficit",Table2[[#This Row],[DEFICIT /SURPLUS]]&gt;0,"surplus"),"-")</f>
        <v>Deficit</v>
      </c>
    </row>
    <row r="182" spans="1:21" ht="14.5">
      <c r="A182" s="8" t="s">
        <v>185</v>
      </c>
      <c r="B182" s="9">
        <v>45569</v>
      </c>
      <c r="C182" s="8" t="s">
        <v>104</v>
      </c>
      <c r="D182" s="8" t="s">
        <v>49</v>
      </c>
      <c r="E182" s="8" t="s">
        <v>43</v>
      </c>
      <c r="F182" s="31">
        <f>_xlfn.XLOOKUP(Table2[[#This Row],[Shoe style]],val[SHOE STYLE],val[UNIT PRICE])</f>
        <v>20500</v>
      </c>
      <c r="H182" s="11">
        <v>1</v>
      </c>
      <c r="I182" s="6">
        <f>IF(Table2[[#This Row],[Discount]]&lt;(Table2[[#This Row],[UNIT PRICE]]*Table2[[#This Row],[Quantity sold]]),Table2[[#This Row],[UNIT PRICE]]*Table2[[#This Row],[Quantity sold]]-Table2[[#This Row],[Discount]],0)</f>
        <v>20500</v>
      </c>
      <c r="K182" s="2">
        <f>_xlfn.XLOOKUP(Table2[[#This Row],[Shoe style]],val[SHOE STYLE],val[COST PRICE])</f>
        <v>17339</v>
      </c>
      <c r="L182" s="2">
        <f>(Table2[[#This Row],[COST PRICE]]*Table2[[#This Row],[Quantity sold]])</f>
        <v>17339</v>
      </c>
      <c r="M182" s="2">
        <f>Table2[[#This Row],[TOTAL SALES]]-Table2[[#This Row],[TOTAL COST PRICE]]</f>
        <v>3161</v>
      </c>
      <c r="N182" s="2">
        <f>IF(Table2[[#This Row],[Amount Paid]]&gt;0,(SUMIF(Table2[Order ID],Table2[[#This Row],[Order ID]],Table2[Amount Paid])-SUMIF(Table2[Order ID],Table2[[#This Row],[Order ID]],Table2[TOTAL SALES])),0)</f>
        <v>0</v>
      </c>
      <c r="O182" s="8">
        <v>39</v>
      </c>
      <c r="P182" s="8" t="s">
        <v>25</v>
      </c>
      <c r="Q182" s="8" t="s">
        <v>26</v>
      </c>
      <c r="R182" s="8" t="s">
        <v>44</v>
      </c>
      <c r="S182" s="8" t="s">
        <v>28</v>
      </c>
      <c r="T182" s="8">
        <f t="shared" si="2"/>
        <v>0</v>
      </c>
      <c r="U182" t="str" cm="1">
        <f t="array" ref="U182">_xlfn.IFNA(_xlfn.IFS(Table2[[#This Row],[DEFICIT /SURPLUS]]&lt;0,"Deficit",Table2[[#This Row],[DEFICIT /SURPLUS]]&gt;0,"surplus"),"-")</f>
        <v>-</v>
      </c>
    </row>
    <row r="183" spans="1:21" ht="14.5">
      <c r="A183" s="8" t="s">
        <v>185</v>
      </c>
      <c r="B183" s="9">
        <v>45569</v>
      </c>
      <c r="C183" s="8" t="s">
        <v>104</v>
      </c>
      <c r="D183" s="8" t="s">
        <v>68</v>
      </c>
      <c r="E183" s="8" t="s">
        <v>24</v>
      </c>
      <c r="F183" s="31">
        <f>_xlfn.XLOOKUP(Table2[[#This Row],[Shoe style]],val[SHOE STYLE],val[UNIT PRICE])</f>
        <v>10509</v>
      </c>
      <c r="H183" s="11">
        <v>1</v>
      </c>
      <c r="I183" s="6">
        <f>IF(Table2[[#This Row],[Discount]]&lt;(Table2[[#This Row],[UNIT PRICE]]*Table2[[#This Row],[Quantity sold]]),Table2[[#This Row],[UNIT PRICE]]*Table2[[#This Row],[Quantity sold]]-Table2[[#This Row],[Discount]],0)</f>
        <v>10509</v>
      </c>
      <c r="K183" s="2">
        <f>_xlfn.XLOOKUP(Table2[[#This Row],[Shoe style]],val[SHOE STYLE],val[COST PRICE])</f>
        <v>7573</v>
      </c>
      <c r="L183" s="2">
        <f>(Table2[[#This Row],[COST PRICE]]*Table2[[#This Row],[Quantity sold]])</f>
        <v>7573</v>
      </c>
      <c r="M183" s="2">
        <f>Table2[[#This Row],[TOTAL SALES]]-Table2[[#This Row],[TOTAL COST PRICE]]</f>
        <v>2936</v>
      </c>
      <c r="N183" s="2">
        <f>IF(Table2[[#This Row],[Amount Paid]]&gt;0,(SUMIF(Table2[Order ID],Table2[[#This Row],[Order ID]],Table2[Amount Paid])-SUMIF(Table2[Order ID],Table2[[#This Row],[Order ID]],Table2[TOTAL SALES])),0)</f>
        <v>0</v>
      </c>
      <c r="O183" s="8">
        <v>39</v>
      </c>
      <c r="P183" s="8" t="s">
        <v>25</v>
      </c>
      <c r="Q183" s="8" t="s">
        <v>26</v>
      </c>
      <c r="R183" s="8" t="s">
        <v>44</v>
      </c>
      <c r="S183" s="8" t="s">
        <v>28</v>
      </c>
      <c r="T183" s="8">
        <f t="shared" si="2"/>
        <v>0</v>
      </c>
      <c r="U183" t="str" cm="1">
        <f t="array" ref="U183">_xlfn.IFNA(_xlfn.IFS(Table2[[#This Row],[DEFICIT /SURPLUS]]&lt;0,"Deficit",Table2[[#This Row],[DEFICIT /SURPLUS]]&gt;0,"surplus"),"-")</f>
        <v>-</v>
      </c>
    </row>
    <row r="184" spans="1:21" ht="14.5">
      <c r="A184" s="8" t="s">
        <v>186</v>
      </c>
      <c r="B184" s="9">
        <v>45569</v>
      </c>
      <c r="C184" s="8" t="s">
        <v>139</v>
      </c>
      <c r="D184" s="8" t="s">
        <v>53</v>
      </c>
      <c r="E184" s="8" t="s">
        <v>30</v>
      </c>
      <c r="F184" s="31">
        <f>_xlfn.XLOOKUP(Table2[[#This Row],[Shoe style]],val[SHOE STYLE],val[UNIT PRICE])</f>
        <v>9838</v>
      </c>
      <c r="H184" s="11">
        <v>1</v>
      </c>
      <c r="I184" s="6">
        <f>IF(Table2[[#This Row],[Discount]]&lt;(Table2[[#This Row],[UNIT PRICE]]*Table2[[#This Row],[Quantity sold]]),Table2[[#This Row],[UNIT PRICE]]*Table2[[#This Row],[Quantity sold]]-Table2[[#This Row],[Discount]],0)</f>
        <v>9838</v>
      </c>
      <c r="J184" s="10">
        <v>19450</v>
      </c>
      <c r="K184" s="2">
        <f>_xlfn.XLOOKUP(Table2[[#This Row],[Shoe style]],val[SHOE STYLE],val[COST PRICE])</f>
        <v>6687</v>
      </c>
      <c r="L184" s="2">
        <f>(Table2[[#This Row],[COST PRICE]]*Table2[[#This Row],[Quantity sold]])</f>
        <v>6687</v>
      </c>
      <c r="M184" s="2">
        <f>Table2[[#This Row],[TOTAL SALES]]-Table2[[#This Row],[TOTAL COST PRICE]]</f>
        <v>3151</v>
      </c>
      <c r="N184" s="2">
        <f>IF(Table2[[#This Row],[Amount Paid]]&gt;0,(SUMIF(Table2[Order ID],Table2[[#This Row],[Order ID]],Table2[Amount Paid])-SUMIF(Table2[Order ID],Table2[[#This Row],[Order ID]],Table2[TOTAL SALES])),0)</f>
        <v>9612</v>
      </c>
      <c r="O184" s="8">
        <v>41</v>
      </c>
      <c r="P184" s="8" t="s">
        <v>25</v>
      </c>
      <c r="Q184" s="8" t="s">
        <v>26</v>
      </c>
      <c r="R184" s="8" t="s">
        <v>44</v>
      </c>
      <c r="S184" s="8" t="s">
        <v>28</v>
      </c>
      <c r="T184" s="8">
        <f t="shared" si="2"/>
        <v>0</v>
      </c>
      <c r="U184" t="str" cm="1">
        <f t="array" ref="U184">_xlfn.IFNA(_xlfn.IFS(Table2[[#This Row],[DEFICIT /SURPLUS]]&lt;0,"Deficit",Table2[[#This Row],[DEFICIT /SURPLUS]]&gt;0,"surplus"),"-")</f>
        <v>surplus</v>
      </c>
    </row>
    <row r="185" spans="1:21" ht="14.5">
      <c r="A185" s="8" t="s">
        <v>187</v>
      </c>
      <c r="B185" s="9">
        <v>45569</v>
      </c>
      <c r="C185" s="8" t="s">
        <v>139</v>
      </c>
      <c r="D185" s="8" t="s">
        <v>49</v>
      </c>
      <c r="E185" s="8" t="s">
        <v>109</v>
      </c>
      <c r="F185" s="31">
        <f>_xlfn.XLOOKUP(Table2[[#This Row],[Shoe style]],val[SHOE STYLE],val[UNIT PRICE])</f>
        <v>20500</v>
      </c>
      <c r="H185" s="11">
        <v>1</v>
      </c>
      <c r="I185" s="6">
        <f>IF(Table2[[#This Row],[Discount]]&lt;(Table2[[#This Row],[UNIT PRICE]]*Table2[[#This Row],[Quantity sold]]),Table2[[#This Row],[UNIT PRICE]]*Table2[[#This Row],[Quantity sold]]-Table2[[#This Row],[Discount]],0)</f>
        <v>20500</v>
      </c>
      <c r="J185" s="10">
        <v>29000</v>
      </c>
      <c r="K185" s="2">
        <f>_xlfn.XLOOKUP(Table2[[#This Row],[Shoe style]],val[SHOE STYLE],val[COST PRICE])</f>
        <v>17339</v>
      </c>
      <c r="L185" s="2">
        <f>(Table2[[#This Row],[COST PRICE]]*Table2[[#This Row],[Quantity sold]])</f>
        <v>17339</v>
      </c>
      <c r="M185" s="2">
        <f>Table2[[#This Row],[TOTAL SALES]]-Table2[[#This Row],[TOTAL COST PRICE]]</f>
        <v>3161</v>
      </c>
      <c r="N185" s="2">
        <f>IF(Table2[[#This Row],[Amount Paid]]&gt;0,(SUMIF(Table2[Order ID],Table2[[#This Row],[Order ID]],Table2[Amount Paid])-SUMIF(Table2[Order ID],Table2[[#This Row],[Order ID]],Table2[TOTAL SALES])),0)</f>
        <v>-2507</v>
      </c>
      <c r="O185" s="8">
        <v>42</v>
      </c>
      <c r="P185" s="8" t="s">
        <v>25</v>
      </c>
      <c r="Q185" s="8" t="s">
        <v>26</v>
      </c>
      <c r="R185" s="8" t="s">
        <v>162</v>
      </c>
      <c r="S185" s="8" t="s">
        <v>28</v>
      </c>
      <c r="T185" s="8">
        <f t="shared" si="2"/>
        <v>0</v>
      </c>
      <c r="U185" t="str" cm="1">
        <f t="array" ref="U185">_xlfn.IFNA(_xlfn.IFS(Table2[[#This Row],[DEFICIT /SURPLUS]]&lt;0,"Deficit",Table2[[#This Row],[DEFICIT /SURPLUS]]&gt;0,"surplus"),"-")</f>
        <v>Deficit</v>
      </c>
    </row>
    <row r="186" spans="1:21" ht="14.5">
      <c r="A186" s="8" t="s">
        <v>187</v>
      </c>
      <c r="B186" s="9">
        <v>45569</v>
      </c>
      <c r="C186" s="8" t="s">
        <v>139</v>
      </c>
      <c r="D186" s="8" t="s">
        <v>51</v>
      </c>
      <c r="E186" s="8" t="s">
        <v>89</v>
      </c>
      <c r="F186" s="31">
        <f>_xlfn.XLOOKUP(Table2[[#This Row],[Shoe style]],val[SHOE STYLE],val[UNIT PRICE])</f>
        <v>11007</v>
      </c>
      <c r="H186" s="11">
        <v>1</v>
      </c>
      <c r="I186" s="6">
        <f>IF(Table2[[#This Row],[Discount]]&lt;(Table2[[#This Row],[UNIT PRICE]]*Table2[[#This Row],[Quantity sold]]),Table2[[#This Row],[UNIT PRICE]]*Table2[[#This Row],[Quantity sold]]-Table2[[#This Row],[Discount]],0)</f>
        <v>11007</v>
      </c>
      <c r="K186" s="2">
        <f>_xlfn.XLOOKUP(Table2[[#This Row],[Shoe style]],val[SHOE STYLE],val[COST PRICE])</f>
        <v>8327</v>
      </c>
      <c r="L186" s="2">
        <f>(Table2[[#This Row],[COST PRICE]]*Table2[[#This Row],[Quantity sold]])</f>
        <v>8327</v>
      </c>
      <c r="M186" s="2">
        <f>Table2[[#This Row],[TOTAL SALES]]-Table2[[#This Row],[TOTAL COST PRICE]]</f>
        <v>2680</v>
      </c>
      <c r="N186" s="2">
        <f>IF(Table2[[#This Row],[Amount Paid]]&gt;0,(SUMIF(Table2[Order ID],Table2[[#This Row],[Order ID]],Table2[Amount Paid])-SUMIF(Table2[Order ID],Table2[[#This Row],[Order ID]],Table2[TOTAL SALES])),0)</f>
        <v>0</v>
      </c>
      <c r="O186" s="8">
        <v>42</v>
      </c>
      <c r="P186" s="8" t="s">
        <v>25</v>
      </c>
      <c r="Q186" s="8" t="s">
        <v>26</v>
      </c>
      <c r="R186" s="8" t="s">
        <v>162</v>
      </c>
      <c r="S186" s="8" t="s">
        <v>28</v>
      </c>
      <c r="T186" s="8">
        <f t="shared" si="2"/>
        <v>0</v>
      </c>
      <c r="U186" t="str" cm="1">
        <f t="array" ref="U186">_xlfn.IFNA(_xlfn.IFS(Table2[[#This Row],[DEFICIT /SURPLUS]]&lt;0,"Deficit",Table2[[#This Row],[DEFICIT /SURPLUS]]&gt;0,"surplus"),"-")</f>
        <v>-</v>
      </c>
    </row>
    <row r="187" spans="1:21" ht="14.5">
      <c r="A187" s="8" t="s">
        <v>188</v>
      </c>
      <c r="B187" s="9">
        <v>45569</v>
      </c>
      <c r="C187" s="8" t="s">
        <v>22</v>
      </c>
      <c r="D187" s="8" t="s">
        <v>29</v>
      </c>
      <c r="E187" s="8" t="s">
        <v>109</v>
      </c>
      <c r="F187" s="31">
        <f>_xlfn.XLOOKUP(Table2[[#This Row],[Shoe style]],val[SHOE STYLE],val[UNIT PRICE])</f>
        <v>12395</v>
      </c>
      <c r="H187" s="11">
        <v>1</v>
      </c>
      <c r="I187" s="6">
        <f>IF(Table2[[#This Row],[Discount]]&lt;(Table2[[#This Row],[UNIT PRICE]]*Table2[[#This Row],[Quantity sold]]),Table2[[#This Row],[UNIT PRICE]]*Table2[[#This Row],[Quantity sold]]-Table2[[#This Row],[Discount]],0)</f>
        <v>12395</v>
      </c>
      <c r="J187" s="10">
        <v>18000</v>
      </c>
      <c r="K187" s="2">
        <f>_xlfn.XLOOKUP(Table2[[#This Row],[Shoe style]],val[SHOE STYLE],val[COST PRICE])</f>
        <v>7909</v>
      </c>
      <c r="L187" s="2">
        <f>(Table2[[#This Row],[COST PRICE]]*Table2[[#This Row],[Quantity sold]])</f>
        <v>7909</v>
      </c>
      <c r="M187" s="2">
        <f>Table2[[#This Row],[TOTAL SALES]]-Table2[[#This Row],[TOTAL COST PRICE]]</f>
        <v>4486</v>
      </c>
      <c r="N187" s="2">
        <f>IF(Table2[[#This Row],[Amount Paid]]&gt;0,(SUMIF(Table2[Order ID],Table2[[#This Row],[Order ID]],Table2[Amount Paid])-SUMIF(Table2[Order ID],Table2[[#This Row],[Order ID]],Table2[TOTAL SALES])),0)</f>
        <v>5605</v>
      </c>
      <c r="O187" s="8">
        <v>40</v>
      </c>
      <c r="P187" s="8" t="s">
        <v>25</v>
      </c>
      <c r="Q187" s="8" t="s">
        <v>26</v>
      </c>
      <c r="R187" s="8" t="s">
        <v>27</v>
      </c>
      <c r="S187" s="8" t="s">
        <v>28</v>
      </c>
      <c r="T187" s="8">
        <f t="shared" si="2"/>
        <v>0</v>
      </c>
      <c r="U187" t="str" cm="1">
        <f t="array" ref="U187">_xlfn.IFNA(_xlfn.IFS(Table2[[#This Row],[DEFICIT /SURPLUS]]&lt;0,"Deficit",Table2[[#This Row],[DEFICIT /SURPLUS]]&gt;0,"surplus"),"-")</f>
        <v>surplus</v>
      </c>
    </row>
    <row r="188" spans="1:21" ht="14.5">
      <c r="A188" s="8" t="s">
        <v>189</v>
      </c>
      <c r="B188" s="9">
        <v>45569</v>
      </c>
      <c r="C188" s="8" t="s">
        <v>22</v>
      </c>
      <c r="D188" s="8" t="s">
        <v>53</v>
      </c>
      <c r="E188" s="8" t="s">
        <v>30</v>
      </c>
      <c r="F188" s="31">
        <f>_xlfn.XLOOKUP(Table2[[#This Row],[Shoe style]],val[SHOE STYLE],val[UNIT PRICE])</f>
        <v>9838</v>
      </c>
      <c r="H188" s="11">
        <v>1</v>
      </c>
      <c r="I188" s="6">
        <f>IF(Table2[[#This Row],[Discount]]&lt;(Table2[[#This Row],[UNIT PRICE]]*Table2[[#This Row],[Quantity sold]]),Table2[[#This Row],[UNIT PRICE]]*Table2[[#This Row],[Quantity sold]]-Table2[[#This Row],[Discount]],0)</f>
        <v>9838</v>
      </c>
      <c r="J188" s="10">
        <v>17500</v>
      </c>
      <c r="K188" s="2">
        <f>_xlfn.XLOOKUP(Table2[[#This Row],[Shoe style]],val[SHOE STYLE],val[COST PRICE])</f>
        <v>6687</v>
      </c>
      <c r="L188" s="2">
        <f>(Table2[[#This Row],[COST PRICE]]*Table2[[#This Row],[Quantity sold]])</f>
        <v>6687</v>
      </c>
      <c r="M188" s="2">
        <f>Table2[[#This Row],[TOTAL SALES]]-Table2[[#This Row],[TOTAL COST PRICE]]</f>
        <v>3151</v>
      </c>
      <c r="N188" s="2">
        <f>IF(Table2[[#This Row],[Amount Paid]]&gt;0,(SUMIF(Table2[Order ID],Table2[[#This Row],[Order ID]],Table2[Amount Paid])-SUMIF(Table2[Order ID],Table2[[#This Row],[Order ID]],Table2[TOTAL SALES])),0)</f>
        <v>7662</v>
      </c>
      <c r="O188" s="8">
        <v>41</v>
      </c>
      <c r="P188" s="8" t="s">
        <v>25</v>
      </c>
      <c r="Q188" s="8" t="s">
        <v>26</v>
      </c>
      <c r="R188" s="8" t="s">
        <v>44</v>
      </c>
      <c r="S188" s="8" t="s">
        <v>28</v>
      </c>
      <c r="T188" s="8">
        <f t="shared" si="2"/>
        <v>0</v>
      </c>
      <c r="U188" t="str" cm="1">
        <f t="array" ref="U188">_xlfn.IFNA(_xlfn.IFS(Table2[[#This Row],[DEFICIT /SURPLUS]]&lt;0,"Deficit",Table2[[#This Row],[DEFICIT /SURPLUS]]&gt;0,"surplus"),"-")</f>
        <v>surplus</v>
      </c>
    </row>
    <row r="189" spans="1:21" ht="14.5">
      <c r="A189" s="8" t="s">
        <v>190</v>
      </c>
      <c r="B189" s="9">
        <v>45571</v>
      </c>
      <c r="C189" s="8" t="s">
        <v>22</v>
      </c>
      <c r="D189" s="8" t="s">
        <v>53</v>
      </c>
      <c r="E189" s="8" t="s">
        <v>87</v>
      </c>
      <c r="F189" s="31">
        <f>_xlfn.XLOOKUP(Table2[[#This Row],[Shoe style]],val[SHOE STYLE],val[UNIT PRICE])</f>
        <v>9838</v>
      </c>
      <c r="H189" s="11">
        <v>1</v>
      </c>
      <c r="I189" s="6">
        <f>IF(Table2[[#This Row],[Discount]]&lt;(Table2[[#This Row],[UNIT PRICE]]*Table2[[#This Row],[Quantity sold]]),Table2[[#This Row],[UNIT PRICE]]*Table2[[#This Row],[Quantity sold]]-Table2[[#This Row],[Discount]],0)</f>
        <v>9838</v>
      </c>
      <c r="J189" s="10">
        <v>28000</v>
      </c>
      <c r="K189" s="2">
        <f>_xlfn.XLOOKUP(Table2[[#This Row],[Shoe style]],val[SHOE STYLE],val[COST PRICE])</f>
        <v>6687</v>
      </c>
      <c r="L189" s="2">
        <f>(Table2[[#This Row],[COST PRICE]]*Table2[[#This Row],[Quantity sold]])</f>
        <v>6687</v>
      </c>
      <c r="M189" s="2">
        <f>Table2[[#This Row],[TOTAL SALES]]-Table2[[#This Row],[TOTAL COST PRICE]]</f>
        <v>3151</v>
      </c>
      <c r="N189" s="2">
        <f>IF(Table2[[#This Row],[Amount Paid]]&gt;0,(SUMIF(Table2[Order ID],Table2[[#This Row],[Order ID]],Table2[Amount Paid])-SUMIF(Table2[Order ID],Table2[[#This Row],[Order ID]],Table2[TOTAL SALES])),0)</f>
        <v>-2338</v>
      </c>
      <c r="O189" s="8">
        <v>39</v>
      </c>
      <c r="P189" s="8" t="s">
        <v>25</v>
      </c>
      <c r="Q189" s="8" t="s">
        <v>26</v>
      </c>
      <c r="R189" s="8" t="s">
        <v>44</v>
      </c>
      <c r="S189" s="8" t="s">
        <v>28</v>
      </c>
      <c r="T189" s="8">
        <f t="shared" si="2"/>
        <v>0</v>
      </c>
      <c r="U189" t="str" cm="1">
        <f t="array" ref="U189">_xlfn.IFNA(_xlfn.IFS(Table2[[#This Row],[DEFICIT /SURPLUS]]&lt;0,"Deficit",Table2[[#This Row],[DEFICIT /SURPLUS]]&gt;0,"surplus"),"-")</f>
        <v>Deficit</v>
      </c>
    </row>
    <row r="190" spans="1:21" ht="14.5">
      <c r="A190" s="8" t="s">
        <v>190</v>
      </c>
      <c r="B190" s="9">
        <v>45571</v>
      </c>
      <c r="C190" s="8" t="s">
        <v>22</v>
      </c>
      <c r="D190" s="8" t="s">
        <v>49</v>
      </c>
      <c r="E190" s="8" t="s">
        <v>43</v>
      </c>
      <c r="F190" s="31">
        <f>_xlfn.XLOOKUP(Table2[[#This Row],[Shoe style]],val[SHOE STYLE],val[UNIT PRICE])</f>
        <v>20500</v>
      </c>
      <c r="H190" s="11">
        <v>1</v>
      </c>
      <c r="I190" s="6">
        <f>IF(Table2[[#This Row],[Discount]]&lt;(Table2[[#This Row],[UNIT PRICE]]*Table2[[#This Row],[Quantity sold]]),Table2[[#This Row],[UNIT PRICE]]*Table2[[#This Row],[Quantity sold]]-Table2[[#This Row],[Discount]],0)</f>
        <v>20500</v>
      </c>
      <c r="K190" s="2">
        <f>_xlfn.XLOOKUP(Table2[[#This Row],[Shoe style]],val[SHOE STYLE],val[COST PRICE])</f>
        <v>17339</v>
      </c>
      <c r="L190" s="2">
        <f>(Table2[[#This Row],[COST PRICE]]*Table2[[#This Row],[Quantity sold]])</f>
        <v>17339</v>
      </c>
      <c r="M190" s="2">
        <f>Table2[[#This Row],[TOTAL SALES]]-Table2[[#This Row],[TOTAL COST PRICE]]</f>
        <v>3161</v>
      </c>
      <c r="N190" s="2">
        <f>IF(Table2[[#This Row],[Amount Paid]]&gt;0,(SUMIF(Table2[Order ID],Table2[[#This Row],[Order ID]],Table2[Amount Paid])-SUMIF(Table2[Order ID],Table2[[#This Row],[Order ID]],Table2[TOTAL SALES])),0)</f>
        <v>0</v>
      </c>
      <c r="O190" s="8">
        <v>39</v>
      </c>
      <c r="P190" s="8" t="s">
        <v>25</v>
      </c>
      <c r="Q190" s="8" t="s">
        <v>26</v>
      </c>
      <c r="R190" s="8" t="s">
        <v>44</v>
      </c>
      <c r="S190" s="8" t="s">
        <v>28</v>
      </c>
      <c r="T190" s="8">
        <f t="shared" ref="T190:T252" si="3">IF(S190="NO",1,0)</f>
        <v>0</v>
      </c>
      <c r="U190" t="str" cm="1">
        <f t="array" ref="U190">_xlfn.IFNA(_xlfn.IFS(Table2[[#This Row],[DEFICIT /SURPLUS]]&lt;0,"Deficit",Table2[[#This Row],[DEFICIT /SURPLUS]]&gt;0,"surplus"),"-")</f>
        <v>-</v>
      </c>
    </row>
    <row r="191" spans="1:21" ht="14.5">
      <c r="A191" s="8" t="s">
        <v>191</v>
      </c>
      <c r="B191" s="9">
        <v>45572</v>
      </c>
      <c r="C191" s="8" t="s">
        <v>22</v>
      </c>
      <c r="D191" s="8" t="s">
        <v>92</v>
      </c>
      <c r="E191" s="8" t="s">
        <v>50</v>
      </c>
      <c r="F191" s="31">
        <f>_xlfn.XLOOKUP(Table2[[#This Row],[Shoe style]],val[SHOE STYLE],val[UNIT PRICE])</f>
        <v>12107</v>
      </c>
      <c r="H191" s="11">
        <v>1</v>
      </c>
      <c r="I191" s="6">
        <f>IF(Table2[[#This Row],[Discount]]&lt;(Table2[[#This Row],[UNIT PRICE]]*Table2[[#This Row],[Quantity sold]]),Table2[[#This Row],[UNIT PRICE]]*Table2[[#This Row],[Quantity sold]]-Table2[[#This Row],[Discount]],0)</f>
        <v>12107</v>
      </c>
      <c r="J191" s="10">
        <v>43000</v>
      </c>
      <c r="K191" s="2">
        <f>_xlfn.XLOOKUP(Table2[[#This Row],[Shoe style]],val[SHOE STYLE],val[COST PRICE])</f>
        <v>9752</v>
      </c>
      <c r="L191" s="2">
        <f>(Table2[[#This Row],[COST PRICE]]*Table2[[#This Row],[Quantity sold]])</f>
        <v>9752</v>
      </c>
      <c r="M191" s="2">
        <f>Table2[[#This Row],[TOTAL SALES]]-Table2[[#This Row],[TOTAL COST PRICE]]</f>
        <v>2355</v>
      </c>
      <c r="N191" s="2">
        <f>IF(Table2[[#This Row],[Amount Paid]]&gt;0,(SUMIF(Table2[Order ID],Table2[[#This Row],[Order ID]],Table2[Amount Paid])-SUMIF(Table2[Order ID],Table2[[#This Row],[Order ID]],Table2[TOTAL SALES])),0)</f>
        <v>-4582</v>
      </c>
      <c r="O191" s="8">
        <v>40</v>
      </c>
      <c r="P191" s="8" t="s">
        <v>25</v>
      </c>
      <c r="Q191" s="8" t="s">
        <v>26</v>
      </c>
      <c r="R191" s="8" t="s">
        <v>44</v>
      </c>
      <c r="S191" s="8" t="s">
        <v>28</v>
      </c>
      <c r="T191" s="8">
        <f t="shared" si="3"/>
        <v>0</v>
      </c>
      <c r="U191" t="str" cm="1">
        <f t="array" ref="U191">_xlfn.IFNA(_xlfn.IFS(Table2[[#This Row],[DEFICIT /SURPLUS]]&lt;0,"Deficit",Table2[[#This Row],[DEFICIT /SURPLUS]]&gt;0,"surplus"),"-")</f>
        <v>Deficit</v>
      </c>
    </row>
    <row r="192" spans="1:21" ht="14.5">
      <c r="A192" s="8" t="s">
        <v>191</v>
      </c>
      <c r="B192" s="9">
        <v>45572</v>
      </c>
      <c r="C192" s="8" t="s">
        <v>22</v>
      </c>
      <c r="D192" s="8" t="s">
        <v>49</v>
      </c>
      <c r="E192" s="8" t="s">
        <v>43</v>
      </c>
      <c r="F192" s="31">
        <f>_xlfn.XLOOKUP(Table2[[#This Row],[Shoe style]],val[SHOE STYLE],val[UNIT PRICE])</f>
        <v>20500</v>
      </c>
      <c r="H192" s="11">
        <v>1</v>
      </c>
      <c r="I192" s="6">
        <f>IF(Table2[[#This Row],[Discount]]&lt;(Table2[[#This Row],[UNIT PRICE]]*Table2[[#This Row],[Quantity sold]]),Table2[[#This Row],[UNIT PRICE]]*Table2[[#This Row],[Quantity sold]]-Table2[[#This Row],[Discount]],0)</f>
        <v>20500</v>
      </c>
      <c r="K192" s="2">
        <f>_xlfn.XLOOKUP(Table2[[#This Row],[Shoe style]],val[SHOE STYLE],val[COST PRICE])</f>
        <v>17339</v>
      </c>
      <c r="L192" s="2">
        <f>(Table2[[#This Row],[COST PRICE]]*Table2[[#This Row],[Quantity sold]])</f>
        <v>17339</v>
      </c>
      <c r="M192" s="2">
        <f>Table2[[#This Row],[TOTAL SALES]]-Table2[[#This Row],[TOTAL COST PRICE]]</f>
        <v>3161</v>
      </c>
      <c r="N192" s="2">
        <f>IF(Table2[[#This Row],[Amount Paid]]&gt;0,(SUMIF(Table2[Order ID],Table2[[#This Row],[Order ID]],Table2[Amount Paid])-SUMIF(Table2[Order ID],Table2[[#This Row],[Order ID]],Table2[TOTAL SALES])),0)</f>
        <v>0</v>
      </c>
      <c r="O192" s="8">
        <v>40</v>
      </c>
      <c r="P192" s="8" t="s">
        <v>25</v>
      </c>
      <c r="Q192" s="8" t="s">
        <v>26</v>
      </c>
      <c r="R192" s="8" t="s">
        <v>44</v>
      </c>
      <c r="S192" s="8" t="s">
        <v>28</v>
      </c>
      <c r="T192" s="8">
        <f t="shared" si="3"/>
        <v>0</v>
      </c>
      <c r="U192" t="str" cm="1">
        <f t="array" ref="U192">_xlfn.IFNA(_xlfn.IFS(Table2[[#This Row],[DEFICIT /SURPLUS]]&lt;0,"Deficit",Table2[[#This Row],[DEFICIT /SURPLUS]]&gt;0,"surplus"),"-")</f>
        <v>-</v>
      </c>
    </row>
    <row r="193" spans="1:21" ht="14.5">
      <c r="A193" s="8" t="s">
        <v>191</v>
      </c>
      <c r="B193" s="9">
        <v>45572</v>
      </c>
      <c r="C193" s="8" t="s">
        <v>22</v>
      </c>
      <c r="D193" s="8" t="s">
        <v>23</v>
      </c>
      <c r="E193" s="8" t="s">
        <v>50</v>
      </c>
      <c r="F193" s="31">
        <f>_xlfn.XLOOKUP(Table2[[#This Row],[Shoe style]],val[SHOE STYLE],val[UNIT PRICE])</f>
        <v>14975</v>
      </c>
      <c r="H193" s="11">
        <v>1</v>
      </c>
      <c r="I193" s="6">
        <f>IF(Table2[[#This Row],[Discount]]&lt;(Table2[[#This Row],[UNIT PRICE]]*Table2[[#This Row],[Quantity sold]]),Table2[[#This Row],[UNIT PRICE]]*Table2[[#This Row],[Quantity sold]]-Table2[[#This Row],[Discount]],0)</f>
        <v>14975</v>
      </c>
      <c r="K193" s="2">
        <f>_xlfn.XLOOKUP(Table2[[#This Row],[Shoe style]],val[SHOE STYLE],val[COST PRICE])</f>
        <v>10813</v>
      </c>
      <c r="L193" s="2">
        <f>(Table2[[#This Row],[COST PRICE]]*Table2[[#This Row],[Quantity sold]])</f>
        <v>10813</v>
      </c>
      <c r="M193" s="2">
        <f>Table2[[#This Row],[TOTAL SALES]]-Table2[[#This Row],[TOTAL COST PRICE]]</f>
        <v>4162</v>
      </c>
      <c r="N193" s="2">
        <f>IF(Table2[[#This Row],[Amount Paid]]&gt;0,(SUMIF(Table2[Order ID],Table2[[#This Row],[Order ID]],Table2[Amount Paid])-SUMIF(Table2[Order ID],Table2[[#This Row],[Order ID]],Table2[TOTAL SALES])),0)</f>
        <v>0</v>
      </c>
      <c r="O193" s="8">
        <v>40</v>
      </c>
      <c r="P193" s="8" t="s">
        <v>25</v>
      </c>
      <c r="Q193" s="8" t="s">
        <v>26</v>
      </c>
      <c r="R193" s="8" t="s">
        <v>44</v>
      </c>
      <c r="S193" s="8" t="s">
        <v>28</v>
      </c>
      <c r="T193" s="8">
        <f t="shared" si="3"/>
        <v>0</v>
      </c>
      <c r="U193" t="str" cm="1">
        <f t="array" ref="U193">_xlfn.IFNA(_xlfn.IFS(Table2[[#This Row],[DEFICIT /SURPLUS]]&lt;0,"Deficit",Table2[[#This Row],[DEFICIT /SURPLUS]]&gt;0,"surplus"),"-")</f>
        <v>-</v>
      </c>
    </row>
    <row r="194" spans="1:21" ht="14.5">
      <c r="A194" s="8" t="s">
        <v>192</v>
      </c>
      <c r="B194" s="9">
        <v>45572</v>
      </c>
      <c r="C194" s="8" t="s">
        <v>112</v>
      </c>
      <c r="D194" s="8" t="s">
        <v>68</v>
      </c>
      <c r="E194" s="8" t="s">
        <v>61</v>
      </c>
      <c r="F194" s="31">
        <f>_xlfn.XLOOKUP(Table2[[#This Row],[Shoe style]],val[SHOE STYLE],val[UNIT PRICE])</f>
        <v>10509</v>
      </c>
      <c r="H194" s="11">
        <v>1</v>
      </c>
      <c r="I194" s="6">
        <f>IF(Table2[[#This Row],[Discount]]&lt;(Table2[[#This Row],[UNIT PRICE]]*Table2[[#This Row],[Quantity sold]]),Table2[[#This Row],[UNIT PRICE]]*Table2[[#This Row],[Quantity sold]]-Table2[[#This Row],[Discount]],0)</f>
        <v>10509</v>
      </c>
      <c r="J194" s="10">
        <v>36012</v>
      </c>
      <c r="K194" s="2">
        <f>_xlfn.XLOOKUP(Table2[[#This Row],[Shoe style]],val[SHOE STYLE],val[COST PRICE])</f>
        <v>7573</v>
      </c>
      <c r="L194" s="2">
        <f>(Table2[[#This Row],[COST PRICE]]*Table2[[#This Row],[Quantity sold]])</f>
        <v>7573</v>
      </c>
      <c r="M194" s="2">
        <f>Table2[[#This Row],[TOTAL SALES]]-Table2[[#This Row],[TOTAL COST PRICE]]</f>
        <v>2936</v>
      </c>
      <c r="N194" s="2">
        <f>IF(Table2[[#This Row],[Amount Paid]]&gt;0,(SUMIF(Table2[Order ID],Table2[[#This Row],[Order ID]],Table2[Amount Paid])-SUMIF(Table2[Order ID],Table2[[#This Row],[Order ID]],Table2[TOTAL SALES])),0)</f>
        <v>13108</v>
      </c>
      <c r="O194" s="8">
        <v>39</v>
      </c>
      <c r="P194" s="8" t="s">
        <v>25</v>
      </c>
      <c r="Q194" s="8" t="s">
        <v>26</v>
      </c>
      <c r="R194" s="8" t="s">
        <v>27</v>
      </c>
      <c r="S194" s="8" t="s">
        <v>28</v>
      </c>
      <c r="T194" s="8">
        <f t="shared" si="3"/>
        <v>0</v>
      </c>
      <c r="U194" t="str" cm="1">
        <f t="array" ref="U194">_xlfn.IFNA(_xlfn.IFS(Table2[[#This Row],[DEFICIT /SURPLUS]]&lt;0,"Deficit",Table2[[#This Row],[DEFICIT /SURPLUS]]&gt;0,"surplus"),"-")</f>
        <v>surplus</v>
      </c>
    </row>
    <row r="195" spans="1:21" ht="14.5">
      <c r="A195" s="8" t="s">
        <v>192</v>
      </c>
      <c r="B195" s="9">
        <v>45572</v>
      </c>
      <c r="C195" s="8" t="s">
        <v>112</v>
      </c>
      <c r="D195" s="8" t="s">
        <v>29</v>
      </c>
      <c r="E195" s="8" t="s">
        <v>24</v>
      </c>
      <c r="F195" s="31">
        <f>_xlfn.XLOOKUP(Table2[[#This Row],[Shoe style]],val[SHOE STYLE],val[UNIT PRICE])</f>
        <v>12395</v>
      </c>
      <c r="H195" s="11">
        <v>1</v>
      </c>
      <c r="I195" s="6">
        <f>IF(Table2[[#This Row],[Discount]]&lt;(Table2[[#This Row],[UNIT PRICE]]*Table2[[#This Row],[Quantity sold]]),Table2[[#This Row],[UNIT PRICE]]*Table2[[#This Row],[Quantity sold]]-Table2[[#This Row],[Discount]],0)</f>
        <v>12395</v>
      </c>
      <c r="K195" s="2">
        <f>_xlfn.XLOOKUP(Table2[[#This Row],[Shoe style]],val[SHOE STYLE],val[COST PRICE])</f>
        <v>7909</v>
      </c>
      <c r="L195" s="2">
        <f>(Table2[[#This Row],[COST PRICE]]*Table2[[#This Row],[Quantity sold]])</f>
        <v>7909</v>
      </c>
      <c r="M195" s="2">
        <f>Table2[[#This Row],[TOTAL SALES]]-Table2[[#This Row],[TOTAL COST PRICE]]</f>
        <v>4486</v>
      </c>
      <c r="N195" s="2">
        <f>IF(Table2[[#This Row],[Amount Paid]]&gt;0,(SUMIF(Table2[Order ID],Table2[[#This Row],[Order ID]],Table2[Amount Paid])-SUMIF(Table2[Order ID],Table2[[#This Row],[Order ID]],Table2[TOTAL SALES])),0)</f>
        <v>0</v>
      </c>
      <c r="O195" s="8">
        <v>39</v>
      </c>
      <c r="P195" s="8" t="s">
        <v>25</v>
      </c>
      <c r="Q195" s="8" t="s">
        <v>26</v>
      </c>
      <c r="R195" s="8" t="s">
        <v>27</v>
      </c>
      <c r="S195" s="8" t="s">
        <v>28</v>
      </c>
      <c r="T195" s="8">
        <f t="shared" si="3"/>
        <v>0</v>
      </c>
      <c r="U195" t="str" cm="1">
        <f t="array" ref="U195">_xlfn.IFNA(_xlfn.IFS(Table2[[#This Row],[DEFICIT /SURPLUS]]&lt;0,"Deficit",Table2[[#This Row],[DEFICIT /SURPLUS]]&gt;0,"surplus"),"-")</f>
        <v>-</v>
      </c>
    </row>
    <row r="196" spans="1:21" ht="14.5">
      <c r="A196" s="8" t="s">
        <v>193</v>
      </c>
      <c r="B196" s="9">
        <v>45572</v>
      </c>
      <c r="C196" s="8" t="s">
        <v>22</v>
      </c>
      <c r="D196" s="8" t="s">
        <v>29</v>
      </c>
      <c r="E196" s="8" t="s">
        <v>78</v>
      </c>
      <c r="F196" s="31">
        <f>_xlfn.XLOOKUP(Table2[[#This Row],[Shoe style]],val[SHOE STYLE],val[UNIT PRICE])</f>
        <v>12395</v>
      </c>
      <c r="H196" s="11">
        <v>1</v>
      </c>
      <c r="I196" s="6">
        <f>IF(Table2[[#This Row],[Discount]]&lt;(Table2[[#This Row],[UNIT PRICE]]*Table2[[#This Row],[Quantity sold]]),Table2[[#This Row],[UNIT PRICE]]*Table2[[#This Row],[Quantity sold]]-Table2[[#This Row],[Discount]],0)</f>
        <v>12395</v>
      </c>
      <c r="J196" s="10">
        <v>33137.5</v>
      </c>
      <c r="K196" s="2">
        <f>_xlfn.XLOOKUP(Table2[[#This Row],[Shoe style]],val[SHOE STYLE],val[COST PRICE])</f>
        <v>7909</v>
      </c>
      <c r="L196" s="2">
        <f>(Table2[[#This Row],[COST PRICE]]*Table2[[#This Row],[Quantity sold]])</f>
        <v>7909</v>
      </c>
      <c r="M196" s="2">
        <f>Table2[[#This Row],[TOTAL SALES]]-Table2[[#This Row],[TOTAL COST PRICE]]</f>
        <v>4486</v>
      </c>
      <c r="N196" s="2">
        <f>IF(Table2[[#This Row],[Amount Paid]]&gt;0,(SUMIF(Table2[Order ID],Table2[[#This Row],[Order ID]],Table2[Amount Paid])-SUMIF(Table2[Order ID],Table2[[#This Row],[Order ID]],Table2[TOTAL SALES])),0)</f>
        <v>8347.5</v>
      </c>
      <c r="O196" s="8">
        <v>39</v>
      </c>
      <c r="P196" s="8" t="s">
        <v>25</v>
      </c>
      <c r="Q196" s="8" t="s">
        <v>26</v>
      </c>
      <c r="R196" s="8" t="s">
        <v>27</v>
      </c>
      <c r="S196" s="8" t="s">
        <v>28</v>
      </c>
      <c r="T196" s="8">
        <f t="shared" si="3"/>
        <v>0</v>
      </c>
      <c r="U196" t="str" cm="1">
        <f t="array" ref="U196">_xlfn.IFNA(_xlfn.IFS(Table2[[#This Row],[DEFICIT /SURPLUS]]&lt;0,"Deficit",Table2[[#This Row],[DEFICIT /SURPLUS]]&gt;0,"surplus"),"-")</f>
        <v>surplus</v>
      </c>
    </row>
    <row r="197" spans="1:21" ht="14.5">
      <c r="A197" s="8" t="s">
        <v>193</v>
      </c>
      <c r="B197" s="9">
        <v>45572</v>
      </c>
      <c r="C197" s="8" t="s">
        <v>22</v>
      </c>
      <c r="D197" s="8" t="s">
        <v>29</v>
      </c>
      <c r="E197" s="8" t="s">
        <v>78</v>
      </c>
      <c r="F197" s="31">
        <f>_xlfn.XLOOKUP(Table2[[#This Row],[Shoe style]],val[SHOE STYLE],val[UNIT PRICE])</f>
        <v>12395</v>
      </c>
      <c r="H197" s="11">
        <v>1</v>
      </c>
      <c r="I197" s="6">
        <f>IF(Table2[[#This Row],[Discount]]&lt;(Table2[[#This Row],[UNIT PRICE]]*Table2[[#This Row],[Quantity sold]]),Table2[[#This Row],[UNIT PRICE]]*Table2[[#This Row],[Quantity sold]]-Table2[[#This Row],[Discount]],0)</f>
        <v>12395</v>
      </c>
      <c r="K197" s="2">
        <f>_xlfn.XLOOKUP(Table2[[#This Row],[Shoe style]],val[SHOE STYLE],val[COST PRICE])</f>
        <v>7909</v>
      </c>
      <c r="L197" s="2">
        <f>(Table2[[#This Row],[COST PRICE]]*Table2[[#This Row],[Quantity sold]])</f>
        <v>7909</v>
      </c>
      <c r="M197" s="2">
        <f>Table2[[#This Row],[TOTAL SALES]]-Table2[[#This Row],[TOTAL COST PRICE]]</f>
        <v>4486</v>
      </c>
      <c r="N197" s="2">
        <f>IF(Table2[[#This Row],[Amount Paid]]&gt;0,(SUMIF(Table2[Order ID],Table2[[#This Row],[Order ID]],Table2[Amount Paid])-SUMIF(Table2[Order ID],Table2[[#This Row],[Order ID]],Table2[TOTAL SALES])),0)</f>
        <v>0</v>
      </c>
      <c r="O197" s="8">
        <v>39</v>
      </c>
      <c r="P197" s="8" t="s">
        <v>25</v>
      </c>
      <c r="Q197" s="8" t="s">
        <v>26</v>
      </c>
      <c r="R197" s="8" t="s">
        <v>27</v>
      </c>
      <c r="S197" s="8" t="s">
        <v>28</v>
      </c>
      <c r="T197" s="8">
        <f t="shared" si="3"/>
        <v>0</v>
      </c>
      <c r="U197" t="str" cm="1">
        <f t="array" ref="U197">_xlfn.IFNA(_xlfn.IFS(Table2[[#This Row],[DEFICIT /SURPLUS]]&lt;0,"Deficit",Table2[[#This Row],[DEFICIT /SURPLUS]]&gt;0,"surplus"),"-")</f>
        <v>-</v>
      </c>
    </row>
    <row r="198" spans="1:21" ht="14.5">
      <c r="A198" s="8" t="s">
        <v>194</v>
      </c>
      <c r="B198" s="9">
        <v>45572</v>
      </c>
      <c r="C198" s="8" t="s">
        <v>115</v>
      </c>
      <c r="D198" s="8" t="s">
        <v>140</v>
      </c>
      <c r="E198" s="8" t="s">
        <v>78</v>
      </c>
      <c r="F198" s="31">
        <f>_xlfn.XLOOKUP(Table2[[#This Row],[Shoe style]],val[SHOE STYLE],val[UNIT PRICE])</f>
        <v>22517</v>
      </c>
      <c r="H198" s="11">
        <v>1</v>
      </c>
      <c r="I198" s="6">
        <f>IF(Table2[[#This Row],[Discount]]&lt;(Table2[[#This Row],[UNIT PRICE]]*Table2[[#This Row],[Quantity sold]]),Table2[[#This Row],[UNIT PRICE]]*Table2[[#This Row],[Quantity sold]]-Table2[[#This Row],[Discount]],0)</f>
        <v>22517</v>
      </c>
      <c r="J198" s="10">
        <v>28000</v>
      </c>
      <c r="K198" s="2">
        <f>_xlfn.XLOOKUP(Table2[[#This Row],[Shoe style]],val[SHOE STYLE],val[COST PRICE])</f>
        <v>18931</v>
      </c>
      <c r="L198" s="2">
        <f>(Table2[[#This Row],[COST PRICE]]*Table2[[#This Row],[Quantity sold]])</f>
        <v>18931</v>
      </c>
      <c r="M198" s="2">
        <f>Table2[[#This Row],[TOTAL SALES]]-Table2[[#This Row],[TOTAL COST PRICE]]</f>
        <v>3586</v>
      </c>
      <c r="N198" s="2">
        <f>IF(Table2[[#This Row],[Amount Paid]]&gt;0,(SUMIF(Table2[Order ID],Table2[[#This Row],[Order ID]],Table2[Amount Paid])-SUMIF(Table2[Order ID],Table2[[#This Row],[Order ID]],Table2[TOTAL SALES])),0)</f>
        <v>5483</v>
      </c>
      <c r="O198" s="8">
        <v>44</v>
      </c>
      <c r="P198" s="8" t="s">
        <v>25</v>
      </c>
      <c r="Q198" s="8" t="s">
        <v>195</v>
      </c>
      <c r="R198" s="8" t="s">
        <v>44</v>
      </c>
      <c r="S198" s="8" t="s">
        <v>28</v>
      </c>
      <c r="T198" s="8">
        <f t="shared" si="3"/>
        <v>0</v>
      </c>
      <c r="U198" t="str" cm="1">
        <f t="array" ref="U198">_xlfn.IFNA(_xlfn.IFS(Table2[[#This Row],[DEFICIT /SURPLUS]]&lt;0,"Deficit",Table2[[#This Row],[DEFICIT /SURPLUS]]&gt;0,"surplus"),"-")</f>
        <v>surplus</v>
      </c>
    </row>
    <row r="199" spans="1:21" ht="14.5">
      <c r="A199" s="8" t="s">
        <v>196</v>
      </c>
      <c r="B199" s="9">
        <v>45572</v>
      </c>
      <c r="C199" s="8" t="s">
        <v>22</v>
      </c>
      <c r="D199" s="8" t="s">
        <v>51</v>
      </c>
      <c r="E199" s="8" t="s">
        <v>63</v>
      </c>
      <c r="F199" s="31">
        <f>_xlfn.XLOOKUP(Table2[[#This Row],[Shoe style]],val[SHOE STYLE],val[UNIT PRICE])</f>
        <v>11007</v>
      </c>
      <c r="H199" s="11">
        <v>1</v>
      </c>
      <c r="I199" s="6">
        <f>IF(Table2[[#This Row],[Discount]]&lt;(Table2[[#This Row],[UNIT PRICE]]*Table2[[#This Row],[Quantity sold]]),Table2[[#This Row],[UNIT PRICE]]*Table2[[#This Row],[Quantity sold]]-Table2[[#This Row],[Discount]],0)</f>
        <v>11007</v>
      </c>
      <c r="J199" s="10">
        <v>17000</v>
      </c>
      <c r="K199" s="2">
        <f>_xlfn.XLOOKUP(Table2[[#This Row],[Shoe style]],val[SHOE STYLE],val[COST PRICE])</f>
        <v>8327</v>
      </c>
      <c r="L199" s="2">
        <f>(Table2[[#This Row],[COST PRICE]]*Table2[[#This Row],[Quantity sold]])</f>
        <v>8327</v>
      </c>
      <c r="M199" s="2">
        <f>Table2[[#This Row],[TOTAL SALES]]-Table2[[#This Row],[TOTAL COST PRICE]]</f>
        <v>2680</v>
      </c>
      <c r="N199" s="2">
        <f>IF(Table2[[#This Row],[Amount Paid]]&gt;0,(SUMIF(Table2[Order ID],Table2[[#This Row],[Order ID]],Table2[Amount Paid])-SUMIF(Table2[Order ID],Table2[[#This Row],[Order ID]],Table2[TOTAL SALES])),0)</f>
        <v>5993</v>
      </c>
      <c r="O199" s="8">
        <v>41</v>
      </c>
      <c r="P199" s="8" t="s">
        <v>25</v>
      </c>
      <c r="Q199" s="8" t="s">
        <v>26</v>
      </c>
      <c r="R199" s="8" t="s">
        <v>44</v>
      </c>
      <c r="S199" s="8" t="s">
        <v>28</v>
      </c>
      <c r="T199" s="8">
        <f t="shared" si="3"/>
        <v>0</v>
      </c>
      <c r="U199" t="str" cm="1">
        <f t="array" ref="U199">_xlfn.IFNA(_xlfn.IFS(Table2[[#This Row],[DEFICIT /SURPLUS]]&lt;0,"Deficit",Table2[[#This Row],[DEFICIT /SURPLUS]]&gt;0,"surplus"),"-")</f>
        <v>surplus</v>
      </c>
    </row>
    <row r="200" spans="1:21" ht="14.5">
      <c r="A200" s="8" t="s">
        <v>197</v>
      </c>
      <c r="B200" s="9">
        <v>45572</v>
      </c>
      <c r="C200" s="8" t="s">
        <v>22</v>
      </c>
      <c r="D200" s="8" t="s">
        <v>37</v>
      </c>
      <c r="E200" s="8" t="s">
        <v>24</v>
      </c>
      <c r="F200" s="31">
        <f>_xlfn.XLOOKUP(Table2[[#This Row],[Shoe style]],val[SHOE STYLE],val[UNIT PRICE])</f>
        <v>22728</v>
      </c>
      <c r="H200" s="11">
        <v>1</v>
      </c>
      <c r="I200" s="6">
        <f>IF(Table2[[#This Row],[Discount]]&lt;(Table2[[#This Row],[UNIT PRICE]]*Table2[[#This Row],[Quantity sold]]),Table2[[#This Row],[UNIT PRICE]]*Table2[[#This Row],[Quantity sold]]-Table2[[#This Row],[Discount]],0)</f>
        <v>22728</v>
      </c>
      <c r="J200" s="10">
        <v>14500</v>
      </c>
      <c r="K200" s="2">
        <f>_xlfn.XLOOKUP(Table2[[#This Row],[Shoe style]],val[SHOE STYLE],val[COST PRICE])</f>
        <v>20451</v>
      </c>
      <c r="L200" s="2">
        <f>(Table2[[#This Row],[COST PRICE]]*Table2[[#This Row],[Quantity sold]])</f>
        <v>20451</v>
      </c>
      <c r="M200" s="2">
        <f>Table2[[#This Row],[TOTAL SALES]]-Table2[[#This Row],[TOTAL COST PRICE]]</f>
        <v>2277</v>
      </c>
      <c r="N200" s="2">
        <f>IF(Table2[[#This Row],[Amount Paid]]&gt;0,(SUMIF(Table2[Order ID],Table2[[#This Row],[Order ID]],Table2[Amount Paid])-SUMIF(Table2[Order ID],Table2[[#This Row],[Order ID]],Table2[TOTAL SALES])),0)</f>
        <v>-8228</v>
      </c>
      <c r="O200" s="8">
        <v>39</v>
      </c>
      <c r="P200" s="8" t="s">
        <v>25</v>
      </c>
      <c r="Q200" s="8" t="s">
        <v>195</v>
      </c>
      <c r="R200" s="8" t="s">
        <v>44</v>
      </c>
      <c r="S200" s="8" t="s">
        <v>28</v>
      </c>
      <c r="T200" s="8">
        <f t="shared" si="3"/>
        <v>0</v>
      </c>
      <c r="U200" t="str" cm="1">
        <f t="array" ref="U200">_xlfn.IFNA(_xlfn.IFS(Table2[[#This Row],[DEFICIT /SURPLUS]]&lt;0,"Deficit",Table2[[#This Row],[DEFICIT /SURPLUS]]&gt;0,"surplus"),"-")</f>
        <v>Deficit</v>
      </c>
    </row>
    <row r="201" spans="1:21" ht="14.5">
      <c r="A201" s="8" t="s">
        <v>198</v>
      </c>
      <c r="B201" s="9">
        <v>45572</v>
      </c>
      <c r="C201" s="8" t="s">
        <v>22</v>
      </c>
      <c r="D201" s="8" t="s">
        <v>49</v>
      </c>
      <c r="E201" s="8" t="s">
        <v>87</v>
      </c>
      <c r="F201" s="31">
        <f>_xlfn.XLOOKUP(Table2[[#This Row],[Shoe style]],val[SHOE STYLE],val[UNIT PRICE])</f>
        <v>20500</v>
      </c>
      <c r="H201" s="11">
        <v>1</v>
      </c>
      <c r="I201" s="6">
        <f>IF(Table2[[#This Row],[Discount]]&lt;(Table2[[#This Row],[UNIT PRICE]]*Table2[[#This Row],[Quantity sold]]),Table2[[#This Row],[UNIT PRICE]]*Table2[[#This Row],[Quantity sold]]-Table2[[#This Row],[Discount]],0)</f>
        <v>20500</v>
      </c>
      <c r="J201" s="10">
        <v>40000</v>
      </c>
      <c r="K201" s="2">
        <f>_xlfn.XLOOKUP(Table2[[#This Row],[Shoe style]],val[SHOE STYLE],val[COST PRICE])</f>
        <v>17339</v>
      </c>
      <c r="L201" s="2">
        <f>(Table2[[#This Row],[COST PRICE]]*Table2[[#This Row],[Quantity sold]])</f>
        <v>17339</v>
      </c>
      <c r="M201" s="2">
        <f>Table2[[#This Row],[TOTAL SALES]]-Table2[[#This Row],[TOTAL COST PRICE]]</f>
        <v>3161</v>
      </c>
      <c r="N201" s="2">
        <f>IF(Table2[[#This Row],[Amount Paid]]&gt;0,(SUMIF(Table2[Order ID],Table2[[#This Row],[Order ID]],Table2[Amount Paid])-SUMIF(Table2[Order ID],Table2[[#This Row],[Order ID]],Table2[TOTAL SALES])),0)</f>
        <v>-2733</v>
      </c>
      <c r="O201" s="8">
        <v>38</v>
      </c>
      <c r="P201" s="8" t="s">
        <v>25</v>
      </c>
      <c r="Q201" s="8" t="s">
        <v>26</v>
      </c>
      <c r="R201" s="8" t="s">
        <v>27</v>
      </c>
      <c r="S201" s="8" t="s">
        <v>28</v>
      </c>
      <c r="T201" s="8">
        <f t="shared" si="3"/>
        <v>0</v>
      </c>
      <c r="U201" t="str" cm="1">
        <f t="array" ref="U201">_xlfn.IFNA(_xlfn.IFS(Table2[[#This Row],[DEFICIT /SURPLUS]]&lt;0,"Deficit",Table2[[#This Row],[DEFICIT /SURPLUS]]&gt;0,"surplus"),"-")</f>
        <v>Deficit</v>
      </c>
    </row>
    <row r="202" spans="1:21" ht="14.5">
      <c r="A202" s="8" t="s">
        <v>198</v>
      </c>
      <c r="B202" s="9">
        <v>45572</v>
      </c>
      <c r="C202" s="8" t="s">
        <v>22</v>
      </c>
      <c r="D202" s="8" t="s">
        <v>53</v>
      </c>
      <c r="E202" s="8" t="s">
        <v>103</v>
      </c>
      <c r="F202" s="31">
        <f>_xlfn.XLOOKUP(Table2[[#This Row],[Shoe style]],val[SHOE STYLE],val[UNIT PRICE])</f>
        <v>9838</v>
      </c>
      <c r="H202" s="11">
        <v>1</v>
      </c>
      <c r="I202" s="6">
        <f>IF(Table2[[#This Row],[Discount]]&lt;(Table2[[#This Row],[UNIT PRICE]]*Table2[[#This Row],[Quantity sold]]),Table2[[#This Row],[UNIT PRICE]]*Table2[[#This Row],[Quantity sold]]-Table2[[#This Row],[Discount]],0)</f>
        <v>9838</v>
      </c>
      <c r="K202" s="2">
        <f>_xlfn.XLOOKUP(Table2[[#This Row],[Shoe style]],val[SHOE STYLE],val[COST PRICE])</f>
        <v>6687</v>
      </c>
      <c r="L202" s="2">
        <f>(Table2[[#This Row],[COST PRICE]]*Table2[[#This Row],[Quantity sold]])</f>
        <v>6687</v>
      </c>
      <c r="M202" s="2">
        <f>Table2[[#This Row],[TOTAL SALES]]-Table2[[#This Row],[TOTAL COST PRICE]]</f>
        <v>3151</v>
      </c>
      <c r="N202" s="2">
        <f>IF(Table2[[#This Row],[Amount Paid]]&gt;0,(SUMIF(Table2[Order ID],Table2[[#This Row],[Order ID]],Table2[Amount Paid])-SUMIF(Table2[Order ID],Table2[[#This Row],[Order ID]],Table2[TOTAL SALES])),0)</f>
        <v>0</v>
      </c>
      <c r="O202" s="8">
        <v>38</v>
      </c>
      <c r="P202" s="8" t="s">
        <v>25</v>
      </c>
      <c r="Q202" s="8" t="s">
        <v>26</v>
      </c>
      <c r="R202" s="8" t="s">
        <v>27</v>
      </c>
      <c r="S202" s="8" t="s">
        <v>28</v>
      </c>
      <c r="T202" s="8">
        <f t="shared" si="3"/>
        <v>0</v>
      </c>
      <c r="U202" t="str" cm="1">
        <f t="array" ref="U202">_xlfn.IFNA(_xlfn.IFS(Table2[[#This Row],[DEFICIT /SURPLUS]]&lt;0,"Deficit",Table2[[#This Row],[DEFICIT /SURPLUS]]&gt;0,"surplus"),"-")</f>
        <v>-</v>
      </c>
    </row>
    <row r="203" spans="1:21" ht="14.5">
      <c r="A203" s="8" t="s">
        <v>198</v>
      </c>
      <c r="B203" s="9">
        <v>45572</v>
      </c>
      <c r="C203" s="8" t="s">
        <v>22</v>
      </c>
      <c r="D203" s="8" t="s">
        <v>29</v>
      </c>
      <c r="E203" s="8" t="s">
        <v>199</v>
      </c>
      <c r="F203" s="31">
        <f>_xlfn.XLOOKUP(Table2[[#This Row],[Shoe style]],val[SHOE STYLE],val[UNIT PRICE])</f>
        <v>12395</v>
      </c>
      <c r="H203" s="11">
        <v>1</v>
      </c>
      <c r="I203" s="6">
        <f>IF(Table2[[#This Row],[Discount]]&lt;(Table2[[#This Row],[UNIT PRICE]]*Table2[[#This Row],[Quantity sold]]),Table2[[#This Row],[UNIT PRICE]]*Table2[[#This Row],[Quantity sold]]-Table2[[#This Row],[Discount]],0)</f>
        <v>12395</v>
      </c>
      <c r="K203" s="2">
        <f>_xlfn.XLOOKUP(Table2[[#This Row],[Shoe style]],val[SHOE STYLE],val[COST PRICE])</f>
        <v>7909</v>
      </c>
      <c r="L203" s="2">
        <f>(Table2[[#This Row],[COST PRICE]]*Table2[[#This Row],[Quantity sold]])</f>
        <v>7909</v>
      </c>
      <c r="M203" s="2">
        <f>Table2[[#This Row],[TOTAL SALES]]-Table2[[#This Row],[TOTAL COST PRICE]]</f>
        <v>4486</v>
      </c>
      <c r="N203" s="2">
        <f>IF(Table2[[#This Row],[Amount Paid]]&gt;0,(SUMIF(Table2[Order ID],Table2[[#This Row],[Order ID]],Table2[Amount Paid])-SUMIF(Table2[Order ID],Table2[[#This Row],[Order ID]],Table2[TOTAL SALES])),0)</f>
        <v>0</v>
      </c>
      <c r="O203" s="8">
        <v>38</v>
      </c>
      <c r="P203" s="8" t="s">
        <v>25</v>
      </c>
      <c r="Q203" s="8" t="s">
        <v>26</v>
      </c>
      <c r="R203" s="8" t="s">
        <v>27</v>
      </c>
      <c r="S203" s="8" t="s">
        <v>28</v>
      </c>
      <c r="T203" s="8">
        <f t="shared" si="3"/>
        <v>0</v>
      </c>
      <c r="U203" t="str" cm="1">
        <f t="array" ref="U203">_xlfn.IFNA(_xlfn.IFS(Table2[[#This Row],[DEFICIT /SURPLUS]]&lt;0,"Deficit",Table2[[#This Row],[DEFICIT /SURPLUS]]&gt;0,"surplus"),"-")</f>
        <v>-</v>
      </c>
    </row>
    <row r="204" spans="1:21" ht="14.5">
      <c r="A204" s="8" t="s">
        <v>200</v>
      </c>
      <c r="B204" s="9">
        <v>45581</v>
      </c>
      <c r="C204" s="8" t="s">
        <v>22</v>
      </c>
      <c r="D204" s="8" t="s">
        <v>37</v>
      </c>
      <c r="E204" s="8" t="s">
        <v>109</v>
      </c>
      <c r="F204" s="31">
        <f>_xlfn.XLOOKUP(Table2[[#This Row],[Shoe style]],val[SHOE STYLE],val[UNIT PRICE])</f>
        <v>22728</v>
      </c>
      <c r="H204" s="11">
        <v>1</v>
      </c>
      <c r="I204" s="6">
        <f>IF(Table2[[#This Row],[Discount]]&lt;(Table2[[#This Row],[UNIT PRICE]]*Table2[[#This Row],[Quantity sold]]),Table2[[#This Row],[UNIT PRICE]]*Table2[[#This Row],[Quantity sold]]-Table2[[#This Row],[Discount]],0)</f>
        <v>22728</v>
      </c>
      <c r="J204" s="10">
        <v>17500</v>
      </c>
      <c r="K204" s="2">
        <f>_xlfn.XLOOKUP(Table2[[#This Row],[Shoe style]],val[SHOE STYLE],val[COST PRICE])</f>
        <v>20451</v>
      </c>
      <c r="L204" s="2">
        <f>(Table2[[#This Row],[COST PRICE]]*Table2[[#This Row],[Quantity sold]])</f>
        <v>20451</v>
      </c>
      <c r="M204" s="2">
        <f>Table2[[#This Row],[TOTAL SALES]]-Table2[[#This Row],[TOTAL COST PRICE]]</f>
        <v>2277</v>
      </c>
      <c r="N204" s="2">
        <f>IF(Table2[[#This Row],[Amount Paid]]&gt;0,(SUMIF(Table2[Order ID],Table2[[#This Row],[Order ID]],Table2[Amount Paid])-SUMIF(Table2[Order ID],Table2[[#This Row],[Order ID]],Table2[TOTAL SALES])),0)</f>
        <v>-5228</v>
      </c>
      <c r="O204" s="8">
        <v>40</v>
      </c>
      <c r="P204" s="8" t="s">
        <v>25</v>
      </c>
      <c r="Q204" s="8" t="s">
        <v>26</v>
      </c>
      <c r="R204" s="8" t="s">
        <v>27</v>
      </c>
      <c r="S204" s="8" t="s">
        <v>28</v>
      </c>
      <c r="T204" s="8">
        <f t="shared" si="3"/>
        <v>0</v>
      </c>
      <c r="U204" t="str" cm="1">
        <f t="array" ref="U204">_xlfn.IFNA(_xlfn.IFS(Table2[[#This Row],[DEFICIT /SURPLUS]]&lt;0,"Deficit",Table2[[#This Row],[DEFICIT /SURPLUS]]&gt;0,"surplus"),"-")</f>
        <v>Deficit</v>
      </c>
    </row>
    <row r="205" spans="1:21" ht="14.5">
      <c r="A205" s="8" t="s">
        <v>201</v>
      </c>
      <c r="B205" s="9">
        <v>45573</v>
      </c>
      <c r="C205" s="8" t="s">
        <v>22</v>
      </c>
      <c r="D205" s="8" t="s">
        <v>49</v>
      </c>
      <c r="E205" s="8" t="s">
        <v>33</v>
      </c>
      <c r="F205" s="31">
        <f>_xlfn.XLOOKUP(Table2[[#This Row],[Shoe style]],val[SHOE STYLE],val[UNIT PRICE])</f>
        <v>20500</v>
      </c>
      <c r="H205" s="11">
        <v>1</v>
      </c>
      <c r="I205" s="6">
        <f>IF(Table2[[#This Row],[Discount]]&lt;(Table2[[#This Row],[UNIT PRICE]]*Table2[[#This Row],[Quantity sold]]),Table2[[#This Row],[UNIT PRICE]]*Table2[[#This Row],[Quantity sold]]-Table2[[#This Row],[Discount]],0)</f>
        <v>20500</v>
      </c>
      <c r="J205" s="10">
        <v>19000</v>
      </c>
      <c r="K205" s="2">
        <f>_xlfn.XLOOKUP(Table2[[#This Row],[Shoe style]],val[SHOE STYLE],val[COST PRICE])</f>
        <v>17339</v>
      </c>
      <c r="L205" s="2">
        <f>(Table2[[#This Row],[COST PRICE]]*Table2[[#This Row],[Quantity sold]])</f>
        <v>17339</v>
      </c>
      <c r="M205" s="2">
        <f>Table2[[#This Row],[TOTAL SALES]]-Table2[[#This Row],[TOTAL COST PRICE]]</f>
        <v>3161</v>
      </c>
      <c r="N205" s="2">
        <f>IF(Table2[[#This Row],[Amount Paid]]&gt;0,(SUMIF(Table2[Order ID],Table2[[#This Row],[Order ID]],Table2[Amount Paid])-SUMIF(Table2[Order ID],Table2[[#This Row],[Order ID]],Table2[TOTAL SALES])),0)</f>
        <v>-1500</v>
      </c>
      <c r="O205" s="8">
        <v>43</v>
      </c>
      <c r="P205" s="8" t="s">
        <v>25</v>
      </c>
      <c r="Q205" s="8" t="s">
        <v>113</v>
      </c>
      <c r="R205" s="8" t="s">
        <v>44</v>
      </c>
      <c r="S205" s="8" t="s">
        <v>28</v>
      </c>
      <c r="T205" s="8">
        <f t="shared" si="3"/>
        <v>0</v>
      </c>
      <c r="U205" t="str" cm="1">
        <f t="array" ref="U205">_xlfn.IFNA(_xlfn.IFS(Table2[[#This Row],[DEFICIT /SURPLUS]]&lt;0,"Deficit",Table2[[#This Row],[DEFICIT /SURPLUS]]&gt;0,"surplus"),"-")</f>
        <v>Deficit</v>
      </c>
    </row>
    <row r="206" spans="1:21" ht="14.5">
      <c r="A206" s="8" t="s">
        <v>202</v>
      </c>
      <c r="B206" s="9">
        <v>45573</v>
      </c>
      <c r="C206" s="8" t="s">
        <v>22</v>
      </c>
      <c r="D206" s="8" t="s">
        <v>49</v>
      </c>
      <c r="E206" s="8" t="s">
        <v>63</v>
      </c>
      <c r="F206" s="31">
        <f>_xlfn.XLOOKUP(Table2[[#This Row],[Shoe style]],val[SHOE STYLE],val[UNIT PRICE])</f>
        <v>20500</v>
      </c>
      <c r="H206" s="11">
        <v>1</v>
      </c>
      <c r="I206" s="6">
        <f>IF(Table2[[#This Row],[Discount]]&lt;(Table2[[#This Row],[UNIT PRICE]]*Table2[[#This Row],[Quantity sold]]),Table2[[#This Row],[UNIT PRICE]]*Table2[[#This Row],[Quantity sold]]-Table2[[#This Row],[Discount]],0)</f>
        <v>20500</v>
      </c>
      <c r="J206" s="10">
        <v>29500</v>
      </c>
      <c r="K206" s="2">
        <f>_xlfn.XLOOKUP(Table2[[#This Row],[Shoe style]],val[SHOE STYLE],val[COST PRICE])</f>
        <v>17339</v>
      </c>
      <c r="L206" s="2">
        <f>(Table2[[#This Row],[COST PRICE]]*Table2[[#This Row],[Quantity sold]])</f>
        <v>17339</v>
      </c>
      <c r="M206" s="2">
        <f>Table2[[#This Row],[TOTAL SALES]]-Table2[[#This Row],[TOTAL COST PRICE]]</f>
        <v>3161</v>
      </c>
      <c r="N206" s="2">
        <f>IF(Table2[[#This Row],[Amount Paid]]&gt;0,(SUMIF(Table2[Order ID],Table2[[#This Row],[Order ID]],Table2[Amount Paid])-SUMIF(Table2[Order ID],Table2[[#This Row],[Order ID]],Table2[TOTAL SALES])),0)</f>
        <v>-13728</v>
      </c>
      <c r="O206" s="8">
        <v>40</v>
      </c>
      <c r="P206" s="8" t="s">
        <v>25</v>
      </c>
      <c r="Q206" s="8" t="s">
        <v>26</v>
      </c>
      <c r="R206" s="8" t="s">
        <v>27</v>
      </c>
      <c r="S206" s="8" t="s">
        <v>28</v>
      </c>
      <c r="T206" s="8">
        <f t="shared" si="3"/>
        <v>0</v>
      </c>
      <c r="U206" t="str" cm="1">
        <f t="array" ref="U206">_xlfn.IFNA(_xlfn.IFS(Table2[[#This Row],[DEFICIT /SURPLUS]]&lt;0,"Deficit",Table2[[#This Row],[DEFICIT /SURPLUS]]&gt;0,"surplus"),"-")</f>
        <v>Deficit</v>
      </c>
    </row>
    <row r="207" spans="1:21" ht="14.5">
      <c r="A207" s="8" t="s">
        <v>202</v>
      </c>
      <c r="B207" s="9">
        <v>45573</v>
      </c>
      <c r="C207" s="8" t="s">
        <v>22</v>
      </c>
      <c r="D207" s="8" t="s">
        <v>37</v>
      </c>
      <c r="E207" s="8" t="s">
        <v>78</v>
      </c>
      <c r="F207" s="31">
        <f>_xlfn.XLOOKUP(Table2[[#This Row],[Shoe style]],val[SHOE STYLE],val[UNIT PRICE])</f>
        <v>22728</v>
      </c>
      <c r="H207" s="11">
        <v>1</v>
      </c>
      <c r="I207" s="6">
        <f>IF(Table2[[#This Row],[Discount]]&lt;(Table2[[#This Row],[UNIT PRICE]]*Table2[[#This Row],[Quantity sold]]),Table2[[#This Row],[UNIT PRICE]]*Table2[[#This Row],[Quantity sold]]-Table2[[#This Row],[Discount]],0)</f>
        <v>22728</v>
      </c>
      <c r="K207" s="2">
        <f>_xlfn.XLOOKUP(Table2[[#This Row],[Shoe style]],val[SHOE STYLE],val[COST PRICE])</f>
        <v>20451</v>
      </c>
      <c r="L207" s="2">
        <f>(Table2[[#This Row],[COST PRICE]]*Table2[[#This Row],[Quantity sold]])</f>
        <v>20451</v>
      </c>
      <c r="M207" s="2">
        <f>Table2[[#This Row],[TOTAL SALES]]-Table2[[#This Row],[TOTAL COST PRICE]]</f>
        <v>2277</v>
      </c>
      <c r="N207" s="2">
        <f>IF(Table2[[#This Row],[Amount Paid]]&gt;0,(SUMIF(Table2[Order ID],Table2[[#This Row],[Order ID]],Table2[Amount Paid])-SUMIF(Table2[Order ID],Table2[[#This Row],[Order ID]],Table2[TOTAL SALES])),0)</f>
        <v>0</v>
      </c>
      <c r="O207" s="8">
        <v>40</v>
      </c>
      <c r="P207" s="8" t="s">
        <v>25</v>
      </c>
      <c r="Q207" s="8" t="s">
        <v>26</v>
      </c>
      <c r="R207" s="8" t="s">
        <v>27</v>
      </c>
      <c r="S207" s="8" t="s">
        <v>28</v>
      </c>
      <c r="T207" s="8">
        <f t="shared" si="3"/>
        <v>0</v>
      </c>
      <c r="U207" t="str" cm="1">
        <f t="array" ref="U207">_xlfn.IFNA(_xlfn.IFS(Table2[[#This Row],[DEFICIT /SURPLUS]]&lt;0,"Deficit",Table2[[#This Row],[DEFICIT /SURPLUS]]&gt;0,"surplus"),"-")</f>
        <v>-</v>
      </c>
    </row>
    <row r="208" spans="1:21" ht="14.5">
      <c r="A208" s="8" t="s">
        <v>203</v>
      </c>
      <c r="B208" s="9">
        <v>45574</v>
      </c>
      <c r="C208" s="8" t="s">
        <v>22</v>
      </c>
      <c r="D208" s="8" t="s">
        <v>29</v>
      </c>
      <c r="E208" s="8" t="s">
        <v>109</v>
      </c>
      <c r="F208" s="31">
        <f>_xlfn.XLOOKUP(Table2[[#This Row],[Shoe style]],val[SHOE STYLE],val[UNIT PRICE])</f>
        <v>12395</v>
      </c>
      <c r="H208" s="11">
        <v>1</v>
      </c>
      <c r="I208" s="6">
        <f>IF(Table2[[#This Row],[Discount]]&lt;(Table2[[#This Row],[UNIT PRICE]]*Table2[[#This Row],[Quantity sold]]),Table2[[#This Row],[UNIT PRICE]]*Table2[[#This Row],[Quantity sold]]-Table2[[#This Row],[Discount]],0)</f>
        <v>12395</v>
      </c>
      <c r="J208" s="10">
        <v>33137</v>
      </c>
      <c r="K208" s="2">
        <f>_xlfn.XLOOKUP(Table2[[#This Row],[Shoe style]],val[SHOE STYLE],val[COST PRICE])</f>
        <v>7909</v>
      </c>
      <c r="L208" s="2">
        <f>(Table2[[#This Row],[COST PRICE]]*Table2[[#This Row],[Quantity sold]])</f>
        <v>7909</v>
      </c>
      <c r="M208" s="2">
        <f>Table2[[#This Row],[TOTAL SALES]]-Table2[[#This Row],[TOTAL COST PRICE]]</f>
        <v>4486</v>
      </c>
      <c r="N208" s="2">
        <f>IF(Table2[[#This Row],[Amount Paid]]&gt;0,(SUMIF(Table2[Order ID],Table2[[#This Row],[Order ID]],Table2[Amount Paid])-SUMIF(Table2[Order ID],Table2[[#This Row],[Order ID]],Table2[TOTAL SALES])),0)</f>
        <v>8347</v>
      </c>
      <c r="O208" s="8">
        <v>40</v>
      </c>
      <c r="P208" s="8" t="s">
        <v>25</v>
      </c>
      <c r="Q208" s="8" t="s">
        <v>26</v>
      </c>
      <c r="R208" s="8" t="s">
        <v>44</v>
      </c>
      <c r="S208" s="8" t="s">
        <v>28</v>
      </c>
      <c r="T208" s="8">
        <f t="shared" si="3"/>
        <v>0</v>
      </c>
      <c r="U208" t="str" cm="1">
        <f t="array" ref="U208">_xlfn.IFNA(_xlfn.IFS(Table2[[#This Row],[DEFICIT /SURPLUS]]&lt;0,"Deficit",Table2[[#This Row],[DEFICIT /SURPLUS]]&gt;0,"surplus"),"-")</f>
        <v>surplus</v>
      </c>
    </row>
    <row r="209" spans="1:21" ht="14.5">
      <c r="A209" s="8" t="s">
        <v>203</v>
      </c>
      <c r="B209" s="9">
        <v>45574</v>
      </c>
      <c r="C209" s="8" t="s">
        <v>22</v>
      </c>
      <c r="D209" s="8" t="s">
        <v>29</v>
      </c>
      <c r="E209" s="8" t="s">
        <v>109</v>
      </c>
      <c r="F209" s="31">
        <f>_xlfn.XLOOKUP(Table2[[#This Row],[Shoe style]],val[SHOE STYLE],val[UNIT PRICE])</f>
        <v>12395</v>
      </c>
      <c r="H209" s="11">
        <v>1</v>
      </c>
      <c r="I209" s="6">
        <f>IF(Table2[[#This Row],[Discount]]&lt;(Table2[[#This Row],[UNIT PRICE]]*Table2[[#This Row],[Quantity sold]]),Table2[[#This Row],[UNIT PRICE]]*Table2[[#This Row],[Quantity sold]]-Table2[[#This Row],[Discount]],0)</f>
        <v>12395</v>
      </c>
      <c r="K209" s="2">
        <f>_xlfn.XLOOKUP(Table2[[#This Row],[Shoe style]],val[SHOE STYLE],val[COST PRICE])</f>
        <v>7909</v>
      </c>
      <c r="L209" s="2">
        <f>(Table2[[#This Row],[COST PRICE]]*Table2[[#This Row],[Quantity sold]])</f>
        <v>7909</v>
      </c>
      <c r="M209" s="2">
        <f>Table2[[#This Row],[TOTAL SALES]]-Table2[[#This Row],[TOTAL COST PRICE]]</f>
        <v>4486</v>
      </c>
      <c r="N209" s="2">
        <f>IF(Table2[[#This Row],[Amount Paid]]&gt;0,(SUMIF(Table2[Order ID],Table2[[#This Row],[Order ID]],Table2[Amount Paid])-SUMIF(Table2[Order ID],Table2[[#This Row],[Order ID]],Table2[TOTAL SALES])),0)</f>
        <v>0</v>
      </c>
      <c r="O209" s="8">
        <v>40</v>
      </c>
      <c r="P209" s="8" t="s">
        <v>25</v>
      </c>
      <c r="Q209" s="8" t="s">
        <v>26</v>
      </c>
      <c r="R209" s="8" t="s">
        <v>44</v>
      </c>
      <c r="S209" s="8" t="s">
        <v>28</v>
      </c>
      <c r="T209" s="8">
        <f t="shared" si="3"/>
        <v>0</v>
      </c>
      <c r="U209" t="str" cm="1">
        <f t="array" ref="U209">_xlfn.IFNA(_xlfn.IFS(Table2[[#This Row],[DEFICIT /SURPLUS]]&lt;0,"Deficit",Table2[[#This Row],[DEFICIT /SURPLUS]]&gt;0,"surplus"),"-")</f>
        <v>-</v>
      </c>
    </row>
    <row r="210" spans="1:21" ht="14.5">
      <c r="A210" s="8" t="s">
        <v>204</v>
      </c>
      <c r="B210" s="9">
        <v>45572</v>
      </c>
      <c r="C210" s="8" t="s">
        <v>22</v>
      </c>
      <c r="D210" s="8" t="s">
        <v>29</v>
      </c>
      <c r="E210" s="8" t="s">
        <v>109</v>
      </c>
      <c r="F210" s="31">
        <f>_xlfn.XLOOKUP(Table2[[#This Row],[Shoe style]],val[SHOE STYLE],val[UNIT PRICE])</f>
        <v>12395</v>
      </c>
      <c r="H210" s="11">
        <v>1</v>
      </c>
      <c r="I210" s="6">
        <f>IF(Table2[[#This Row],[Discount]]&lt;(Table2[[#This Row],[UNIT PRICE]]*Table2[[#This Row],[Quantity sold]]),Table2[[#This Row],[UNIT PRICE]]*Table2[[#This Row],[Quantity sold]]-Table2[[#This Row],[Discount]],0)</f>
        <v>12395</v>
      </c>
      <c r="J210" s="10">
        <v>14500</v>
      </c>
      <c r="K210" s="2">
        <f>_xlfn.XLOOKUP(Table2[[#This Row],[Shoe style]],val[SHOE STYLE],val[COST PRICE])</f>
        <v>7909</v>
      </c>
      <c r="L210" s="2">
        <f>(Table2[[#This Row],[COST PRICE]]*Table2[[#This Row],[Quantity sold]])</f>
        <v>7909</v>
      </c>
      <c r="M210" s="2">
        <f>Table2[[#This Row],[TOTAL SALES]]-Table2[[#This Row],[TOTAL COST PRICE]]</f>
        <v>4486</v>
      </c>
      <c r="N210" s="2">
        <f>IF(Table2[[#This Row],[Amount Paid]]&gt;0,(SUMIF(Table2[Order ID],Table2[[#This Row],[Order ID]],Table2[Amount Paid])-SUMIF(Table2[Order ID],Table2[[#This Row],[Order ID]],Table2[TOTAL SALES])),0)</f>
        <v>2105</v>
      </c>
      <c r="O210" s="8">
        <v>39</v>
      </c>
      <c r="P210" s="8" t="s">
        <v>25</v>
      </c>
      <c r="Q210" s="8" t="s">
        <v>54</v>
      </c>
      <c r="R210" s="8" t="s">
        <v>44</v>
      </c>
      <c r="S210" s="8" t="s">
        <v>28</v>
      </c>
      <c r="T210" s="8">
        <f t="shared" si="3"/>
        <v>0</v>
      </c>
      <c r="U210" t="str" cm="1">
        <f t="array" ref="U210">_xlfn.IFNA(_xlfn.IFS(Table2[[#This Row],[DEFICIT /SURPLUS]]&lt;0,"Deficit",Table2[[#This Row],[DEFICIT /SURPLUS]]&gt;0,"surplus"),"-")</f>
        <v>surplus</v>
      </c>
    </row>
    <row r="211" spans="1:21" ht="14.5">
      <c r="A211" s="8" t="s">
        <v>205</v>
      </c>
      <c r="B211" s="9">
        <v>45575</v>
      </c>
      <c r="C211" s="8" t="s">
        <v>112</v>
      </c>
      <c r="D211" s="8" t="s">
        <v>51</v>
      </c>
      <c r="E211" s="8" t="s">
        <v>40</v>
      </c>
      <c r="F211" s="31">
        <f>_xlfn.XLOOKUP(Table2[[#This Row],[Shoe style]],val[SHOE STYLE],val[UNIT PRICE])</f>
        <v>11007</v>
      </c>
      <c r="H211" s="11">
        <v>1</v>
      </c>
      <c r="I211" s="6">
        <f>IF(Table2[[#This Row],[Discount]]&lt;(Table2[[#This Row],[UNIT PRICE]]*Table2[[#This Row],[Quantity sold]]),Table2[[#This Row],[UNIT PRICE]]*Table2[[#This Row],[Quantity sold]]-Table2[[#This Row],[Discount]],0)</f>
        <v>11007</v>
      </c>
      <c r="J211" s="10">
        <v>34500</v>
      </c>
      <c r="K211" s="2">
        <f>_xlfn.XLOOKUP(Table2[[#This Row],[Shoe style]],val[SHOE STYLE],val[COST PRICE])</f>
        <v>8327</v>
      </c>
      <c r="L211" s="2">
        <f>(Table2[[#This Row],[COST PRICE]]*Table2[[#This Row],[Quantity sold]])</f>
        <v>8327</v>
      </c>
      <c r="M211" s="2">
        <f>Table2[[#This Row],[TOTAL SALES]]-Table2[[#This Row],[TOTAL COST PRICE]]</f>
        <v>2680</v>
      </c>
      <c r="N211" s="2">
        <f>IF(Table2[[#This Row],[Amount Paid]]&gt;0,(SUMIF(Table2[Order ID],Table2[[#This Row],[Order ID]],Table2[Amount Paid])-SUMIF(Table2[Order ID],Table2[[#This Row],[Order ID]],Table2[TOTAL SALES])),0)</f>
        <v>12486</v>
      </c>
      <c r="O211" s="8">
        <v>41</v>
      </c>
      <c r="P211" s="8" t="s">
        <v>25</v>
      </c>
      <c r="Q211" s="8" t="s">
        <v>26</v>
      </c>
      <c r="R211" s="8" t="s">
        <v>44</v>
      </c>
      <c r="S211" s="8" t="s">
        <v>28</v>
      </c>
      <c r="T211" s="8">
        <f t="shared" si="3"/>
        <v>0</v>
      </c>
      <c r="U211" t="str" cm="1">
        <f t="array" ref="U211">_xlfn.IFNA(_xlfn.IFS(Table2[[#This Row],[DEFICIT /SURPLUS]]&lt;0,"Deficit",Table2[[#This Row],[DEFICIT /SURPLUS]]&gt;0,"surplus"),"-")</f>
        <v>surplus</v>
      </c>
    </row>
    <row r="212" spans="1:21" ht="14.5">
      <c r="A212" s="8" t="s">
        <v>205</v>
      </c>
      <c r="B212" s="9">
        <v>45575</v>
      </c>
      <c r="C212" s="8" t="s">
        <v>112</v>
      </c>
      <c r="D212" s="8" t="s">
        <v>51</v>
      </c>
      <c r="E212" s="8" t="s">
        <v>40</v>
      </c>
      <c r="F212" s="31">
        <f>_xlfn.XLOOKUP(Table2[[#This Row],[Shoe style]],val[SHOE STYLE],val[UNIT PRICE])</f>
        <v>11007</v>
      </c>
      <c r="H212" s="11">
        <v>1</v>
      </c>
      <c r="I212" s="6">
        <f>IF(Table2[[#This Row],[Discount]]&lt;(Table2[[#This Row],[UNIT PRICE]]*Table2[[#This Row],[Quantity sold]]),Table2[[#This Row],[UNIT PRICE]]*Table2[[#This Row],[Quantity sold]]-Table2[[#This Row],[Discount]],0)</f>
        <v>11007</v>
      </c>
      <c r="K212" s="2">
        <f>_xlfn.XLOOKUP(Table2[[#This Row],[Shoe style]],val[SHOE STYLE],val[COST PRICE])</f>
        <v>8327</v>
      </c>
      <c r="L212" s="2">
        <f>(Table2[[#This Row],[COST PRICE]]*Table2[[#This Row],[Quantity sold]])</f>
        <v>8327</v>
      </c>
      <c r="M212" s="2">
        <f>Table2[[#This Row],[TOTAL SALES]]-Table2[[#This Row],[TOTAL COST PRICE]]</f>
        <v>2680</v>
      </c>
      <c r="N212" s="2">
        <f>IF(Table2[[#This Row],[Amount Paid]]&gt;0,(SUMIF(Table2[Order ID],Table2[[#This Row],[Order ID]],Table2[Amount Paid])-SUMIF(Table2[Order ID],Table2[[#This Row],[Order ID]],Table2[TOTAL SALES])),0)</f>
        <v>0</v>
      </c>
      <c r="O212" s="8">
        <v>41</v>
      </c>
      <c r="P212" s="8" t="s">
        <v>25</v>
      </c>
      <c r="Q212" s="8" t="s">
        <v>26</v>
      </c>
      <c r="R212" s="8" t="s">
        <v>44</v>
      </c>
      <c r="S212" s="8" t="s">
        <v>28</v>
      </c>
      <c r="T212" s="8">
        <f t="shared" si="3"/>
        <v>0</v>
      </c>
      <c r="U212" t="str" cm="1">
        <f t="array" ref="U212">_xlfn.IFNA(_xlfn.IFS(Table2[[#This Row],[DEFICIT /SURPLUS]]&lt;0,"Deficit",Table2[[#This Row],[DEFICIT /SURPLUS]]&gt;0,"surplus"),"-")</f>
        <v>-</v>
      </c>
    </row>
    <row r="213" spans="1:21" ht="14.5">
      <c r="A213" s="8" t="s">
        <v>206</v>
      </c>
      <c r="B213" s="9">
        <v>45575</v>
      </c>
      <c r="C213" s="8" t="s">
        <v>22</v>
      </c>
      <c r="D213" s="8" t="s">
        <v>49</v>
      </c>
      <c r="E213" s="8" t="s">
        <v>43</v>
      </c>
      <c r="F213" s="31">
        <f>_xlfn.XLOOKUP(Table2[[#This Row],[Shoe style]],val[SHOE STYLE],val[UNIT PRICE])</f>
        <v>20500</v>
      </c>
      <c r="H213" s="11">
        <v>1</v>
      </c>
      <c r="I213" s="6">
        <f>IF(Table2[[#This Row],[Discount]]&lt;(Table2[[#This Row],[UNIT PRICE]]*Table2[[#This Row],[Quantity sold]]),Table2[[#This Row],[UNIT PRICE]]*Table2[[#This Row],[Quantity sold]]-Table2[[#This Row],[Discount]],0)</f>
        <v>20500</v>
      </c>
      <c r="J213" s="10">
        <v>15500</v>
      </c>
      <c r="K213" s="2">
        <f>_xlfn.XLOOKUP(Table2[[#This Row],[Shoe style]],val[SHOE STYLE],val[COST PRICE])</f>
        <v>17339</v>
      </c>
      <c r="L213" s="2">
        <f>(Table2[[#This Row],[COST PRICE]]*Table2[[#This Row],[Quantity sold]])</f>
        <v>17339</v>
      </c>
      <c r="M213" s="2">
        <f>Table2[[#This Row],[TOTAL SALES]]-Table2[[#This Row],[TOTAL COST PRICE]]</f>
        <v>3161</v>
      </c>
      <c r="N213" s="2">
        <f>IF(Table2[[#This Row],[Amount Paid]]&gt;0,(SUMIF(Table2[Order ID],Table2[[#This Row],[Order ID]],Table2[Amount Paid])-SUMIF(Table2[Order ID],Table2[[#This Row],[Order ID]],Table2[TOTAL SALES])),0)</f>
        <v>-5000</v>
      </c>
      <c r="O213" s="8">
        <v>39</v>
      </c>
      <c r="P213" s="8" t="s">
        <v>25</v>
      </c>
      <c r="Q213" s="8" t="s">
        <v>26</v>
      </c>
      <c r="R213" s="8" t="s">
        <v>44</v>
      </c>
      <c r="S213" s="8" t="s">
        <v>28</v>
      </c>
      <c r="T213" s="8">
        <f t="shared" si="3"/>
        <v>0</v>
      </c>
      <c r="U213" t="str" cm="1">
        <f t="array" ref="U213">_xlfn.IFNA(_xlfn.IFS(Table2[[#This Row],[DEFICIT /SURPLUS]]&lt;0,"Deficit",Table2[[#This Row],[DEFICIT /SURPLUS]]&gt;0,"surplus"),"-")</f>
        <v>Deficit</v>
      </c>
    </row>
    <row r="214" spans="1:21" ht="14.5">
      <c r="A214" s="8" t="s">
        <v>207</v>
      </c>
      <c r="B214" s="9">
        <v>45575</v>
      </c>
      <c r="C214" s="8" t="s">
        <v>22</v>
      </c>
      <c r="D214" s="8" t="s">
        <v>68</v>
      </c>
      <c r="E214" s="8" t="s">
        <v>109</v>
      </c>
      <c r="F214" s="31">
        <f>_xlfn.XLOOKUP(Table2[[#This Row],[Shoe style]],val[SHOE STYLE],val[UNIT PRICE])</f>
        <v>10509</v>
      </c>
      <c r="H214" s="11">
        <v>1</v>
      </c>
      <c r="I214" s="6">
        <f>IF(Table2[[#This Row],[Discount]]&lt;(Table2[[#This Row],[UNIT PRICE]]*Table2[[#This Row],[Quantity sold]]),Table2[[#This Row],[UNIT PRICE]]*Table2[[#This Row],[Quantity sold]]-Table2[[#This Row],[Discount]],0)</f>
        <v>10509</v>
      </c>
      <c r="J214" s="10">
        <v>17550</v>
      </c>
      <c r="K214" s="2">
        <f>_xlfn.XLOOKUP(Table2[[#This Row],[Shoe style]],val[SHOE STYLE],val[COST PRICE])</f>
        <v>7573</v>
      </c>
      <c r="L214" s="2">
        <f>(Table2[[#This Row],[COST PRICE]]*Table2[[#This Row],[Quantity sold]])</f>
        <v>7573</v>
      </c>
      <c r="M214" s="2">
        <f>Table2[[#This Row],[TOTAL SALES]]-Table2[[#This Row],[TOTAL COST PRICE]]</f>
        <v>2936</v>
      </c>
      <c r="N214" s="2">
        <f>IF(Table2[[#This Row],[Amount Paid]]&gt;0,(SUMIF(Table2[Order ID],Table2[[#This Row],[Order ID]],Table2[Amount Paid])-SUMIF(Table2[Order ID],Table2[[#This Row],[Order ID]],Table2[TOTAL SALES])),0)</f>
        <v>7041</v>
      </c>
      <c r="O214" s="8">
        <v>41</v>
      </c>
      <c r="P214" s="8" t="s">
        <v>25</v>
      </c>
      <c r="Q214" s="8" t="s">
        <v>54</v>
      </c>
      <c r="R214" s="8" t="s">
        <v>44</v>
      </c>
      <c r="S214" s="8" t="s">
        <v>28</v>
      </c>
      <c r="T214" s="8">
        <f t="shared" si="3"/>
        <v>0</v>
      </c>
      <c r="U214" t="str" cm="1">
        <f t="array" ref="U214">_xlfn.IFNA(_xlfn.IFS(Table2[[#This Row],[DEFICIT /SURPLUS]]&lt;0,"Deficit",Table2[[#This Row],[DEFICIT /SURPLUS]]&gt;0,"surplus"),"-")</f>
        <v>surplus</v>
      </c>
    </row>
    <row r="215" spans="1:21" ht="14.5">
      <c r="A215" s="8" t="s">
        <v>208</v>
      </c>
      <c r="B215" s="9">
        <v>45579</v>
      </c>
      <c r="C215" s="8" t="s">
        <v>22</v>
      </c>
      <c r="D215" s="8" t="s">
        <v>209</v>
      </c>
      <c r="E215" s="8" t="s">
        <v>109</v>
      </c>
      <c r="F215" s="31">
        <f>_xlfn.XLOOKUP(Table2[[#This Row],[Shoe style]],val[SHOE STYLE],val[UNIT PRICE])</f>
        <v>21405</v>
      </c>
      <c r="H215" s="11">
        <v>1</v>
      </c>
      <c r="I215" s="6">
        <f>IF(Table2[[#This Row],[Discount]]&lt;(Table2[[#This Row],[UNIT PRICE]]*Table2[[#This Row],[Quantity sold]]),Table2[[#This Row],[UNIT PRICE]]*Table2[[#This Row],[Quantity sold]]-Table2[[#This Row],[Discount]],0)</f>
        <v>21405</v>
      </c>
      <c r="J215" s="10">
        <v>14500</v>
      </c>
      <c r="K215" s="2">
        <f>_xlfn.XLOOKUP(Table2[[#This Row],[Shoe style]],val[SHOE STYLE],val[COST PRICE])</f>
        <v>17426</v>
      </c>
      <c r="L215" s="2">
        <f>(Table2[[#This Row],[COST PRICE]]*Table2[[#This Row],[Quantity sold]])</f>
        <v>17426</v>
      </c>
      <c r="M215" s="2">
        <f>Table2[[#This Row],[TOTAL SALES]]-Table2[[#This Row],[TOTAL COST PRICE]]</f>
        <v>3979</v>
      </c>
      <c r="N215" s="2">
        <f>IF(Table2[[#This Row],[Amount Paid]]&gt;0,(SUMIF(Table2[Order ID],Table2[[#This Row],[Order ID]],Table2[Amount Paid])-SUMIF(Table2[Order ID],Table2[[#This Row],[Order ID]],Table2[TOTAL SALES])),0)</f>
        <v>-6905</v>
      </c>
      <c r="O215" s="8">
        <v>43</v>
      </c>
      <c r="P215" s="8" t="s">
        <v>25</v>
      </c>
      <c r="Q215" s="8" t="s">
        <v>54</v>
      </c>
      <c r="R215" s="8" t="s">
        <v>44</v>
      </c>
      <c r="S215" s="8" t="s">
        <v>28</v>
      </c>
      <c r="T215" s="8">
        <f t="shared" si="3"/>
        <v>0</v>
      </c>
      <c r="U215" t="str" cm="1">
        <f t="array" ref="U215">_xlfn.IFNA(_xlfn.IFS(Table2[[#This Row],[DEFICIT /SURPLUS]]&lt;0,"Deficit",Table2[[#This Row],[DEFICIT /SURPLUS]]&gt;0,"surplus"),"-")</f>
        <v>Deficit</v>
      </c>
    </row>
    <row r="216" spans="1:21" ht="14.5">
      <c r="A216" s="8" t="s">
        <v>210</v>
      </c>
      <c r="B216" s="9">
        <v>45580</v>
      </c>
      <c r="C216" s="8" t="s">
        <v>22</v>
      </c>
      <c r="D216" s="8" t="s">
        <v>32</v>
      </c>
      <c r="E216" s="8" t="s">
        <v>40</v>
      </c>
      <c r="F216" s="31">
        <f>_xlfn.XLOOKUP(Table2[[#This Row],[Shoe style]],val[SHOE STYLE],val[UNIT PRICE])</f>
        <v>19295</v>
      </c>
      <c r="H216" s="11">
        <v>1</v>
      </c>
      <c r="I216" s="6">
        <f>IF(Table2[[#This Row],[Discount]]&lt;(Table2[[#This Row],[UNIT PRICE]]*Table2[[#This Row],[Quantity sold]]),Table2[[#This Row],[UNIT PRICE]]*Table2[[#This Row],[Quantity sold]]-Table2[[#This Row],[Discount]],0)</f>
        <v>19295</v>
      </c>
      <c r="J216" s="10">
        <v>29000</v>
      </c>
      <c r="K216" s="2">
        <f>_xlfn.XLOOKUP(Table2[[#This Row],[Shoe style]],val[SHOE STYLE],val[COST PRICE])</f>
        <v>16705</v>
      </c>
      <c r="L216" s="2">
        <f>(Table2[[#This Row],[COST PRICE]]*Table2[[#This Row],[Quantity sold]])</f>
        <v>16705</v>
      </c>
      <c r="M216" s="2">
        <f>Table2[[#This Row],[TOTAL SALES]]-Table2[[#This Row],[TOTAL COST PRICE]]</f>
        <v>2590</v>
      </c>
      <c r="N216" s="2">
        <f>IF(Table2[[#This Row],[Amount Paid]]&gt;0,(SUMIF(Table2[Order ID],Table2[[#This Row],[Order ID]],Table2[Amount Paid])-SUMIF(Table2[Order ID],Table2[[#This Row],[Order ID]],Table2[TOTAL SALES])),0)</f>
        <v>-9590</v>
      </c>
      <c r="O216" s="8">
        <v>41</v>
      </c>
      <c r="P216" s="8" t="s">
        <v>25</v>
      </c>
      <c r="Q216" s="8" t="s">
        <v>26</v>
      </c>
      <c r="R216" s="8" t="s">
        <v>27</v>
      </c>
      <c r="S216" s="8" t="s">
        <v>28</v>
      </c>
      <c r="T216" s="8">
        <f t="shared" si="3"/>
        <v>0</v>
      </c>
      <c r="U216" t="str" cm="1">
        <f t="array" ref="U216">_xlfn.IFNA(_xlfn.IFS(Table2[[#This Row],[DEFICIT /SURPLUS]]&lt;0,"Deficit",Table2[[#This Row],[DEFICIT /SURPLUS]]&gt;0,"surplus"),"-")</f>
        <v>Deficit</v>
      </c>
    </row>
    <row r="217" spans="1:21" ht="14.5">
      <c r="A217" s="8" t="s">
        <v>210</v>
      </c>
      <c r="B217" s="9">
        <v>45580</v>
      </c>
      <c r="C217" s="8" t="s">
        <v>22</v>
      </c>
      <c r="D217" s="8" t="s">
        <v>32</v>
      </c>
      <c r="E217" s="8" t="s">
        <v>40</v>
      </c>
      <c r="F217" s="31">
        <f>_xlfn.XLOOKUP(Table2[[#This Row],[Shoe style]],val[SHOE STYLE],val[UNIT PRICE])</f>
        <v>19295</v>
      </c>
      <c r="H217" s="11">
        <v>1</v>
      </c>
      <c r="I217" s="6">
        <f>IF(Table2[[#This Row],[Discount]]&lt;(Table2[[#This Row],[UNIT PRICE]]*Table2[[#This Row],[Quantity sold]]),Table2[[#This Row],[UNIT PRICE]]*Table2[[#This Row],[Quantity sold]]-Table2[[#This Row],[Discount]],0)</f>
        <v>19295</v>
      </c>
      <c r="K217" s="2">
        <f>_xlfn.XLOOKUP(Table2[[#This Row],[Shoe style]],val[SHOE STYLE],val[COST PRICE])</f>
        <v>16705</v>
      </c>
      <c r="L217" s="2">
        <f>(Table2[[#This Row],[COST PRICE]]*Table2[[#This Row],[Quantity sold]])</f>
        <v>16705</v>
      </c>
      <c r="M217" s="2">
        <f>Table2[[#This Row],[TOTAL SALES]]-Table2[[#This Row],[TOTAL COST PRICE]]</f>
        <v>2590</v>
      </c>
      <c r="N217" s="2">
        <f>IF(Table2[[#This Row],[Amount Paid]]&gt;0,(SUMIF(Table2[Order ID],Table2[[#This Row],[Order ID]],Table2[Amount Paid])-SUMIF(Table2[Order ID],Table2[[#This Row],[Order ID]],Table2[TOTAL SALES])),0)</f>
        <v>0</v>
      </c>
      <c r="O217" s="8">
        <v>41</v>
      </c>
      <c r="P217" s="8" t="s">
        <v>25</v>
      </c>
      <c r="Q217" s="8" t="s">
        <v>26</v>
      </c>
      <c r="R217" s="8" t="s">
        <v>27</v>
      </c>
      <c r="S217" s="8" t="s">
        <v>28</v>
      </c>
      <c r="T217" s="8">
        <f t="shared" si="3"/>
        <v>0</v>
      </c>
      <c r="U217" t="str" cm="1">
        <f t="array" ref="U217">_xlfn.IFNA(_xlfn.IFS(Table2[[#This Row],[DEFICIT /SURPLUS]]&lt;0,"Deficit",Table2[[#This Row],[DEFICIT /SURPLUS]]&gt;0,"surplus"),"-")</f>
        <v>-</v>
      </c>
    </row>
    <row r="218" spans="1:21" ht="14.5">
      <c r="A218" s="8" t="s">
        <v>211</v>
      </c>
      <c r="B218" s="9">
        <v>45580</v>
      </c>
      <c r="C218" s="8" t="s">
        <v>22</v>
      </c>
      <c r="D218" s="8" t="s">
        <v>37</v>
      </c>
      <c r="E218" s="8" t="s">
        <v>61</v>
      </c>
      <c r="F218" s="31">
        <f>_xlfn.XLOOKUP(Table2[[#This Row],[Shoe style]],val[SHOE STYLE],val[UNIT PRICE])</f>
        <v>22728</v>
      </c>
      <c r="H218" s="11">
        <v>1</v>
      </c>
      <c r="I218" s="6">
        <f>IF(Table2[[#This Row],[Discount]]&lt;(Table2[[#This Row],[UNIT PRICE]]*Table2[[#This Row],[Quantity sold]]),Table2[[#This Row],[UNIT PRICE]]*Table2[[#This Row],[Quantity sold]]-Table2[[#This Row],[Discount]],0)</f>
        <v>22728</v>
      </c>
      <c r="J218" s="10">
        <v>32500</v>
      </c>
      <c r="K218" s="2">
        <f>_xlfn.XLOOKUP(Table2[[#This Row],[Shoe style]],val[SHOE STYLE],val[COST PRICE])</f>
        <v>20451</v>
      </c>
      <c r="L218" s="2">
        <f>(Table2[[#This Row],[COST PRICE]]*Table2[[#This Row],[Quantity sold]])</f>
        <v>20451</v>
      </c>
      <c r="M218" s="2">
        <f>Table2[[#This Row],[TOTAL SALES]]-Table2[[#This Row],[TOTAL COST PRICE]]</f>
        <v>2277</v>
      </c>
      <c r="N218" s="2">
        <f>IF(Table2[[#This Row],[Amount Paid]]&gt;0,(SUMIF(Table2[Order ID],Table2[[#This Row],[Order ID]],Table2[Amount Paid])-SUMIF(Table2[Order ID],Table2[[#This Row],[Order ID]],Table2[TOTAL SALES])),0)</f>
        <v>-12956</v>
      </c>
      <c r="O218" s="8">
        <v>39</v>
      </c>
      <c r="P218" s="8" t="s">
        <v>25</v>
      </c>
      <c r="Q218" s="8" t="s">
        <v>26</v>
      </c>
      <c r="R218" s="8" t="s">
        <v>27</v>
      </c>
      <c r="S218" s="8" t="s">
        <v>28</v>
      </c>
      <c r="T218" s="8">
        <f t="shared" si="3"/>
        <v>0</v>
      </c>
      <c r="U218" t="str" cm="1">
        <f t="array" ref="U218">_xlfn.IFNA(_xlfn.IFS(Table2[[#This Row],[DEFICIT /SURPLUS]]&lt;0,"Deficit",Table2[[#This Row],[DEFICIT /SURPLUS]]&gt;0,"surplus"),"-")</f>
        <v>Deficit</v>
      </c>
    </row>
    <row r="219" spans="1:21" ht="14.5">
      <c r="A219" s="8" t="s">
        <v>211</v>
      </c>
      <c r="B219" s="9">
        <v>45580</v>
      </c>
      <c r="C219" s="8" t="s">
        <v>22</v>
      </c>
      <c r="D219" s="8" t="s">
        <v>37</v>
      </c>
      <c r="E219" s="8" t="s">
        <v>61</v>
      </c>
      <c r="F219" s="31">
        <f>_xlfn.XLOOKUP(Table2[[#This Row],[Shoe style]],val[SHOE STYLE],val[UNIT PRICE])</f>
        <v>22728</v>
      </c>
      <c r="H219" s="11">
        <v>1</v>
      </c>
      <c r="I219" s="6">
        <f>IF(Table2[[#This Row],[Discount]]&lt;(Table2[[#This Row],[UNIT PRICE]]*Table2[[#This Row],[Quantity sold]]),Table2[[#This Row],[UNIT PRICE]]*Table2[[#This Row],[Quantity sold]]-Table2[[#This Row],[Discount]],0)</f>
        <v>22728</v>
      </c>
      <c r="K219" s="2">
        <f>_xlfn.XLOOKUP(Table2[[#This Row],[Shoe style]],val[SHOE STYLE],val[COST PRICE])</f>
        <v>20451</v>
      </c>
      <c r="L219" s="2">
        <f>(Table2[[#This Row],[COST PRICE]]*Table2[[#This Row],[Quantity sold]])</f>
        <v>20451</v>
      </c>
      <c r="M219" s="2">
        <f>Table2[[#This Row],[TOTAL SALES]]-Table2[[#This Row],[TOTAL COST PRICE]]</f>
        <v>2277</v>
      </c>
      <c r="N219" s="2">
        <f>IF(Table2[[#This Row],[Amount Paid]]&gt;0,(SUMIF(Table2[Order ID],Table2[[#This Row],[Order ID]],Table2[Amount Paid])-SUMIF(Table2[Order ID],Table2[[#This Row],[Order ID]],Table2[TOTAL SALES])),0)</f>
        <v>0</v>
      </c>
      <c r="O219" s="8">
        <v>39</v>
      </c>
      <c r="P219" s="8" t="s">
        <v>25</v>
      </c>
      <c r="Q219" s="8" t="s">
        <v>26</v>
      </c>
      <c r="R219" s="8" t="s">
        <v>27</v>
      </c>
      <c r="S219" s="8" t="s">
        <v>28</v>
      </c>
      <c r="T219" s="8">
        <f t="shared" si="3"/>
        <v>0</v>
      </c>
      <c r="U219" t="str" cm="1">
        <f t="array" ref="U219">_xlfn.IFNA(_xlfn.IFS(Table2[[#This Row],[DEFICIT /SURPLUS]]&lt;0,"Deficit",Table2[[#This Row],[DEFICIT /SURPLUS]]&gt;0,"surplus"),"-")</f>
        <v>-</v>
      </c>
    </row>
    <row r="220" spans="1:21" ht="14.5">
      <c r="A220" s="8" t="s">
        <v>212</v>
      </c>
      <c r="B220" s="9">
        <v>45580</v>
      </c>
      <c r="C220" s="8" t="s">
        <v>22</v>
      </c>
      <c r="D220" s="8" t="s">
        <v>37</v>
      </c>
      <c r="E220" s="8" t="s">
        <v>63</v>
      </c>
      <c r="F220" s="31">
        <f>_xlfn.XLOOKUP(Table2[[#This Row],[Shoe style]],val[SHOE STYLE],val[UNIT PRICE])</f>
        <v>22728</v>
      </c>
      <c r="H220" s="11">
        <v>1</v>
      </c>
      <c r="I220" s="6">
        <f>IF(Table2[[#This Row],[Discount]]&lt;(Table2[[#This Row],[UNIT PRICE]]*Table2[[#This Row],[Quantity sold]]),Table2[[#This Row],[UNIT PRICE]]*Table2[[#This Row],[Quantity sold]]-Table2[[#This Row],[Discount]],0)</f>
        <v>22728</v>
      </c>
      <c r="J220" s="10">
        <v>28000</v>
      </c>
      <c r="K220" s="2">
        <f>_xlfn.XLOOKUP(Table2[[#This Row],[Shoe style]],val[SHOE STYLE],val[COST PRICE])</f>
        <v>20451</v>
      </c>
      <c r="L220" s="2">
        <f>(Table2[[#This Row],[COST PRICE]]*Table2[[#This Row],[Quantity sold]])</f>
        <v>20451</v>
      </c>
      <c r="M220" s="2">
        <f>Table2[[#This Row],[TOTAL SALES]]-Table2[[#This Row],[TOTAL COST PRICE]]</f>
        <v>2277</v>
      </c>
      <c r="N220" s="2">
        <f>IF(Table2[[#This Row],[Amount Paid]]&gt;0,(SUMIF(Table2[Order ID],Table2[[#This Row],[Order ID]],Table2[Amount Paid])-SUMIF(Table2[Order ID],Table2[[#This Row],[Order ID]],Table2[TOTAL SALES])),0)</f>
        <v>-17456</v>
      </c>
      <c r="O220" s="8">
        <v>43</v>
      </c>
      <c r="P220" s="8" t="s">
        <v>25</v>
      </c>
      <c r="Q220" s="8" t="s">
        <v>26</v>
      </c>
      <c r="R220" s="8" t="s">
        <v>44</v>
      </c>
      <c r="S220" s="8" t="s">
        <v>28</v>
      </c>
      <c r="T220" s="8">
        <f t="shared" si="3"/>
        <v>0</v>
      </c>
      <c r="U220" t="str" cm="1">
        <f t="array" ref="U220">_xlfn.IFNA(_xlfn.IFS(Table2[[#This Row],[DEFICIT /SURPLUS]]&lt;0,"Deficit",Table2[[#This Row],[DEFICIT /SURPLUS]]&gt;0,"surplus"),"-")</f>
        <v>Deficit</v>
      </c>
    </row>
    <row r="221" spans="1:21" ht="14.5">
      <c r="A221" s="8" t="s">
        <v>212</v>
      </c>
      <c r="B221" s="9">
        <v>45580</v>
      </c>
      <c r="C221" s="8" t="s">
        <v>22</v>
      </c>
      <c r="D221" s="8" t="s">
        <v>37</v>
      </c>
      <c r="E221" s="8" t="s">
        <v>63</v>
      </c>
      <c r="F221" s="31">
        <f>_xlfn.XLOOKUP(Table2[[#This Row],[Shoe style]],val[SHOE STYLE],val[UNIT PRICE])</f>
        <v>22728</v>
      </c>
      <c r="H221" s="11">
        <v>1</v>
      </c>
      <c r="I221" s="6">
        <f>IF(Table2[[#This Row],[Discount]]&lt;(Table2[[#This Row],[UNIT PRICE]]*Table2[[#This Row],[Quantity sold]]),Table2[[#This Row],[UNIT PRICE]]*Table2[[#This Row],[Quantity sold]]-Table2[[#This Row],[Discount]],0)</f>
        <v>22728</v>
      </c>
      <c r="K221" s="2">
        <f>_xlfn.XLOOKUP(Table2[[#This Row],[Shoe style]],val[SHOE STYLE],val[COST PRICE])</f>
        <v>20451</v>
      </c>
      <c r="L221" s="2">
        <f>(Table2[[#This Row],[COST PRICE]]*Table2[[#This Row],[Quantity sold]])</f>
        <v>20451</v>
      </c>
      <c r="M221" s="2">
        <f>Table2[[#This Row],[TOTAL SALES]]-Table2[[#This Row],[TOTAL COST PRICE]]</f>
        <v>2277</v>
      </c>
      <c r="N221" s="2">
        <f>IF(Table2[[#This Row],[Amount Paid]]&gt;0,(SUMIF(Table2[Order ID],Table2[[#This Row],[Order ID]],Table2[Amount Paid])-SUMIF(Table2[Order ID],Table2[[#This Row],[Order ID]],Table2[TOTAL SALES])),0)</f>
        <v>0</v>
      </c>
      <c r="O221" s="8">
        <v>43</v>
      </c>
      <c r="P221" s="8" t="s">
        <v>25</v>
      </c>
      <c r="Q221" s="8" t="s">
        <v>26</v>
      </c>
      <c r="R221" s="8" t="s">
        <v>44</v>
      </c>
      <c r="S221" s="8" t="s">
        <v>28</v>
      </c>
      <c r="T221" s="8">
        <f t="shared" si="3"/>
        <v>0</v>
      </c>
      <c r="U221" t="str" cm="1">
        <f t="array" ref="U221">_xlfn.IFNA(_xlfn.IFS(Table2[[#This Row],[DEFICIT /SURPLUS]]&lt;0,"Deficit",Table2[[#This Row],[DEFICIT /SURPLUS]]&gt;0,"surplus"),"-")</f>
        <v>-</v>
      </c>
    </row>
    <row r="222" spans="1:21" ht="14.5">
      <c r="A222" s="8" t="s">
        <v>213</v>
      </c>
      <c r="B222" s="9">
        <v>45583</v>
      </c>
      <c r="C222" s="8" t="s">
        <v>22</v>
      </c>
      <c r="D222" s="8" t="s">
        <v>42</v>
      </c>
      <c r="E222" s="8" t="s">
        <v>63</v>
      </c>
      <c r="F222" s="31">
        <f>_xlfn.XLOOKUP(Table2[[#This Row],[Shoe style]],val[SHOE STYLE],val[UNIT PRICE])</f>
        <v>17614</v>
      </c>
      <c r="H222" s="11">
        <v>1</v>
      </c>
      <c r="I222" s="6">
        <f>IF(Table2[[#This Row],[Discount]]&lt;(Table2[[#This Row],[UNIT PRICE]]*Table2[[#This Row],[Quantity sold]]),Table2[[#This Row],[UNIT PRICE]]*Table2[[#This Row],[Quantity sold]]-Table2[[#This Row],[Discount]],0)</f>
        <v>17614</v>
      </c>
      <c r="J222" s="10">
        <v>46225</v>
      </c>
      <c r="K222" s="2">
        <f>_xlfn.XLOOKUP(Table2[[#This Row],[Shoe style]],val[SHOE STYLE],val[COST PRICE])</f>
        <v>14912</v>
      </c>
      <c r="L222" s="2">
        <f>(Table2[[#This Row],[COST PRICE]]*Table2[[#This Row],[Quantity sold]])</f>
        <v>14912</v>
      </c>
      <c r="M222" s="2">
        <f>Table2[[#This Row],[TOTAL SALES]]-Table2[[#This Row],[TOTAL COST PRICE]]</f>
        <v>2702</v>
      </c>
      <c r="N222" s="2">
        <f>IF(Table2[[#This Row],[Amount Paid]]&gt;0,(SUMIF(Table2[Order ID],Table2[[#This Row],[Order ID]],Table2[Amount Paid])-SUMIF(Table2[Order ID],Table2[[#This Row],[Order ID]],Table2[TOTAL SALES])),0)</f>
        <v>-16845</v>
      </c>
      <c r="O222" s="8">
        <v>43</v>
      </c>
      <c r="P222" s="8" t="s">
        <v>25</v>
      </c>
      <c r="Q222" s="8" t="s">
        <v>54</v>
      </c>
      <c r="R222" s="8" t="s">
        <v>44</v>
      </c>
      <c r="S222" s="8" t="s">
        <v>28</v>
      </c>
      <c r="T222" s="8">
        <f t="shared" si="3"/>
        <v>0</v>
      </c>
      <c r="U222" t="str" cm="1">
        <f t="array" ref="U222">_xlfn.IFNA(_xlfn.IFS(Table2[[#This Row],[DEFICIT /SURPLUS]]&lt;0,"Deficit",Table2[[#This Row],[DEFICIT /SURPLUS]]&gt;0,"surplus"),"-")</f>
        <v>Deficit</v>
      </c>
    </row>
    <row r="223" spans="1:21" ht="14.5">
      <c r="A223" s="8" t="s">
        <v>213</v>
      </c>
      <c r="B223" s="9">
        <v>45583</v>
      </c>
      <c r="C223" s="8" t="s">
        <v>22</v>
      </c>
      <c r="D223" s="8" t="s">
        <v>37</v>
      </c>
      <c r="E223" s="8" t="s">
        <v>109</v>
      </c>
      <c r="F223" s="31">
        <f>_xlfn.XLOOKUP(Table2[[#This Row],[Shoe style]],val[SHOE STYLE],val[UNIT PRICE])</f>
        <v>22728</v>
      </c>
      <c r="H223" s="11">
        <v>1</v>
      </c>
      <c r="I223" s="6">
        <f>IF(Table2[[#This Row],[Discount]]&lt;(Table2[[#This Row],[UNIT PRICE]]*Table2[[#This Row],[Quantity sold]]),Table2[[#This Row],[UNIT PRICE]]*Table2[[#This Row],[Quantity sold]]-Table2[[#This Row],[Discount]],0)</f>
        <v>22728</v>
      </c>
      <c r="K223" s="2">
        <f>_xlfn.XLOOKUP(Table2[[#This Row],[Shoe style]],val[SHOE STYLE],val[COST PRICE])</f>
        <v>20451</v>
      </c>
      <c r="L223" s="2">
        <f>(Table2[[#This Row],[COST PRICE]]*Table2[[#This Row],[Quantity sold]])</f>
        <v>20451</v>
      </c>
      <c r="M223" s="2">
        <f>Table2[[#This Row],[TOTAL SALES]]-Table2[[#This Row],[TOTAL COST PRICE]]</f>
        <v>2277</v>
      </c>
      <c r="N223" s="2">
        <f>IF(Table2[[#This Row],[Amount Paid]]&gt;0,(SUMIF(Table2[Order ID],Table2[[#This Row],[Order ID]],Table2[Amount Paid])-SUMIF(Table2[Order ID],Table2[[#This Row],[Order ID]],Table2[TOTAL SALES])),0)</f>
        <v>0</v>
      </c>
      <c r="O223" s="8">
        <v>43</v>
      </c>
      <c r="P223" s="8" t="s">
        <v>25</v>
      </c>
      <c r="Q223" s="8" t="s">
        <v>54</v>
      </c>
      <c r="R223" s="8" t="s">
        <v>44</v>
      </c>
      <c r="S223" s="8" t="s">
        <v>28</v>
      </c>
      <c r="T223" s="8">
        <f t="shared" si="3"/>
        <v>0</v>
      </c>
      <c r="U223" t="str" cm="1">
        <f t="array" ref="U223">_xlfn.IFNA(_xlfn.IFS(Table2[[#This Row],[DEFICIT /SURPLUS]]&lt;0,"Deficit",Table2[[#This Row],[DEFICIT /SURPLUS]]&gt;0,"surplus"),"-")</f>
        <v>-</v>
      </c>
    </row>
    <row r="224" spans="1:21" ht="14.5">
      <c r="A224" s="8" t="s">
        <v>213</v>
      </c>
      <c r="B224" s="9">
        <v>45583</v>
      </c>
      <c r="C224" s="8" t="s">
        <v>22</v>
      </c>
      <c r="D224" s="8" t="s">
        <v>37</v>
      </c>
      <c r="E224" s="8" t="s">
        <v>109</v>
      </c>
      <c r="F224" s="31">
        <f>_xlfn.XLOOKUP(Table2[[#This Row],[Shoe style]],val[SHOE STYLE],val[UNIT PRICE])</f>
        <v>22728</v>
      </c>
      <c r="H224" s="11">
        <v>1</v>
      </c>
      <c r="I224" s="6">
        <f>IF(Table2[[#This Row],[Discount]]&lt;(Table2[[#This Row],[UNIT PRICE]]*Table2[[#This Row],[Quantity sold]]),Table2[[#This Row],[UNIT PRICE]]*Table2[[#This Row],[Quantity sold]]-Table2[[#This Row],[Discount]],0)</f>
        <v>22728</v>
      </c>
      <c r="K224" s="2">
        <f>_xlfn.XLOOKUP(Table2[[#This Row],[Shoe style]],val[SHOE STYLE],val[COST PRICE])</f>
        <v>20451</v>
      </c>
      <c r="L224" s="2">
        <f>(Table2[[#This Row],[COST PRICE]]*Table2[[#This Row],[Quantity sold]])</f>
        <v>20451</v>
      </c>
      <c r="M224" s="2">
        <f>Table2[[#This Row],[TOTAL SALES]]-Table2[[#This Row],[TOTAL COST PRICE]]</f>
        <v>2277</v>
      </c>
      <c r="N224" s="2">
        <f>IF(Table2[[#This Row],[Amount Paid]]&gt;0,(SUMIF(Table2[Order ID],Table2[[#This Row],[Order ID]],Table2[Amount Paid])-SUMIF(Table2[Order ID],Table2[[#This Row],[Order ID]],Table2[TOTAL SALES])),0)</f>
        <v>0</v>
      </c>
      <c r="O224" s="8">
        <v>43</v>
      </c>
      <c r="P224" s="8" t="s">
        <v>25</v>
      </c>
      <c r="Q224" s="8" t="s">
        <v>54</v>
      </c>
      <c r="R224" s="8" t="s">
        <v>44</v>
      </c>
      <c r="S224" s="8" t="s">
        <v>28</v>
      </c>
      <c r="T224" s="8">
        <f t="shared" si="3"/>
        <v>0</v>
      </c>
      <c r="U224" t="str" cm="1">
        <f t="array" ref="U224">_xlfn.IFNA(_xlfn.IFS(Table2[[#This Row],[DEFICIT /SURPLUS]]&lt;0,"Deficit",Table2[[#This Row],[DEFICIT /SURPLUS]]&gt;0,"surplus"),"-")</f>
        <v>-</v>
      </c>
    </row>
    <row r="225" spans="1:21" ht="14.5">
      <c r="A225" s="8" t="s">
        <v>214</v>
      </c>
      <c r="B225" s="9">
        <v>45584</v>
      </c>
      <c r="C225" s="8" t="s">
        <v>22</v>
      </c>
      <c r="D225" s="8" t="s">
        <v>57</v>
      </c>
      <c r="E225" s="8" t="s">
        <v>50</v>
      </c>
      <c r="F225" s="31">
        <f>_xlfn.XLOOKUP(Table2[[#This Row],[Shoe style]],val[SHOE STYLE],val[UNIT PRICE])</f>
        <v>10196</v>
      </c>
      <c r="H225" s="11">
        <v>1</v>
      </c>
      <c r="I225" s="6">
        <f>IF(Table2[[#This Row],[Discount]]&lt;(Table2[[#This Row],[UNIT PRICE]]*Table2[[#This Row],[Quantity sold]]),Table2[[#This Row],[UNIT PRICE]]*Table2[[#This Row],[Quantity sold]]-Table2[[#This Row],[Discount]],0)</f>
        <v>10196</v>
      </c>
      <c r="J225" s="10">
        <v>19350</v>
      </c>
      <c r="K225" s="2">
        <f>_xlfn.XLOOKUP(Table2[[#This Row],[Shoe style]],val[SHOE STYLE],val[COST PRICE])</f>
        <v>7050</v>
      </c>
      <c r="L225" s="2">
        <f>(Table2[[#This Row],[COST PRICE]]*Table2[[#This Row],[Quantity sold]])</f>
        <v>7050</v>
      </c>
      <c r="M225" s="2">
        <f>Table2[[#This Row],[TOTAL SALES]]-Table2[[#This Row],[TOTAL COST PRICE]]</f>
        <v>3146</v>
      </c>
      <c r="N225" s="2">
        <f>IF(Table2[[#This Row],[Amount Paid]]&gt;0,(SUMIF(Table2[Order ID],Table2[[#This Row],[Order ID]],Table2[Amount Paid])-SUMIF(Table2[Order ID],Table2[[#This Row],[Order ID]],Table2[TOTAL SALES])),0)</f>
        <v>9154</v>
      </c>
      <c r="O225" s="8">
        <v>43</v>
      </c>
      <c r="P225" s="8" t="s">
        <v>25</v>
      </c>
      <c r="Q225" s="8" t="s">
        <v>54</v>
      </c>
      <c r="R225" s="8" t="s">
        <v>44</v>
      </c>
      <c r="S225" s="8" t="s">
        <v>28</v>
      </c>
      <c r="T225" s="8">
        <f t="shared" si="3"/>
        <v>0</v>
      </c>
      <c r="U225" t="str" cm="1">
        <f t="array" ref="U225">_xlfn.IFNA(_xlfn.IFS(Table2[[#This Row],[DEFICIT /SURPLUS]]&lt;0,"Deficit",Table2[[#This Row],[DEFICIT /SURPLUS]]&gt;0,"surplus"),"-")</f>
        <v>surplus</v>
      </c>
    </row>
    <row r="226" spans="1:21" ht="14.5">
      <c r="A226" s="8" t="s">
        <v>215</v>
      </c>
      <c r="B226" s="9">
        <v>45584</v>
      </c>
      <c r="C226" s="8" t="s">
        <v>22</v>
      </c>
      <c r="D226" s="8" t="s">
        <v>53</v>
      </c>
      <c r="E226" s="8" t="s">
        <v>30</v>
      </c>
      <c r="F226" s="31">
        <f>_xlfn.XLOOKUP(Table2[[#This Row],[Shoe style]],val[SHOE STYLE],val[UNIT PRICE])</f>
        <v>9838</v>
      </c>
      <c r="H226" s="11">
        <v>1</v>
      </c>
      <c r="I226" s="6">
        <f>IF(Table2[[#This Row],[Discount]]&lt;(Table2[[#This Row],[UNIT PRICE]]*Table2[[#This Row],[Quantity sold]]),Table2[[#This Row],[UNIT PRICE]]*Table2[[#This Row],[Quantity sold]]-Table2[[#This Row],[Discount]],0)</f>
        <v>9838</v>
      </c>
      <c r="J226" s="10">
        <v>30500</v>
      </c>
      <c r="K226" s="2">
        <f>_xlfn.XLOOKUP(Table2[[#This Row],[Shoe style]],val[SHOE STYLE],val[COST PRICE])</f>
        <v>6687</v>
      </c>
      <c r="L226" s="2">
        <f>(Table2[[#This Row],[COST PRICE]]*Table2[[#This Row],[Quantity sold]])</f>
        <v>6687</v>
      </c>
      <c r="M226" s="2">
        <f>Table2[[#This Row],[TOTAL SALES]]-Table2[[#This Row],[TOTAL COST PRICE]]</f>
        <v>3151</v>
      </c>
      <c r="N226" s="2">
        <f>IF(Table2[[#This Row],[Amount Paid]]&gt;0,(SUMIF(Table2[Order ID],Table2[[#This Row],[Order ID]],Table2[Amount Paid])-SUMIF(Table2[Order ID],Table2[[#This Row],[Order ID]],Table2[TOTAL SALES])),0)</f>
        <v>10824</v>
      </c>
      <c r="O226" s="8">
        <v>40</v>
      </c>
      <c r="P226" s="8" t="s">
        <v>25</v>
      </c>
      <c r="Q226" s="8" t="s">
        <v>26</v>
      </c>
      <c r="R226" s="8" t="s">
        <v>27</v>
      </c>
      <c r="S226" s="8" t="s">
        <v>28</v>
      </c>
      <c r="T226" s="8">
        <f t="shared" si="3"/>
        <v>0</v>
      </c>
      <c r="U226" t="str" cm="1">
        <f t="array" ref="U226">_xlfn.IFNA(_xlfn.IFS(Table2[[#This Row],[DEFICIT /SURPLUS]]&lt;0,"Deficit",Table2[[#This Row],[DEFICIT /SURPLUS]]&gt;0,"surplus"),"-")</f>
        <v>surplus</v>
      </c>
    </row>
    <row r="227" spans="1:21" ht="14.5">
      <c r="A227" s="8" t="s">
        <v>215</v>
      </c>
      <c r="B227" s="9">
        <v>45584</v>
      </c>
      <c r="C227" s="8" t="s">
        <v>22</v>
      </c>
      <c r="D227" s="8" t="s">
        <v>53</v>
      </c>
      <c r="E227" s="8" t="s">
        <v>30</v>
      </c>
      <c r="F227" s="31">
        <f>_xlfn.XLOOKUP(Table2[[#This Row],[Shoe style]],val[SHOE STYLE],val[UNIT PRICE])</f>
        <v>9838</v>
      </c>
      <c r="H227" s="11">
        <v>1</v>
      </c>
      <c r="I227" s="6">
        <f>IF(Table2[[#This Row],[Discount]]&lt;(Table2[[#This Row],[UNIT PRICE]]*Table2[[#This Row],[Quantity sold]]),Table2[[#This Row],[UNIT PRICE]]*Table2[[#This Row],[Quantity sold]]-Table2[[#This Row],[Discount]],0)</f>
        <v>9838</v>
      </c>
      <c r="K227" s="2">
        <f>_xlfn.XLOOKUP(Table2[[#This Row],[Shoe style]],val[SHOE STYLE],val[COST PRICE])</f>
        <v>6687</v>
      </c>
      <c r="L227" s="2">
        <f>(Table2[[#This Row],[COST PRICE]]*Table2[[#This Row],[Quantity sold]])</f>
        <v>6687</v>
      </c>
      <c r="M227" s="2">
        <f>Table2[[#This Row],[TOTAL SALES]]-Table2[[#This Row],[TOTAL COST PRICE]]</f>
        <v>3151</v>
      </c>
      <c r="N227" s="2">
        <f>IF(Table2[[#This Row],[Amount Paid]]&gt;0,(SUMIF(Table2[Order ID],Table2[[#This Row],[Order ID]],Table2[Amount Paid])-SUMIF(Table2[Order ID],Table2[[#This Row],[Order ID]],Table2[TOTAL SALES])),0)</f>
        <v>0</v>
      </c>
      <c r="O227" s="8">
        <v>40</v>
      </c>
      <c r="P227" s="8" t="s">
        <v>25</v>
      </c>
      <c r="Q227" s="8" t="s">
        <v>26</v>
      </c>
      <c r="R227" s="8" t="s">
        <v>27</v>
      </c>
      <c r="S227" s="8" t="s">
        <v>28</v>
      </c>
      <c r="T227" s="8">
        <f t="shared" si="3"/>
        <v>0</v>
      </c>
      <c r="U227" t="str" cm="1">
        <f t="array" ref="U227">_xlfn.IFNA(_xlfn.IFS(Table2[[#This Row],[DEFICIT /SURPLUS]]&lt;0,"Deficit",Table2[[#This Row],[DEFICIT /SURPLUS]]&gt;0,"surplus"),"-")</f>
        <v>-</v>
      </c>
    </row>
    <row r="228" spans="1:21" ht="14.5">
      <c r="A228" s="8" t="s">
        <v>216</v>
      </c>
      <c r="B228" s="9">
        <v>45584</v>
      </c>
      <c r="C228" s="8" t="s">
        <v>22</v>
      </c>
      <c r="D228" s="8" t="s">
        <v>51</v>
      </c>
      <c r="E228" s="8" t="s">
        <v>63</v>
      </c>
      <c r="F228" s="31">
        <f>_xlfn.XLOOKUP(Table2[[#This Row],[Shoe style]],val[SHOE STYLE],val[UNIT PRICE])</f>
        <v>11007</v>
      </c>
      <c r="H228" s="11">
        <v>1</v>
      </c>
      <c r="I228" s="6">
        <f>IF(Table2[[#This Row],[Discount]]&lt;(Table2[[#This Row],[UNIT PRICE]]*Table2[[#This Row],[Quantity sold]]),Table2[[#This Row],[UNIT PRICE]]*Table2[[#This Row],[Quantity sold]]-Table2[[#This Row],[Discount]],0)</f>
        <v>11007</v>
      </c>
      <c r="J228" s="10">
        <v>14500</v>
      </c>
      <c r="K228" s="2">
        <f>_xlfn.XLOOKUP(Table2[[#This Row],[Shoe style]],val[SHOE STYLE],val[COST PRICE])</f>
        <v>8327</v>
      </c>
      <c r="L228" s="2">
        <f>(Table2[[#This Row],[COST PRICE]]*Table2[[#This Row],[Quantity sold]])</f>
        <v>8327</v>
      </c>
      <c r="M228" s="2">
        <f>Table2[[#This Row],[TOTAL SALES]]-Table2[[#This Row],[TOTAL COST PRICE]]</f>
        <v>2680</v>
      </c>
      <c r="N228" s="2">
        <f>IF(Table2[[#This Row],[Amount Paid]]&gt;0,(SUMIF(Table2[Order ID],Table2[[#This Row],[Order ID]],Table2[Amount Paid])-SUMIF(Table2[Order ID],Table2[[#This Row],[Order ID]],Table2[TOTAL SALES])),0)</f>
        <v>3493</v>
      </c>
      <c r="O228" s="8">
        <v>41</v>
      </c>
      <c r="P228" s="8" t="s">
        <v>25</v>
      </c>
      <c r="Q228" s="8" t="s">
        <v>26</v>
      </c>
      <c r="R228" s="8" t="s">
        <v>27</v>
      </c>
      <c r="S228" s="8" t="s">
        <v>28</v>
      </c>
      <c r="T228" s="8">
        <f t="shared" si="3"/>
        <v>0</v>
      </c>
      <c r="U228" t="str" cm="1">
        <f t="array" ref="U228">_xlfn.IFNA(_xlfn.IFS(Table2[[#This Row],[DEFICIT /SURPLUS]]&lt;0,"Deficit",Table2[[#This Row],[DEFICIT /SURPLUS]]&gt;0,"surplus"),"-")</f>
        <v>surplus</v>
      </c>
    </row>
    <row r="229" spans="1:21" ht="14.5">
      <c r="A229" s="8" t="s">
        <v>217</v>
      </c>
      <c r="B229" s="9">
        <v>45586</v>
      </c>
      <c r="C229" s="8" t="s">
        <v>112</v>
      </c>
      <c r="D229" s="8" t="s">
        <v>49</v>
      </c>
      <c r="E229" s="8" t="s">
        <v>50</v>
      </c>
      <c r="F229" s="31">
        <f>_xlfn.XLOOKUP(Table2[[#This Row],[Shoe style]],val[SHOE STYLE],val[UNIT PRICE])</f>
        <v>20500</v>
      </c>
      <c r="H229" s="11">
        <v>1</v>
      </c>
      <c r="I229" s="6">
        <f>IF(Table2[[#This Row],[Discount]]&lt;(Table2[[#This Row],[UNIT PRICE]]*Table2[[#This Row],[Quantity sold]]),Table2[[#This Row],[UNIT PRICE]]*Table2[[#This Row],[Quantity sold]]-Table2[[#This Row],[Discount]],0)</f>
        <v>20500</v>
      </c>
      <c r="J229" s="10">
        <v>88000</v>
      </c>
      <c r="K229" s="2">
        <f>_xlfn.XLOOKUP(Table2[[#This Row],[Shoe style]],val[SHOE STYLE],val[COST PRICE])</f>
        <v>17339</v>
      </c>
      <c r="L229" s="2">
        <f>(Table2[[#This Row],[COST PRICE]]*Table2[[#This Row],[Quantity sold]])</f>
        <v>17339</v>
      </c>
      <c r="M229" s="2">
        <f>Table2[[#This Row],[TOTAL SALES]]-Table2[[#This Row],[TOTAL COST PRICE]]</f>
        <v>3161</v>
      </c>
      <c r="N229" s="2">
        <f>IF(Table2[[#This Row],[Amount Paid]]&gt;0,(SUMIF(Table2[Order ID],Table2[[#This Row],[Order ID]],Table2[Amount Paid])-SUMIF(Table2[Order ID],Table2[[#This Row],[Order ID]],Table2[TOTAL SALES])),0)</f>
        <v>-2580</v>
      </c>
      <c r="O229" s="8">
        <v>41</v>
      </c>
      <c r="P229" s="8" t="s">
        <v>25</v>
      </c>
      <c r="Q229" s="8" t="s">
        <v>26</v>
      </c>
      <c r="R229" s="8" t="s">
        <v>27</v>
      </c>
      <c r="S229" s="8" t="s">
        <v>28</v>
      </c>
      <c r="T229" s="8">
        <f t="shared" si="3"/>
        <v>0</v>
      </c>
      <c r="U229" t="str" cm="1">
        <f t="array" ref="U229">_xlfn.IFNA(_xlfn.IFS(Table2[[#This Row],[DEFICIT /SURPLUS]]&lt;0,"Deficit",Table2[[#This Row],[DEFICIT /SURPLUS]]&gt;0,"surplus"),"-")</f>
        <v>Deficit</v>
      </c>
    </row>
    <row r="230" spans="1:21" ht="14.5">
      <c r="A230" s="8" t="s">
        <v>217</v>
      </c>
      <c r="B230" s="9">
        <v>45586</v>
      </c>
      <c r="C230" s="8" t="s">
        <v>112</v>
      </c>
      <c r="D230" s="8" t="s">
        <v>49</v>
      </c>
      <c r="E230" s="8" t="s">
        <v>50</v>
      </c>
      <c r="F230" s="31">
        <f>_xlfn.XLOOKUP(Table2[[#This Row],[Shoe style]],val[SHOE STYLE],val[UNIT PRICE])</f>
        <v>20500</v>
      </c>
      <c r="H230" s="11">
        <v>1</v>
      </c>
      <c r="I230" s="6">
        <f>IF(Table2[[#This Row],[Discount]]&lt;(Table2[[#This Row],[UNIT PRICE]]*Table2[[#This Row],[Quantity sold]]),Table2[[#This Row],[UNIT PRICE]]*Table2[[#This Row],[Quantity sold]]-Table2[[#This Row],[Discount]],0)</f>
        <v>20500</v>
      </c>
      <c r="K230" s="2">
        <f>_xlfn.XLOOKUP(Table2[[#This Row],[Shoe style]],val[SHOE STYLE],val[COST PRICE])</f>
        <v>17339</v>
      </c>
      <c r="L230" s="2">
        <f>(Table2[[#This Row],[COST PRICE]]*Table2[[#This Row],[Quantity sold]])</f>
        <v>17339</v>
      </c>
      <c r="M230" s="2">
        <f>Table2[[#This Row],[TOTAL SALES]]-Table2[[#This Row],[TOTAL COST PRICE]]</f>
        <v>3161</v>
      </c>
      <c r="N230" s="2">
        <f>IF(Table2[[#This Row],[Amount Paid]]&gt;0,(SUMIF(Table2[Order ID],Table2[[#This Row],[Order ID]],Table2[Amount Paid])-SUMIF(Table2[Order ID],Table2[[#This Row],[Order ID]],Table2[TOTAL SALES])),0)</f>
        <v>0</v>
      </c>
      <c r="O230" s="8">
        <v>43</v>
      </c>
      <c r="P230" s="8" t="s">
        <v>25</v>
      </c>
      <c r="Q230" s="8" t="s">
        <v>26</v>
      </c>
      <c r="R230" s="8" t="s">
        <v>27</v>
      </c>
      <c r="S230" s="8" t="s">
        <v>28</v>
      </c>
      <c r="T230" s="8">
        <f t="shared" si="3"/>
        <v>0</v>
      </c>
      <c r="U230" t="str" cm="1">
        <f t="array" ref="U230">_xlfn.IFNA(_xlfn.IFS(Table2[[#This Row],[DEFICIT /SURPLUS]]&lt;0,"Deficit",Table2[[#This Row],[DEFICIT /SURPLUS]]&gt;0,"surplus"),"-")</f>
        <v>-</v>
      </c>
    </row>
    <row r="231" spans="1:21" ht="14.5">
      <c r="A231" s="8" t="s">
        <v>217</v>
      </c>
      <c r="B231" s="9">
        <v>45586</v>
      </c>
      <c r="C231" s="8" t="s">
        <v>112</v>
      </c>
      <c r="D231" s="8" t="s">
        <v>29</v>
      </c>
      <c r="E231" s="8" t="s">
        <v>109</v>
      </c>
      <c r="F231" s="31">
        <f>_xlfn.XLOOKUP(Table2[[#This Row],[Shoe style]],val[SHOE STYLE],val[UNIT PRICE])</f>
        <v>12395</v>
      </c>
      <c r="H231" s="11">
        <v>1</v>
      </c>
      <c r="I231" s="6">
        <f>IF(Table2[[#This Row],[Discount]]&lt;(Table2[[#This Row],[UNIT PRICE]]*Table2[[#This Row],[Quantity sold]]),Table2[[#This Row],[UNIT PRICE]]*Table2[[#This Row],[Quantity sold]]-Table2[[#This Row],[Discount]],0)</f>
        <v>12395</v>
      </c>
      <c r="K231" s="2">
        <f>_xlfn.XLOOKUP(Table2[[#This Row],[Shoe style]],val[SHOE STYLE],val[COST PRICE])</f>
        <v>7909</v>
      </c>
      <c r="L231" s="2">
        <f>(Table2[[#This Row],[COST PRICE]]*Table2[[#This Row],[Quantity sold]])</f>
        <v>7909</v>
      </c>
      <c r="M231" s="2">
        <f>Table2[[#This Row],[TOTAL SALES]]-Table2[[#This Row],[TOTAL COST PRICE]]</f>
        <v>4486</v>
      </c>
      <c r="N231" s="2">
        <f>IF(Table2[[#This Row],[Amount Paid]]&gt;0,(SUMIF(Table2[Order ID],Table2[[#This Row],[Order ID]],Table2[Amount Paid])-SUMIF(Table2[Order ID],Table2[[#This Row],[Order ID]],Table2[TOTAL SALES])),0)</f>
        <v>0</v>
      </c>
      <c r="O231" s="8">
        <v>43</v>
      </c>
      <c r="P231" s="8" t="s">
        <v>25</v>
      </c>
      <c r="Q231" s="8" t="s">
        <v>26</v>
      </c>
      <c r="R231" s="8" t="s">
        <v>27</v>
      </c>
      <c r="S231" s="8" t="s">
        <v>28</v>
      </c>
      <c r="T231" s="8">
        <f t="shared" si="3"/>
        <v>0</v>
      </c>
      <c r="U231" t="str" cm="1">
        <f t="array" ref="U231">_xlfn.IFNA(_xlfn.IFS(Table2[[#This Row],[DEFICIT /SURPLUS]]&lt;0,"Deficit",Table2[[#This Row],[DEFICIT /SURPLUS]]&gt;0,"surplus"),"-")</f>
        <v>-</v>
      </c>
    </row>
    <row r="232" spans="1:21" ht="14.5">
      <c r="A232" s="8" t="s">
        <v>217</v>
      </c>
      <c r="B232" s="9">
        <v>45586</v>
      </c>
      <c r="C232" s="8" t="s">
        <v>112</v>
      </c>
      <c r="D232" s="8" t="s">
        <v>29</v>
      </c>
      <c r="E232" s="8" t="s">
        <v>109</v>
      </c>
      <c r="F232" s="31">
        <f>_xlfn.XLOOKUP(Table2[[#This Row],[Shoe style]],val[SHOE STYLE],val[UNIT PRICE])</f>
        <v>12395</v>
      </c>
      <c r="H232" s="11">
        <v>1</v>
      </c>
      <c r="I232" s="6">
        <f>IF(Table2[[#This Row],[Discount]]&lt;(Table2[[#This Row],[UNIT PRICE]]*Table2[[#This Row],[Quantity sold]]),Table2[[#This Row],[UNIT PRICE]]*Table2[[#This Row],[Quantity sold]]-Table2[[#This Row],[Discount]],0)</f>
        <v>12395</v>
      </c>
      <c r="K232" s="2">
        <f>_xlfn.XLOOKUP(Table2[[#This Row],[Shoe style]],val[SHOE STYLE],val[COST PRICE])</f>
        <v>7909</v>
      </c>
      <c r="L232" s="2">
        <f>(Table2[[#This Row],[COST PRICE]]*Table2[[#This Row],[Quantity sold]])</f>
        <v>7909</v>
      </c>
      <c r="M232" s="2">
        <f>Table2[[#This Row],[TOTAL SALES]]-Table2[[#This Row],[TOTAL COST PRICE]]</f>
        <v>4486</v>
      </c>
      <c r="N232" s="2">
        <f>IF(Table2[[#This Row],[Amount Paid]]&gt;0,(SUMIF(Table2[Order ID],Table2[[#This Row],[Order ID]],Table2[Amount Paid])-SUMIF(Table2[Order ID],Table2[[#This Row],[Order ID]],Table2[TOTAL SALES])),0)</f>
        <v>0</v>
      </c>
      <c r="O232" s="8">
        <v>43</v>
      </c>
      <c r="P232" s="8" t="s">
        <v>25</v>
      </c>
      <c r="Q232" s="8" t="s">
        <v>26</v>
      </c>
      <c r="R232" s="8" t="s">
        <v>27</v>
      </c>
      <c r="S232" s="8" t="s">
        <v>28</v>
      </c>
      <c r="T232" s="8">
        <f t="shared" si="3"/>
        <v>0</v>
      </c>
      <c r="U232" t="str" cm="1">
        <f t="array" ref="U232">_xlfn.IFNA(_xlfn.IFS(Table2[[#This Row],[DEFICIT /SURPLUS]]&lt;0,"Deficit",Table2[[#This Row],[DEFICIT /SURPLUS]]&gt;0,"surplus"),"-")</f>
        <v>-</v>
      </c>
    </row>
    <row r="233" spans="1:21" ht="14.5">
      <c r="A233" s="8" t="s">
        <v>217</v>
      </c>
      <c r="B233" s="9">
        <v>45586</v>
      </c>
      <c r="C233" s="8" t="s">
        <v>112</v>
      </c>
      <c r="D233" s="8" t="s">
        <v>29</v>
      </c>
      <c r="E233" s="8" t="s">
        <v>109</v>
      </c>
      <c r="F233" s="31">
        <f>_xlfn.XLOOKUP(Table2[[#This Row],[Shoe style]],val[SHOE STYLE],val[UNIT PRICE])</f>
        <v>12395</v>
      </c>
      <c r="H233" s="11">
        <v>1</v>
      </c>
      <c r="I233" s="6">
        <f>IF(Table2[[#This Row],[Discount]]&lt;(Table2[[#This Row],[UNIT PRICE]]*Table2[[#This Row],[Quantity sold]]),Table2[[#This Row],[UNIT PRICE]]*Table2[[#This Row],[Quantity sold]]-Table2[[#This Row],[Discount]],0)</f>
        <v>12395</v>
      </c>
      <c r="K233" s="2">
        <f>_xlfn.XLOOKUP(Table2[[#This Row],[Shoe style]],val[SHOE STYLE],val[COST PRICE])</f>
        <v>7909</v>
      </c>
      <c r="L233" s="2">
        <f>(Table2[[#This Row],[COST PRICE]]*Table2[[#This Row],[Quantity sold]])</f>
        <v>7909</v>
      </c>
      <c r="M233" s="2">
        <f>Table2[[#This Row],[TOTAL SALES]]-Table2[[#This Row],[TOTAL COST PRICE]]</f>
        <v>4486</v>
      </c>
      <c r="N233" s="2">
        <f>IF(Table2[[#This Row],[Amount Paid]]&gt;0,(SUMIF(Table2[Order ID],Table2[[#This Row],[Order ID]],Table2[Amount Paid])-SUMIF(Table2[Order ID],Table2[[#This Row],[Order ID]],Table2[TOTAL SALES])),0)</f>
        <v>0</v>
      </c>
      <c r="O233" s="8">
        <v>41</v>
      </c>
      <c r="P233" s="8" t="s">
        <v>25</v>
      </c>
      <c r="Q233" s="8" t="s">
        <v>26</v>
      </c>
      <c r="R233" s="8" t="s">
        <v>27</v>
      </c>
      <c r="S233" s="8" t="s">
        <v>28</v>
      </c>
      <c r="T233" s="8">
        <f t="shared" si="3"/>
        <v>0</v>
      </c>
      <c r="U233" t="str" cm="1">
        <f t="array" ref="U233">_xlfn.IFNA(_xlfn.IFS(Table2[[#This Row],[DEFICIT /SURPLUS]]&lt;0,"Deficit",Table2[[#This Row],[DEFICIT /SURPLUS]]&gt;0,"surplus"),"-")</f>
        <v>-</v>
      </c>
    </row>
    <row r="234" spans="1:21" ht="14.5">
      <c r="A234" s="8" t="s">
        <v>217</v>
      </c>
      <c r="B234" s="9">
        <v>45586</v>
      </c>
      <c r="C234" s="8" t="s">
        <v>112</v>
      </c>
      <c r="D234" s="8" t="s">
        <v>29</v>
      </c>
      <c r="E234" s="8" t="s">
        <v>109</v>
      </c>
      <c r="F234" s="31">
        <f>_xlfn.XLOOKUP(Table2[[#This Row],[Shoe style]],val[SHOE STYLE],val[UNIT PRICE])</f>
        <v>12395</v>
      </c>
      <c r="H234" s="11">
        <v>1</v>
      </c>
      <c r="I234" s="6">
        <f>IF(Table2[[#This Row],[Discount]]&lt;(Table2[[#This Row],[UNIT PRICE]]*Table2[[#This Row],[Quantity sold]]),Table2[[#This Row],[UNIT PRICE]]*Table2[[#This Row],[Quantity sold]]-Table2[[#This Row],[Discount]],0)</f>
        <v>12395</v>
      </c>
      <c r="K234" s="2">
        <f>_xlfn.XLOOKUP(Table2[[#This Row],[Shoe style]],val[SHOE STYLE],val[COST PRICE])</f>
        <v>7909</v>
      </c>
      <c r="L234" s="2">
        <f>(Table2[[#This Row],[COST PRICE]]*Table2[[#This Row],[Quantity sold]])</f>
        <v>7909</v>
      </c>
      <c r="M234" s="2">
        <f>Table2[[#This Row],[TOTAL SALES]]-Table2[[#This Row],[TOTAL COST PRICE]]</f>
        <v>4486</v>
      </c>
      <c r="N234" s="2">
        <f>IF(Table2[[#This Row],[Amount Paid]]&gt;0,(SUMIF(Table2[Order ID],Table2[[#This Row],[Order ID]],Table2[Amount Paid])-SUMIF(Table2[Order ID],Table2[[#This Row],[Order ID]],Table2[TOTAL SALES])),0)</f>
        <v>0</v>
      </c>
      <c r="O234" s="8">
        <v>41</v>
      </c>
      <c r="P234" s="8" t="s">
        <v>25</v>
      </c>
      <c r="Q234" s="8" t="s">
        <v>26</v>
      </c>
      <c r="R234" s="8" t="s">
        <v>27</v>
      </c>
      <c r="S234" s="8" t="s">
        <v>28</v>
      </c>
      <c r="T234" s="8">
        <f t="shared" si="3"/>
        <v>0</v>
      </c>
      <c r="U234" t="str" cm="1">
        <f t="array" ref="U234">_xlfn.IFNA(_xlfn.IFS(Table2[[#This Row],[DEFICIT /SURPLUS]]&lt;0,"Deficit",Table2[[#This Row],[DEFICIT /SURPLUS]]&gt;0,"surplus"),"-")</f>
        <v>-</v>
      </c>
    </row>
    <row r="235" spans="1:21" ht="14.5">
      <c r="A235" s="8" t="s">
        <v>218</v>
      </c>
      <c r="B235" s="9">
        <v>45586</v>
      </c>
      <c r="C235" s="8" t="s">
        <v>22</v>
      </c>
      <c r="D235" s="8" t="s">
        <v>29</v>
      </c>
      <c r="E235" s="8" t="s">
        <v>30</v>
      </c>
      <c r="F235" s="31">
        <f>_xlfn.XLOOKUP(Table2[[#This Row],[Shoe style]],val[SHOE STYLE],val[UNIT PRICE])</f>
        <v>12395</v>
      </c>
      <c r="H235" s="11">
        <v>1</v>
      </c>
      <c r="I235" s="6">
        <f>IF(Table2[[#This Row],[Discount]]&lt;(Table2[[#This Row],[UNIT PRICE]]*Table2[[#This Row],[Quantity sold]]),Table2[[#This Row],[UNIT PRICE]]*Table2[[#This Row],[Quantity sold]]-Table2[[#This Row],[Discount]],0)</f>
        <v>12395</v>
      </c>
      <c r="J235" s="10">
        <v>14512</v>
      </c>
      <c r="K235" s="2">
        <f>_xlfn.XLOOKUP(Table2[[#This Row],[Shoe style]],val[SHOE STYLE],val[COST PRICE])</f>
        <v>7909</v>
      </c>
      <c r="L235" s="2">
        <f>(Table2[[#This Row],[COST PRICE]]*Table2[[#This Row],[Quantity sold]])</f>
        <v>7909</v>
      </c>
      <c r="M235" s="2">
        <f>Table2[[#This Row],[TOTAL SALES]]-Table2[[#This Row],[TOTAL COST PRICE]]</f>
        <v>4486</v>
      </c>
      <c r="N235" s="2">
        <f>IF(Table2[[#This Row],[Amount Paid]]&gt;0,(SUMIF(Table2[Order ID],Table2[[#This Row],[Order ID]],Table2[Amount Paid])-SUMIF(Table2[Order ID],Table2[[#This Row],[Order ID]],Table2[TOTAL SALES])),0)</f>
        <v>2117</v>
      </c>
      <c r="O235" s="8">
        <v>43</v>
      </c>
      <c r="P235" s="8" t="s">
        <v>25</v>
      </c>
      <c r="Q235" s="8" t="s">
        <v>54</v>
      </c>
      <c r="R235" s="8" t="s">
        <v>44</v>
      </c>
      <c r="S235" s="8" t="s">
        <v>28</v>
      </c>
      <c r="T235" s="8">
        <f t="shared" si="3"/>
        <v>0</v>
      </c>
      <c r="U235" t="str" cm="1">
        <f t="array" ref="U235">_xlfn.IFNA(_xlfn.IFS(Table2[[#This Row],[DEFICIT /SURPLUS]]&lt;0,"Deficit",Table2[[#This Row],[DEFICIT /SURPLUS]]&gt;0,"surplus"),"-")</f>
        <v>surplus</v>
      </c>
    </row>
    <row r="236" spans="1:21" ht="14.5">
      <c r="A236" s="8" t="s">
        <v>219</v>
      </c>
      <c r="B236" s="9">
        <v>45587</v>
      </c>
      <c r="C236" s="8" t="s">
        <v>22</v>
      </c>
      <c r="D236" s="8" t="s">
        <v>53</v>
      </c>
      <c r="E236" s="8" t="s">
        <v>50</v>
      </c>
      <c r="F236" s="31">
        <f>_xlfn.XLOOKUP(Table2[[#This Row],[Shoe style]],val[SHOE STYLE],val[UNIT PRICE])</f>
        <v>9838</v>
      </c>
      <c r="H236" s="11">
        <v>1</v>
      </c>
      <c r="I236" s="6">
        <f>IF(Table2[[#This Row],[Discount]]&lt;(Table2[[#This Row],[UNIT PRICE]]*Table2[[#This Row],[Quantity sold]]),Table2[[#This Row],[UNIT PRICE]]*Table2[[#This Row],[Quantity sold]]-Table2[[#This Row],[Discount]],0)</f>
        <v>9838</v>
      </c>
      <c r="J236" s="10">
        <v>18000</v>
      </c>
      <c r="K236" s="2">
        <f>_xlfn.XLOOKUP(Table2[[#This Row],[Shoe style]],val[SHOE STYLE],val[COST PRICE])</f>
        <v>6687</v>
      </c>
      <c r="L236" s="2">
        <f>(Table2[[#This Row],[COST PRICE]]*Table2[[#This Row],[Quantity sold]])</f>
        <v>6687</v>
      </c>
      <c r="M236" s="2">
        <f>Table2[[#This Row],[TOTAL SALES]]-Table2[[#This Row],[TOTAL COST PRICE]]</f>
        <v>3151</v>
      </c>
      <c r="N236" s="2">
        <f>IF(Table2[[#This Row],[Amount Paid]]&gt;0,(SUMIF(Table2[Order ID],Table2[[#This Row],[Order ID]],Table2[Amount Paid])-SUMIF(Table2[Order ID],Table2[[#This Row],[Order ID]],Table2[TOTAL SALES])),0)</f>
        <v>8162</v>
      </c>
      <c r="O236" s="8">
        <v>43</v>
      </c>
      <c r="P236" s="8" t="s">
        <v>25</v>
      </c>
      <c r="Q236" s="8" t="s">
        <v>54</v>
      </c>
      <c r="R236" s="8" t="s">
        <v>44</v>
      </c>
      <c r="S236" s="8" t="s">
        <v>28</v>
      </c>
      <c r="T236" s="8">
        <f t="shared" si="3"/>
        <v>0</v>
      </c>
      <c r="U236" t="str" cm="1">
        <f t="array" ref="U236">_xlfn.IFNA(_xlfn.IFS(Table2[[#This Row],[DEFICIT /SURPLUS]]&lt;0,"Deficit",Table2[[#This Row],[DEFICIT /SURPLUS]]&gt;0,"surplus"),"-")</f>
        <v>surplus</v>
      </c>
    </row>
    <row r="237" spans="1:21" ht="14.5">
      <c r="A237" s="8" t="s">
        <v>220</v>
      </c>
      <c r="B237" s="9">
        <v>45588</v>
      </c>
      <c r="C237" s="8" t="s">
        <v>112</v>
      </c>
      <c r="D237" s="8" t="s">
        <v>53</v>
      </c>
      <c r="E237" s="8" t="s">
        <v>24</v>
      </c>
      <c r="F237" s="31">
        <f>_xlfn.XLOOKUP(Table2[[#This Row],[Shoe style]],val[SHOE STYLE],val[UNIT PRICE])</f>
        <v>9838</v>
      </c>
      <c r="H237" s="11">
        <v>1</v>
      </c>
      <c r="I237" s="6">
        <f>IF(Table2[[#This Row],[Discount]]&lt;(Table2[[#This Row],[UNIT PRICE]]*Table2[[#This Row],[Quantity sold]]),Table2[[#This Row],[UNIT PRICE]]*Table2[[#This Row],[Quantity sold]]-Table2[[#This Row],[Discount]],0)</f>
        <v>9838</v>
      </c>
      <c r="J237" s="10">
        <v>34000</v>
      </c>
      <c r="K237" s="2">
        <f>_xlfn.XLOOKUP(Table2[[#This Row],[Shoe style]],val[SHOE STYLE],val[COST PRICE])</f>
        <v>6687</v>
      </c>
      <c r="L237" s="2">
        <f>(Table2[[#This Row],[COST PRICE]]*Table2[[#This Row],[Quantity sold]])</f>
        <v>6687</v>
      </c>
      <c r="M237" s="2">
        <f>Table2[[#This Row],[TOTAL SALES]]-Table2[[#This Row],[TOTAL COST PRICE]]</f>
        <v>3151</v>
      </c>
      <c r="N237" s="2">
        <f>IF(Table2[[#This Row],[Amount Paid]]&gt;0,(SUMIF(Table2[Order ID],Table2[[#This Row],[Order ID]],Table2[Amount Paid])-SUMIF(Table2[Order ID],Table2[[#This Row],[Order ID]],Table2[TOTAL SALES])),0)</f>
        <v>1434</v>
      </c>
      <c r="O237" s="8">
        <v>40</v>
      </c>
      <c r="P237" s="8" t="s">
        <v>25</v>
      </c>
      <c r="Q237" s="8" t="s">
        <v>26</v>
      </c>
      <c r="R237" s="8" t="s">
        <v>27</v>
      </c>
      <c r="S237" s="8" t="s">
        <v>28</v>
      </c>
      <c r="T237" s="8">
        <f t="shared" si="3"/>
        <v>0</v>
      </c>
      <c r="U237" t="str" cm="1">
        <f t="array" ref="U237">_xlfn.IFNA(_xlfn.IFS(Table2[[#This Row],[DEFICIT /SURPLUS]]&lt;0,"Deficit",Table2[[#This Row],[DEFICIT /SURPLUS]]&gt;0,"surplus"),"-")</f>
        <v>surplus</v>
      </c>
    </row>
    <row r="238" spans="1:21" ht="14.5">
      <c r="A238" s="8" t="s">
        <v>220</v>
      </c>
      <c r="B238" s="9">
        <v>45588</v>
      </c>
      <c r="C238" s="8" t="s">
        <v>112</v>
      </c>
      <c r="D238" s="8" t="s">
        <v>37</v>
      </c>
      <c r="E238" s="8" t="s">
        <v>50</v>
      </c>
      <c r="F238" s="31">
        <f>_xlfn.XLOOKUP(Table2[[#This Row],[Shoe style]],val[SHOE STYLE],val[UNIT PRICE])</f>
        <v>22728</v>
      </c>
      <c r="H238" s="11">
        <v>1</v>
      </c>
      <c r="I238" s="6">
        <f>IF(Table2[[#This Row],[Discount]]&lt;(Table2[[#This Row],[UNIT PRICE]]*Table2[[#This Row],[Quantity sold]]),Table2[[#This Row],[UNIT PRICE]]*Table2[[#This Row],[Quantity sold]]-Table2[[#This Row],[Discount]],0)</f>
        <v>22728</v>
      </c>
      <c r="K238" s="2">
        <f>_xlfn.XLOOKUP(Table2[[#This Row],[Shoe style]],val[SHOE STYLE],val[COST PRICE])</f>
        <v>20451</v>
      </c>
      <c r="L238" s="2">
        <f>(Table2[[#This Row],[COST PRICE]]*Table2[[#This Row],[Quantity sold]])</f>
        <v>20451</v>
      </c>
      <c r="M238" s="2">
        <f>Table2[[#This Row],[TOTAL SALES]]-Table2[[#This Row],[TOTAL COST PRICE]]</f>
        <v>2277</v>
      </c>
      <c r="N238" s="2">
        <f>IF(Table2[[#This Row],[Amount Paid]]&gt;0,(SUMIF(Table2[Order ID],Table2[[#This Row],[Order ID]],Table2[Amount Paid])-SUMIF(Table2[Order ID],Table2[[#This Row],[Order ID]],Table2[TOTAL SALES])),0)</f>
        <v>0</v>
      </c>
      <c r="O238" s="8">
        <v>40</v>
      </c>
      <c r="P238" s="8" t="s">
        <v>25</v>
      </c>
      <c r="Q238" s="8" t="s">
        <v>26</v>
      </c>
      <c r="R238" s="8" t="s">
        <v>27</v>
      </c>
      <c r="S238" s="8" t="s">
        <v>28</v>
      </c>
      <c r="T238" s="8">
        <f t="shared" si="3"/>
        <v>0</v>
      </c>
      <c r="U238" t="str" cm="1">
        <f t="array" ref="U238">_xlfn.IFNA(_xlfn.IFS(Table2[[#This Row],[DEFICIT /SURPLUS]]&lt;0,"Deficit",Table2[[#This Row],[DEFICIT /SURPLUS]]&gt;0,"surplus"),"-")</f>
        <v>-</v>
      </c>
    </row>
    <row r="239" spans="1:21" ht="14.5">
      <c r="A239" s="8" t="s">
        <v>221</v>
      </c>
      <c r="B239" s="9">
        <v>45587</v>
      </c>
      <c r="C239" s="8" t="s">
        <v>22</v>
      </c>
      <c r="D239" s="8" t="s">
        <v>49</v>
      </c>
      <c r="E239" s="8" t="s">
        <v>43</v>
      </c>
      <c r="F239" s="31">
        <f>_xlfn.XLOOKUP(Table2[[#This Row],[Shoe style]],val[SHOE STYLE],val[UNIT PRICE])</f>
        <v>20500</v>
      </c>
      <c r="H239" s="11">
        <v>1</v>
      </c>
      <c r="I239" s="6">
        <f>IF(Table2[[#This Row],[Discount]]&lt;(Table2[[#This Row],[UNIT PRICE]]*Table2[[#This Row],[Quantity sold]]),Table2[[#This Row],[UNIT PRICE]]*Table2[[#This Row],[Quantity sold]]-Table2[[#This Row],[Discount]],0)</f>
        <v>20500</v>
      </c>
      <c r="J239" s="10">
        <v>14500</v>
      </c>
      <c r="K239" s="2">
        <f>_xlfn.XLOOKUP(Table2[[#This Row],[Shoe style]],val[SHOE STYLE],val[COST PRICE])</f>
        <v>17339</v>
      </c>
      <c r="L239" s="2">
        <f>(Table2[[#This Row],[COST PRICE]]*Table2[[#This Row],[Quantity sold]])</f>
        <v>17339</v>
      </c>
      <c r="M239" s="2">
        <f>Table2[[#This Row],[TOTAL SALES]]-Table2[[#This Row],[TOTAL COST PRICE]]</f>
        <v>3161</v>
      </c>
      <c r="N239" s="2">
        <f>IF(Table2[[#This Row],[Amount Paid]]&gt;0,(SUMIF(Table2[Order ID],Table2[[#This Row],[Order ID]],Table2[Amount Paid])-SUMIF(Table2[Order ID],Table2[[#This Row],[Order ID]],Table2[TOTAL SALES])),0)</f>
        <v>-6000</v>
      </c>
      <c r="O239" s="8">
        <v>40</v>
      </c>
      <c r="P239" s="8" t="s">
        <v>25</v>
      </c>
      <c r="Q239" s="8" t="s">
        <v>195</v>
      </c>
      <c r="R239" s="8" t="s">
        <v>44</v>
      </c>
      <c r="S239" s="8" t="s">
        <v>28</v>
      </c>
      <c r="T239" s="8">
        <f t="shared" si="3"/>
        <v>0</v>
      </c>
      <c r="U239" t="str" cm="1">
        <f t="array" ref="U239">_xlfn.IFNA(_xlfn.IFS(Table2[[#This Row],[DEFICIT /SURPLUS]]&lt;0,"Deficit",Table2[[#This Row],[DEFICIT /SURPLUS]]&gt;0,"surplus"),"-")</f>
        <v>Deficit</v>
      </c>
    </row>
    <row r="240" spans="1:21" ht="14.5">
      <c r="A240" s="8" t="s">
        <v>222</v>
      </c>
      <c r="B240" s="9">
        <v>45588</v>
      </c>
      <c r="C240" s="8" t="s">
        <v>223</v>
      </c>
      <c r="D240" s="8" t="s">
        <v>49</v>
      </c>
      <c r="E240" s="8" t="s">
        <v>43</v>
      </c>
      <c r="F240" s="31">
        <f>_xlfn.XLOOKUP(Table2[[#This Row],[Shoe style]],val[SHOE STYLE],val[UNIT PRICE])</f>
        <v>20500</v>
      </c>
      <c r="H240" s="11">
        <v>1</v>
      </c>
      <c r="I240" s="6">
        <f>IF(Table2[[#This Row],[Discount]]&lt;(Table2[[#This Row],[UNIT PRICE]]*Table2[[#This Row],[Quantity sold]]),Table2[[#This Row],[UNIT PRICE]]*Table2[[#This Row],[Quantity sold]]-Table2[[#This Row],[Discount]],0)</f>
        <v>20500</v>
      </c>
      <c r="J240" s="10">
        <v>33000</v>
      </c>
      <c r="K240" s="2">
        <f>_xlfn.XLOOKUP(Table2[[#This Row],[Shoe style]],val[SHOE STYLE],val[COST PRICE])</f>
        <v>17339</v>
      </c>
      <c r="L240" s="2">
        <f>(Table2[[#This Row],[COST PRICE]]*Table2[[#This Row],[Quantity sold]])</f>
        <v>17339</v>
      </c>
      <c r="M240" s="2">
        <f>Table2[[#This Row],[TOTAL SALES]]-Table2[[#This Row],[TOTAL COST PRICE]]</f>
        <v>3161</v>
      </c>
      <c r="N240" s="2">
        <f>IF(Table2[[#This Row],[Amount Paid]]&gt;0,(SUMIF(Table2[Order ID],Table2[[#This Row],[Order ID]],Table2[Amount Paid])-SUMIF(Table2[Order ID],Table2[[#This Row],[Order ID]],Table2[TOTAL SALES])),0)</f>
        <v>-12290</v>
      </c>
      <c r="O240" s="8">
        <v>40</v>
      </c>
      <c r="P240" s="8" t="s">
        <v>25</v>
      </c>
      <c r="Q240" s="8" t="s">
        <v>26</v>
      </c>
      <c r="R240" s="8" t="s">
        <v>27</v>
      </c>
      <c r="S240" s="8" t="s">
        <v>28</v>
      </c>
      <c r="T240" s="8">
        <f t="shared" si="3"/>
        <v>0</v>
      </c>
      <c r="U240" t="str" cm="1">
        <f t="array" ref="U240">_xlfn.IFNA(_xlfn.IFS(Table2[[#This Row],[DEFICIT /SURPLUS]]&lt;0,"Deficit",Table2[[#This Row],[DEFICIT /SURPLUS]]&gt;0,"surplus"),"-")</f>
        <v>Deficit</v>
      </c>
    </row>
    <row r="241" spans="1:21" ht="14.5">
      <c r="A241" s="8" t="s">
        <v>222</v>
      </c>
      <c r="B241" s="9">
        <v>45588</v>
      </c>
      <c r="C241" s="8" t="s">
        <v>223</v>
      </c>
      <c r="D241" s="8" t="s">
        <v>29</v>
      </c>
      <c r="E241" s="8" t="s">
        <v>50</v>
      </c>
      <c r="F241" s="31">
        <f>_xlfn.XLOOKUP(Table2[[#This Row],[Shoe style]],val[SHOE STYLE],val[UNIT PRICE])</f>
        <v>12395</v>
      </c>
      <c r="H241" s="11">
        <v>1</v>
      </c>
      <c r="I241" s="6">
        <f>IF(Table2[[#This Row],[Discount]]&lt;(Table2[[#This Row],[UNIT PRICE]]*Table2[[#This Row],[Quantity sold]]),Table2[[#This Row],[UNIT PRICE]]*Table2[[#This Row],[Quantity sold]]-Table2[[#This Row],[Discount]],0)</f>
        <v>12395</v>
      </c>
      <c r="K241" s="2">
        <f>_xlfn.XLOOKUP(Table2[[#This Row],[Shoe style]],val[SHOE STYLE],val[COST PRICE])</f>
        <v>7909</v>
      </c>
      <c r="L241" s="2">
        <f>(Table2[[#This Row],[COST PRICE]]*Table2[[#This Row],[Quantity sold]])</f>
        <v>7909</v>
      </c>
      <c r="M241" s="2">
        <f>Table2[[#This Row],[TOTAL SALES]]-Table2[[#This Row],[TOTAL COST PRICE]]</f>
        <v>4486</v>
      </c>
      <c r="N241" s="2">
        <f>IF(Table2[[#This Row],[Amount Paid]]&gt;0,(SUMIF(Table2[Order ID],Table2[[#This Row],[Order ID]],Table2[Amount Paid])-SUMIF(Table2[Order ID],Table2[[#This Row],[Order ID]],Table2[TOTAL SALES])),0)</f>
        <v>0</v>
      </c>
      <c r="O241" s="8">
        <v>40</v>
      </c>
      <c r="P241" s="8" t="s">
        <v>25</v>
      </c>
      <c r="Q241" s="8" t="s">
        <v>26</v>
      </c>
      <c r="R241" s="8" t="s">
        <v>27</v>
      </c>
      <c r="S241" s="8" t="s">
        <v>28</v>
      </c>
      <c r="T241" s="8">
        <f t="shared" si="3"/>
        <v>0</v>
      </c>
      <c r="U241" t="str" cm="1">
        <f t="array" ref="U241">_xlfn.IFNA(_xlfn.IFS(Table2[[#This Row],[DEFICIT /SURPLUS]]&lt;0,"Deficit",Table2[[#This Row],[DEFICIT /SURPLUS]]&gt;0,"surplus"),"-")</f>
        <v>-</v>
      </c>
    </row>
    <row r="242" spans="1:21" ht="14.5">
      <c r="A242" s="8" t="s">
        <v>222</v>
      </c>
      <c r="B242" s="9">
        <v>45588</v>
      </c>
      <c r="C242" s="8" t="s">
        <v>223</v>
      </c>
      <c r="D242" s="8" t="s">
        <v>29</v>
      </c>
      <c r="E242" s="8" t="s">
        <v>50</v>
      </c>
      <c r="F242" s="31">
        <f>_xlfn.XLOOKUP(Table2[[#This Row],[Shoe style]],val[SHOE STYLE],val[UNIT PRICE])</f>
        <v>12395</v>
      </c>
      <c r="H242" s="11">
        <v>1</v>
      </c>
      <c r="I242" s="6">
        <f>IF(Table2[[#This Row],[Discount]]&lt;(Table2[[#This Row],[UNIT PRICE]]*Table2[[#This Row],[Quantity sold]]),Table2[[#This Row],[UNIT PRICE]]*Table2[[#This Row],[Quantity sold]]-Table2[[#This Row],[Discount]],0)</f>
        <v>12395</v>
      </c>
      <c r="K242" s="2">
        <f>_xlfn.XLOOKUP(Table2[[#This Row],[Shoe style]],val[SHOE STYLE],val[COST PRICE])</f>
        <v>7909</v>
      </c>
      <c r="L242" s="2">
        <f>(Table2[[#This Row],[COST PRICE]]*Table2[[#This Row],[Quantity sold]])</f>
        <v>7909</v>
      </c>
      <c r="M242" s="2">
        <f>Table2[[#This Row],[TOTAL SALES]]-Table2[[#This Row],[TOTAL COST PRICE]]</f>
        <v>4486</v>
      </c>
      <c r="N242" s="2">
        <f>IF(Table2[[#This Row],[Amount Paid]]&gt;0,(SUMIF(Table2[Order ID],Table2[[#This Row],[Order ID]],Table2[Amount Paid])-SUMIF(Table2[Order ID],Table2[[#This Row],[Order ID]],Table2[TOTAL SALES])),0)</f>
        <v>0</v>
      </c>
      <c r="O242" s="8">
        <v>40</v>
      </c>
      <c r="P242" s="8" t="s">
        <v>25</v>
      </c>
      <c r="Q242" s="8" t="s">
        <v>26</v>
      </c>
      <c r="R242" s="8" t="s">
        <v>27</v>
      </c>
      <c r="S242" s="8" t="s">
        <v>28</v>
      </c>
      <c r="T242" s="8">
        <f t="shared" si="3"/>
        <v>0</v>
      </c>
      <c r="U242" t="str" cm="1">
        <f t="array" ref="U242">_xlfn.IFNA(_xlfn.IFS(Table2[[#This Row],[DEFICIT /SURPLUS]]&lt;0,"Deficit",Table2[[#This Row],[DEFICIT /SURPLUS]]&gt;0,"surplus"),"-")</f>
        <v>-</v>
      </c>
    </row>
    <row r="243" spans="1:21" ht="14.5">
      <c r="A243" s="8" t="s">
        <v>224</v>
      </c>
      <c r="B243" s="9">
        <v>45589</v>
      </c>
      <c r="C243" s="8" t="s">
        <v>22</v>
      </c>
      <c r="D243" s="8" t="s">
        <v>37</v>
      </c>
      <c r="E243" s="8" t="s">
        <v>62</v>
      </c>
      <c r="F243" s="31">
        <f>_xlfn.XLOOKUP(Table2[[#This Row],[Shoe style]],val[SHOE STYLE],val[UNIT PRICE])</f>
        <v>22728</v>
      </c>
      <c r="H243" s="11">
        <v>1</v>
      </c>
      <c r="I243" s="6">
        <f>IF(Table2[[#This Row],[Discount]]&lt;(Table2[[#This Row],[UNIT PRICE]]*Table2[[#This Row],[Quantity sold]]),Table2[[#This Row],[UNIT PRICE]]*Table2[[#This Row],[Quantity sold]]-Table2[[#This Row],[Discount]],0)</f>
        <v>22728</v>
      </c>
      <c r="J243" s="10">
        <v>61500</v>
      </c>
      <c r="K243" s="2">
        <f>_xlfn.XLOOKUP(Table2[[#This Row],[Shoe style]],val[SHOE STYLE],val[COST PRICE])</f>
        <v>20451</v>
      </c>
      <c r="L243" s="2">
        <f>(Table2[[#This Row],[COST PRICE]]*Table2[[#This Row],[Quantity sold]])</f>
        <v>20451</v>
      </c>
      <c r="M243" s="2">
        <f>Table2[[#This Row],[TOTAL SALES]]-Table2[[#This Row],[TOTAL COST PRICE]]</f>
        <v>2277</v>
      </c>
      <c r="N243" s="2">
        <f>IF(Table2[[#This Row],[Amount Paid]]&gt;0,(SUMIF(Table2[Order ID],Table2[[#This Row],[Order ID]],Table2[Amount Paid])-SUMIF(Table2[Order ID],Table2[[#This Row],[Order ID]],Table2[TOTAL SALES])),0)</f>
        <v>-11555</v>
      </c>
      <c r="O243" s="8">
        <v>40</v>
      </c>
      <c r="P243" s="8" t="s">
        <v>25</v>
      </c>
      <c r="Q243" s="8" t="s">
        <v>26</v>
      </c>
      <c r="R243" s="8" t="s">
        <v>44</v>
      </c>
      <c r="S243" s="8" t="s">
        <v>28</v>
      </c>
      <c r="T243" s="8">
        <f t="shared" si="3"/>
        <v>0</v>
      </c>
      <c r="U243" t="str" cm="1">
        <f t="array" ref="U243">_xlfn.IFNA(_xlfn.IFS(Table2[[#This Row],[DEFICIT /SURPLUS]]&lt;0,"Deficit",Table2[[#This Row],[DEFICIT /SURPLUS]]&gt;0,"surplus"),"-")</f>
        <v>Deficit</v>
      </c>
    </row>
    <row r="244" spans="1:21" ht="14.5">
      <c r="A244" s="8" t="s">
        <v>224</v>
      </c>
      <c r="B244" s="9">
        <v>45589</v>
      </c>
      <c r="C244" s="8" t="s">
        <v>22</v>
      </c>
      <c r="D244" s="8" t="s">
        <v>124</v>
      </c>
      <c r="E244" s="8" t="s">
        <v>43</v>
      </c>
      <c r="F244" s="31">
        <f>_xlfn.XLOOKUP(Table2[[#This Row],[Shoe style]],val[SHOE STYLE],val[UNIT PRICE])</f>
        <v>15204</v>
      </c>
      <c r="H244" s="11">
        <v>1</v>
      </c>
      <c r="I244" s="6">
        <f>IF(Table2[[#This Row],[Discount]]&lt;(Table2[[#This Row],[UNIT PRICE]]*Table2[[#This Row],[Quantity sold]]),Table2[[#This Row],[UNIT PRICE]]*Table2[[#This Row],[Quantity sold]]-Table2[[#This Row],[Discount]],0)</f>
        <v>15204</v>
      </c>
      <c r="K244" s="2">
        <f>_xlfn.XLOOKUP(Table2[[#This Row],[Shoe style]],val[SHOE STYLE],val[COST PRICE])</f>
        <v>12537</v>
      </c>
      <c r="L244" s="2">
        <f>(Table2[[#This Row],[COST PRICE]]*Table2[[#This Row],[Quantity sold]])</f>
        <v>12537</v>
      </c>
      <c r="M244" s="2">
        <f>Table2[[#This Row],[TOTAL SALES]]-Table2[[#This Row],[TOTAL COST PRICE]]</f>
        <v>2667</v>
      </c>
      <c r="N244" s="2">
        <f>IF(Table2[[#This Row],[Amount Paid]]&gt;0,(SUMIF(Table2[Order ID],Table2[[#This Row],[Order ID]],Table2[Amount Paid])-SUMIF(Table2[Order ID],Table2[[#This Row],[Order ID]],Table2[TOTAL SALES])),0)</f>
        <v>0</v>
      </c>
      <c r="O244" s="8">
        <v>38</v>
      </c>
      <c r="P244" s="8" t="s">
        <v>25</v>
      </c>
      <c r="Q244" s="8" t="s">
        <v>26</v>
      </c>
      <c r="R244" s="8" t="s">
        <v>44</v>
      </c>
      <c r="S244" s="8" t="s">
        <v>28</v>
      </c>
      <c r="T244" s="8">
        <f t="shared" si="3"/>
        <v>0</v>
      </c>
      <c r="U244" t="str" cm="1">
        <f t="array" ref="U244">_xlfn.IFNA(_xlfn.IFS(Table2[[#This Row],[DEFICIT /SURPLUS]]&lt;0,"Deficit",Table2[[#This Row],[DEFICIT /SURPLUS]]&gt;0,"surplus"),"-")</f>
        <v>-</v>
      </c>
    </row>
    <row r="245" spans="1:21" ht="14.5">
      <c r="A245" s="8" t="s">
        <v>224</v>
      </c>
      <c r="B245" s="9">
        <v>45589</v>
      </c>
      <c r="C245" s="8" t="s">
        <v>22</v>
      </c>
      <c r="D245" s="8" t="s">
        <v>29</v>
      </c>
      <c r="E245" s="8" t="s">
        <v>62</v>
      </c>
      <c r="F245" s="31">
        <f>_xlfn.XLOOKUP(Table2[[#This Row],[Shoe style]],val[SHOE STYLE],val[UNIT PRICE])</f>
        <v>12395</v>
      </c>
      <c r="H245" s="11">
        <v>1</v>
      </c>
      <c r="I245" s="6">
        <f>IF(Table2[[#This Row],[Discount]]&lt;(Table2[[#This Row],[UNIT PRICE]]*Table2[[#This Row],[Quantity sold]]),Table2[[#This Row],[UNIT PRICE]]*Table2[[#This Row],[Quantity sold]]-Table2[[#This Row],[Discount]],0)</f>
        <v>12395</v>
      </c>
      <c r="K245" s="2">
        <f>_xlfn.XLOOKUP(Table2[[#This Row],[Shoe style]],val[SHOE STYLE],val[COST PRICE])</f>
        <v>7909</v>
      </c>
      <c r="L245" s="2">
        <f>(Table2[[#This Row],[COST PRICE]]*Table2[[#This Row],[Quantity sold]])</f>
        <v>7909</v>
      </c>
      <c r="M245" s="2">
        <f>Table2[[#This Row],[TOTAL SALES]]-Table2[[#This Row],[TOTAL COST PRICE]]</f>
        <v>4486</v>
      </c>
      <c r="N245" s="2">
        <f>IF(Table2[[#This Row],[Amount Paid]]&gt;0,(SUMIF(Table2[Order ID],Table2[[#This Row],[Order ID]],Table2[Amount Paid])-SUMIF(Table2[Order ID],Table2[[#This Row],[Order ID]],Table2[TOTAL SALES])),0)</f>
        <v>0</v>
      </c>
      <c r="O245" s="8">
        <v>40</v>
      </c>
      <c r="P245" s="8" t="s">
        <v>25</v>
      </c>
      <c r="Q245" s="8" t="s">
        <v>26</v>
      </c>
      <c r="R245" s="8" t="s">
        <v>44</v>
      </c>
      <c r="S245" s="8" t="s">
        <v>28</v>
      </c>
      <c r="T245" s="8">
        <f t="shared" si="3"/>
        <v>0</v>
      </c>
      <c r="U245" t="str" cm="1">
        <f t="array" ref="U245">_xlfn.IFNA(_xlfn.IFS(Table2[[#This Row],[DEFICIT /SURPLUS]]&lt;0,"Deficit",Table2[[#This Row],[DEFICIT /SURPLUS]]&gt;0,"surplus"),"-")</f>
        <v>-</v>
      </c>
    </row>
    <row r="246" spans="1:21" ht="14.5">
      <c r="A246" s="8" t="s">
        <v>224</v>
      </c>
      <c r="B246" s="9">
        <v>45589</v>
      </c>
      <c r="C246" s="8" t="s">
        <v>22</v>
      </c>
      <c r="D246" s="8" t="s">
        <v>37</v>
      </c>
      <c r="E246" s="8" t="s">
        <v>62</v>
      </c>
      <c r="F246" s="31">
        <f>_xlfn.XLOOKUP(Table2[[#This Row],[Shoe style]],val[SHOE STYLE],val[UNIT PRICE])</f>
        <v>22728</v>
      </c>
      <c r="H246" s="11">
        <v>1</v>
      </c>
      <c r="I246" s="6">
        <f>IF(Table2[[#This Row],[Discount]]&lt;(Table2[[#This Row],[UNIT PRICE]]*Table2[[#This Row],[Quantity sold]]),Table2[[#This Row],[UNIT PRICE]]*Table2[[#This Row],[Quantity sold]]-Table2[[#This Row],[Discount]],0)</f>
        <v>22728</v>
      </c>
      <c r="K246" s="2">
        <f>_xlfn.XLOOKUP(Table2[[#This Row],[Shoe style]],val[SHOE STYLE],val[COST PRICE])</f>
        <v>20451</v>
      </c>
      <c r="L246" s="2">
        <f>(Table2[[#This Row],[COST PRICE]]*Table2[[#This Row],[Quantity sold]])</f>
        <v>20451</v>
      </c>
      <c r="M246" s="2">
        <f>Table2[[#This Row],[TOTAL SALES]]-Table2[[#This Row],[TOTAL COST PRICE]]</f>
        <v>2277</v>
      </c>
      <c r="N246" s="2">
        <f>IF(Table2[[#This Row],[Amount Paid]]&gt;0,(SUMIF(Table2[Order ID],Table2[[#This Row],[Order ID]],Table2[Amount Paid])-SUMIF(Table2[Order ID],Table2[[#This Row],[Order ID]],Table2[TOTAL SALES])),0)</f>
        <v>0</v>
      </c>
      <c r="O246" s="8">
        <v>40</v>
      </c>
      <c r="P246" s="8" t="s">
        <v>25</v>
      </c>
      <c r="Q246" s="8" t="s">
        <v>26</v>
      </c>
      <c r="R246" s="8" t="s">
        <v>44</v>
      </c>
      <c r="S246" s="8" t="s">
        <v>28</v>
      </c>
      <c r="T246" s="8">
        <f t="shared" si="3"/>
        <v>0</v>
      </c>
      <c r="U246" t="str" cm="1">
        <f t="array" ref="U246">_xlfn.IFNA(_xlfn.IFS(Table2[[#This Row],[DEFICIT /SURPLUS]]&lt;0,"Deficit",Table2[[#This Row],[DEFICIT /SURPLUS]]&gt;0,"surplus"),"-")</f>
        <v>-</v>
      </c>
    </row>
    <row r="247" spans="1:21" ht="14.5">
      <c r="A247" s="8" t="s">
        <v>225</v>
      </c>
      <c r="B247" s="9">
        <v>45588</v>
      </c>
      <c r="C247" s="8" t="s">
        <v>157</v>
      </c>
      <c r="D247" s="8" t="s">
        <v>29</v>
      </c>
      <c r="E247" s="8" t="s">
        <v>109</v>
      </c>
      <c r="F247" s="31">
        <f>_xlfn.XLOOKUP(Table2[[#This Row],[Shoe style]],val[SHOE STYLE],val[UNIT PRICE])</f>
        <v>12395</v>
      </c>
      <c r="H247" s="11">
        <v>1</v>
      </c>
      <c r="I247" s="6">
        <f>IF(Table2[[#This Row],[Discount]]&lt;(Table2[[#This Row],[UNIT PRICE]]*Table2[[#This Row],[Quantity sold]]),Table2[[#This Row],[UNIT PRICE]]*Table2[[#This Row],[Quantity sold]]-Table2[[#This Row],[Discount]],0)</f>
        <v>12395</v>
      </c>
      <c r="J247" s="10">
        <v>32500</v>
      </c>
      <c r="K247" s="2">
        <f>_xlfn.XLOOKUP(Table2[[#This Row],[Shoe style]],val[SHOE STYLE],val[COST PRICE])</f>
        <v>7909</v>
      </c>
      <c r="L247" s="2">
        <f>(Table2[[#This Row],[COST PRICE]]*Table2[[#This Row],[Quantity sold]])</f>
        <v>7909</v>
      </c>
      <c r="M247" s="2">
        <f>Table2[[#This Row],[TOTAL SALES]]-Table2[[#This Row],[TOTAL COST PRICE]]</f>
        <v>4486</v>
      </c>
      <c r="N247" s="2">
        <f>IF(Table2[[#This Row],[Amount Paid]]&gt;0,(SUMIF(Table2[Order ID],Table2[[#This Row],[Order ID]],Table2[Amount Paid])-SUMIF(Table2[Order ID],Table2[[#This Row],[Order ID]],Table2[TOTAL SALES])),0)</f>
        <v>7710</v>
      </c>
      <c r="O247" s="8">
        <v>38</v>
      </c>
      <c r="P247" s="8" t="s">
        <v>25</v>
      </c>
      <c r="Q247" s="8" t="s">
        <v>26</v>
      </c>
      <c r="R247" s="8" t="s">
        <v>44</v>
      </c>
      <c r="S247" s="8" t="s">
        <v>28</v>
      </c>
      <c r="T247" s="8">
        <f t="shared" si="3"/>
        <v>0</v>
      </c>
      <c r="U247" t="str" cm="1">
        <f t="array" ref="U247">_xlfn.IFNA(_xlfn.IFS(Table2[[#This Row],[DEFICIT /SURPLUS]]&lt;0,"Deficit",Table2[[#This Row],[DEFICIT /SURPLUS]]&gt;0,"surplus"),"-")</f>
        <v>surplus</v>
      </c>
    </row>
    <row r="248" spans="1:21" ht="14.5">
      <c r="A248" s="8" t="s">
        <v>225</v>
      </c>
      <c r="B248" s="9">
        <v>45588</v>
      </c>
      <c r="C248" s="8" t="s">
        <v>157</v>
      </c>
      <c r="D248" s="8" t="s">
        <v>29</v>
      </c>
      <c r="E248" s="8" t="s">
        <v>55</v>
      </c>
      <c r="F248" s="31">
        <f>_xlfn.XLOOKUP(Table2[[#This Row],[Shoe style]],val[SHOE STYLE],val[UNIT PRICE])</f>
        <v>12395</v>
      </c>
      <c r="H248" s="11">
        <v>1</v>
      </c>
      <c r="I248" s="6">
        <f>IF(Table2[[#This Row],[Discount]]&lt;(Table2[[#This Row],[UNIT PRICE]]*Table2[[#This Row],[Quantity sold]]),Table2[[#This Row],[UNIT PRICE]]*Table2[[#This Row],[Quantity sold]]-Table2[[#This Row],[Discount]],0)</f>
        <v>12395</v>
      </c>
      <c r="K248" s="2">
        <f>_xlfn.XLOOKUP(Table2[[#This Row],[Shoe style]],val[SHOE STYLE],val[COST PRICE])</f>
        <v>7909</v>
      </c>
      <c r="L248" s="2">
        <f>(Table2[[#This Row],[COST PRICE]]*Table2[[#This Row],[Quantity sold]])</f>
        <v>7909</v>
      </c>
      <c r="M248" s="2">
        <f>Table2[[#This Row],[TOTAL SALES]]-Table2[[#This Row],[TOTAL COST PRICE]]</f>
        <v>4486</v>
      </c>
      <c r="N248" s="2">
        <f>IF(Table2[[#This Row],[Amount Paid]]&gt;0,(SUMIF(Table2[Order ID],Table2[[#This Row],[Order ID]],Table2[Amount Paid])-SUMIF(Table2[Order ID],Table2[[#This Row],[Order ID]],Table2[TOTAL SALES])),0)</f>
        <v>0</v>
      </c>
      <c r="O248" s="8">
        <v>38</v>
      </c>
      <c r="P248" s="8" t="s">
        <v>25</v>
      </c>
      <c r="Q248" s="8" t="s">
        <v>26</v>
      </c>
      <c r="R248" s="8" t="s">
        <v>44</v>
      </c>
      <c r="S248" s="8" t="s">
        <v>28</v>
      </c>
      <c r="T248" s="8">
        <f t="shared" si="3"/>
        <v>0</v>
      </c>
      <c r="U248" t="str" cm="1">
        <f t="array" ref="U248">_xlfn.IFNA(_xlfn.IFS(Table2[[#This Row],[DEFICIT /SURPLUS]]&lt;0,"Deficit",Table2[[#This Row],[DEFICIT /SURPLUS]]&gt;0,"surplus"),"-")</f>
        <v>-</v>
      </c>
    </row>
    <row r="249" spans="1:21" ht="14.5">
      <c r="A249" s="8" t="s">
        <v>226</v>
      </c>
      <c r="B249" s="9">
        <v>45588</v>
      </c>
      <c r="C249" s="8" t="s">
        <v>22</v>
      </c>
      <c r="D249" s="8" t="s">
        <v>124</v>
      </c>
      <c r="E249" s="8" t="s">
        <v>40</v>
      </c>
      <c r="F249" s="31">
        <f>_xlfn.XLOOKUP(Table2[[#This Row],[Shoe style]],val[SHOE STYLE],val[UNIT PRICE])</f>
        <v>15204</v>
      </c>
      <c r="H249" s="11">
        <v>1</v>
      </c>
      <c r="I249" s="6">
        <f>IF(Table2[[#This Row],[Discount]]&lt;(Table2[[#This Row],[UNIT PRICE]]*Table2[[#This Row],[Quantity sold]]),Table2[[#This Row],[UNIT PRICE]]*Table2[[#This Row],[Quantity sold]]-Table2[[#This Row],[Discount]],0)</f>
        <v>15204</v>
      </c>
      <c r="J249" s="10">
        <v>157000</v>
      </c>
      <c r="K249" s="2">
        <f>_xlfn.XLOOKUP(Table2[[#This Row],[Shoe style]],val[SHOE STYLE],val[COST PRICE])</f>
        <v>12537</v>
      </c>
      <c r="L249" s="2">
        <f>(Table2[[#This Row],[COST PRICE]]*Table2[[#This Row],[Quantity sold]])</f>
        <v>12537</v>
      </c>
      <c r="M249" s="2">
        <f>Table2[[#This Row],[TOTAL SALES]]-Table2[[#This Row],[TOTAL COST PRICE]]</f>
        <v>2667</v>
      </c>
      <c r="N249" s="2">
        <f>IF(Table2[[#This Row],[Amount Paid]]&gt;0,(SUMIF(Table2[Order ID],Table2[[#This Row],[Order ID]],Table2[Amount Paid])-SUMIF(Table2[Order ID],Table2[[#This Row],[Order ID]],Table2[TOTAL SALES])),0)</f>
        <v>22559</v>
      </c>
      <c r="O249" s="8">
        <v>41</v>
      </c>
      <c r="P249" s="8" t="s">
        <v>25</v>
      </c>
      <c r="Q249" s="8" t="s">
        <v>26</v>
      </c>
      <c r="R249" s="8" t="s">
        <v>27</v>
      </c>
      <c r="S249" s="8" t="s">
        <v>28</v>
      </c>
      <c r="T249" s="8">
        <f t="shared" si="3"/>
        <v>0</v>
      </c>
      <c r="U249" t="str" cm="1">
        <f t="array" ref="U249">_xlfn.IFNA(_xlfn.IFS(Table2[[#This Row],[DEFICIT /SURPLUS]]&lt;0,"Deficit",Table2[[#This Row],[DEFICIT /SURPLUS]]&gt;0,"surplus"),"-")</f>
        <v>surplus</v>
      </c>
    </row>
    <row r="250" spans="1:21" ht="14.5">
      <c r="A250" s="8" t="s">
        <v>226</v>
      </c>
      <c r="B250" s="9">
        <v>45588</v>
      </c>
      <c r="C250" s="8" t="s">
        <v>22</v>
      </c>
      <c r="D250" s="8" t="s">
        <v>124</v>
      </c>
      <c r="E250" s="8" t="s">
        <v>40</v>
      </c>
      <c r="F250" s="31">
        <f>_xlfn.XLOOKUP(Table2[[#This Row],[Shoe style]],val[SHOE STYLE],val[UNIT PRICE])</f>
        <v>15204</v>
      </c>
      <c r="H250" s="11">
        <v>1</v>
      </c>
      <c r="I250" s="6">
        <f>IF(Table2[[#This Row],[Discount]]&lt;(Table2[[#This Row],[UNIT PRICE]]*Table2[[#This Row],[Quantity sold]]),Table2[[#This Row],[UNIT PRICE]]*Table2[[#This Row],[Quantity sold]]-Table2[[#This Row],[Discount]],0)</f>
        <v>15204</v>
      </c>
      <c r="K250" s="2">
        <f>_xlfn.XLOOKUP(Table2[[#This Row],[Shoe style]],val[SHOE STYLE],val[COST PRICE])</f>
        <v>12537</v>
      </c>
      <c r="L250" s="2">
        <f>(Table2[[#This Row],[COST PRICE]]*Table2[[#This Row],[Quantity sold]])</f>
        <v>12537</v>
      </c>
      <c r="M250" s="2">
        <f>Table2[[#This Row],[TOTAL SALES]]-Table2[[#This Row],[TOTAL COST PRICE]]</f>
        <v>2667</v>
      </c>
      <c r="N250" s="2">
        <f>IF(Table2[[#This Row],[Amount Paid]]&gt;0,(SUMIF(Table2[Order ID],Table2[[#This Row],[Order ID]],Table2[Amount Paid])-SUMIF(Table2[Order ID],Table2[[#This Row],[Order ID]],Table2[TOTAL SALES])),0)</f>
        <v>0</v>
      </c>
      <c r="O250" s="8">
        <v>42</v>
      </c>
      <c r="P250" s="8" t="s">
        <v>25</v>
      </c>
      <c r="Q250" s="8" t="s">
        <v>26</v>
      </c>
      <c r="R250" s="8" t="s">
        <v>27</v>
      </c>
      <c r="S250" s="8" t="s">
        <v>28</v>
      </c>
      <c r="T250" s="8">
        <f t="shared" si="3"/>
        <v>0</v>
      </c>
      <c r="U250" t="str" cm="1">
        <f t="array" ref="U250">_xlfn.IFNA(_xlfn.IFS(Table2[[#This Row],[DEFICIT /SURPLUS]]&lt;0,"Deficit",Table2[[#This Row],[DEFICIT /SURPLUS]]&gt;0,"surplus"),"-")</f>
        <v>-</v>
      </c>
    </row>
    <row r="251" spans="1:21" ht="14.5">
      <c r="A251" s="8" t="s">
        <v>226</v>
      </c>
      <c r="B251" s="9">
        <v>45588</v>
      </c>
      <c r="C251" s="8" t="s">
        <v>22</v>
      </c>
      <c r="D251" s="8" t="s">
        <v>32</v>
      </c>
      <c r="E251" s="8" t="s">
        <v>61</v>
      </c>
      <c r="F251" s="31">
        <f>_xlfn.XLOOKUP(Table2[[#This Row],[Shoe style]],val[SHOE STYLE],val[UNIT PRICE])</f>
        <v>19295</v>
      </c>
      <c r="H251" s="11">
        <v>1</v>
      </c>
      <c r="I251" s="6">
        <f>IF(Table2[[#This Row],[Discount]]&lt;(Table2[[#This Row],[UNIT PRICE]]*Table2[[#This Row],[Quantity sold]]),Table2[[#This Row],[UNIT PRICE]]*Table2[[#This Row],[Quantity sold]]-Table2[[#This Row],[Discount]],0)</f>
        <v>19295</v>
      </c>
      <c r="K251" s="2">
        <f>_xlfn.XLOOKUP(Table2[[#This Row],[Shoe style]],val[SHOE STYLE],val[COST PRICE])</f>
        <v>16705</v>
      </c>
      <c r="L251" s="2">
        <f>(Table2[[#This Row],[COST PRICE]]*Table2[[#This Row],[Quantity sold]])</f>
        <v>16705</v>
      </c>
      <c r="M251" s="2">
        <f>Table2[[#This Row],[TOTAL SALES]]-Table2[[#This Row],[TOTAL COST PRICE]]</f>
        <v>2590</v>
      </c>
      <c r="N251" s="2">
        <f>IF(Table2[[#This Row],[Amount Paid]]&gt;0,(SUMIF(Table2[Order ID],Table2[[#This Row],[Order ID]],Table2[Amount Paid])-SUMIF(Table2[Order ID],Table2[[#This Row],[Order ID]],Table2[TOTAL SALES])),0)</f>
        <v>0</v>
      </c>
      <c r="O251" s="8">
        <v>42</v>
      </c>
      <c r="P251" s="8" t="s">
        <v>25</v>
      </c>
      <c r="Q251" s="8" t="s">
        <v>26</v>
      </c>
      <c r="R251" s="8" t="s">
        <v>27</v>
      </c>
      <c r="S251" s="8" t="s">
        <v>28</v>
      </c>
      <c r="T251" s="8">
        <f t="shared" si="3"/>
        <v>0</v>
      </c>
      <c r="U251" t="str" cm="1">
        <f t="array" ref="U251">_xlfn.IFNA(_xlfn.IFS(Table2[[#This Row],[DEFICIT /SURPLUS]]&lt;0,"Deficit",Table2[[#This Row],[DEFICIT /SURPLUS]]&gt;0,"surplus"),"-")</f>
        <v>-</v>
      </c>
    </row>
    <row r="252" spans="1:21" ht="14.5">
      <c r="A252" s="8" t="s">
        <v>226</v>
      </c>
      <c r="B252" s="9">
        <v>45588</v>
      </c>
      <c r="C252" s="8" t="s">
        <v>22</v>
      </c>
      <c r="D252" s="8" t="s">
        <v>71</v>
      </c>
      <c r="E252" s="8" t="s">
        <v>109</v>
      </c>
      <c r="F252" s="31">
        <f>_xlfn.XLOOKUP(Table2[[#This Row],[Shoe style]],val[SHOE STYLE],val[UNIT PRICE])</f>
        <v>14873</v>
      </c>
      <c r="H252" s="11">
        <v>1</v>
      </c>
      <c r="I252" s="6">
        <f>IF(Table2[[#This Row],[Discount]]&lt;(Table2[[#This Row],[UNIT PRICE]]*Table2[[#This Row],[Quantity sold]]),Table2[[#This Row],[UNIT PRICE]]*Table2[[#This Row],[Quantity sold]]-Table2[[#This Row],[Discount]],0)</f>
        <v>14873</v>
      </c>
      <c r="K252" s="2">
        <f>_xlfn.XLOOKUP(Table2[[#This Row],[Shoe style]],val[SHOE STYLE],val[COST PRICE])</f>
        <v>11503</v>
      </c>
      <c r="L252" s="2">
        <f>(Table2[[#This Row],[COST PRICE]]*Table2[[#This Row],[Quantity sold]])</f>
        <v>11503</v>
      </c>
      <c r="M252" s="2">
        <f>Table2[[#This Row],[TOTAL SALES]]-Table2[[#This Row],[TOTAL COST PRICE]]</f>
        <v>3370</v>
      </c>
      <c r="N252" s="2">
        <f>IF(Table2[[#This Row],[Amount Paid]]&gt;0,(SUMIF(Table2[Order ID],Table2[[#This Row],[Order ID]],Table2[Amount Paid])-SUMIF(Table2[Order ID],Table2[[#This Row],[Order ID]],Table2[TOTAL SALES])),0)</f>
        <v>0</v>
      </c>
      <c r="O252" s="8">
        <v>46</v>
      </c>
      <c r="P252" s="8" t="s">
        <v>25</v>
      </c>
      <c r="Q252" s="8" t="s">
        <v>26</v>
      </c>
      <c r="R252" s="8" t="s">
        <v>27</v>
      </c>
      <c r="S252" s="8" t="s">
        <v>28</v>
      </c>
      <c r="T252" s="8">
        <f t="shared" si="3"/>
        <v>0</v>
      </c>
      <c r="U252" t="str" cm="1">
        <f t="array" ref="U252">_xlfn.IFNA(_xlfn.IFS(Table2[[#This Row],[DEFICIT /SURPLUS]]&lt;0,"Deficit",Table2[[#This Row],[DEFICIT /SURPLUS]]&gt;0,"surplus"),"-")</f>
        <v>-</v>
      </c>
    </row>
    <row r="253" spans="1:21" ht="14.5">
      <c r="A253" s="8" t="s">
        <v>226</v>
      </c>
      <c r="B253" s="9">
        <v>45588</v>
      </c>
      <c r="C253" s="8" t="s">
        <v>22</v>
      </c>
      <c r="D253" s="8" t="s">
        <v>86</v>
      </c>
      <c r="E253" s="8" t="s">
        <v>24</v>
      </c>
      <c r="F253" s="31">
        <f>_xlfn.XLOOKUP(Table2[[#This Row],[Shoe style]],val[SHOE STYLE],val[UNIT PRICE])</f>
        <v>18539</v>
      </c>
      <c r="H253" s="11">
        <v>1</v>
      </c>
      <c r="I253" s="6">
        <f>IF(Table2[[#This Row],[Discount]]&lt;(Table2[[#This Row],[UNIT PRICE]]*Table2[[#This Row],[Quantity sold]]),Table2[[#This Row],[UNIT PRICE]]*Table2[[#This Row],[Quantity sold]]-Table2[[#This Row],[Discount]],0)</f>
        <v>18539</v>
      </c>
      <c r="K253" s="2">
        <f>_xlfn.XLOOKUP(Table2[[#This Row],[Shoe style]],val[SHOE STYLE],val[COST PRICE])</f>
        <v>15497</v>
      </c>
      <c r="L253" s="2">
        <f>(Table2[[#This Row],[COST PRICE]]*Table2[[#This Row],[Quantity sold]])</f>
        <v>15497</v>
      </c>
      <c r="M253" s="2">
        <f>Table2[[#This Row],[TOTAL SALES]]-Table2[[#This Row],[TOTAL COST PRICE]]</f>
        <v>3042</v>
      </c>
      <c r="N253" s="2">
        <f>IF(Table2[[#This Row],[Amount Paid]]&gt;0,(SUMIF(Table2[Order ID],Table2[[#This Row],[Order ID]],Table2[Amount Paid])-SUMIF(Table2[Order ID],Table2[[#This Row],[Order ID]],Table2[TOTAL SALES])),0)</f>
        <v>0</v>
      </c>
      <c r="O253" s="8">
        <v>40</v>
      </c>
      <c r="P253" s="8" t="s">
        <v>25</v>
      </c>
      <c r="Q253" s="8" t="s">
        <v>26</v>
      </c>
      <c r="R253" s="8" t="s">
        <v>27</v>
      </c>
      <c r="S253" s="8" t="s">
        <v>28</v>
      </c>
      <c r="T253" s="8">
        <f t="shared" ref="T253:T315" si="4">IF(S253="NO",1,0)</f>
        <v>0</v>
      </c>
      <c r="U253" t="str" cm="1">
        <f t="array" ref="U253">_xlfn.IFNA(_xlfn.IFS(Table2[[#This Row],[DEFICIT /SURPLUS]]&lt;0,"Deficit",Table2[[#This Row],[DEFICIT /SURPLUS]]&gt;0,"surplus"),"-")</f>
        <v>-</v>
      </c>
    </row>
    <row r="254" spans="1:21" ht="14.5">
      <c r="A254" s="8" t="s">
        <v>226</v>
      </c>
      <c r="B254" s="9">
        <v>45588</v>
      </c>
      <c r="C254" s="8" t="s">
        <v>22</v>
      </c>
      <c r="D254" s="8" t="s">
        <v>86</v>
      </c>
      <c r="E254" s="8" t="s">
        <v>24</v>
      </c>
      <c r="F254" s="31">
        <f>_xlfn.XLOOKUP(Table2[[#This Row],[Shoe style]],val[SHOE STYLE],val[UNIT PRICE])</f>
        <v>18539</v>
      </c>
      <c r="H254" s="11">
        <v>1</v>
      </c>
      <c r="I254" s="6">
        <f>IF(Table2[[#This Row],[Discount]]&lt;(Table2[[#This Row],[UNIT PRICE]]*Table2[[#This Row],[Quantity sold]]),Table2[[#This Row],[UNIT PRICE]]*Table2[[#This Row],[Quantity sold]]-Table2[[#This Row],[Discount]],0)</f>
        <v>18539</v>
      </c>
      <c r="K254" s="2">
        <f>_xlfn.XLOOKUP(Table2[[#This Row],[Shoe style]],val[SHOE STYLE],val[COST PRICE])</f>
        <v>15497</v>
      </c>
      <c r="L254" s="2">
        <f>(Table2[[#This Row],[COST PRICE]]*Table2[[#This Row],[Quantity sold]])</f>
        <v>15497</v>
      </c>
      <c r="M254" s="2">
        <f>Table2[[#This Row],[TOTAL SALES]]-Table2[[#This Row],[TOTAL COST PRICE]]</f>
        <v>3042</v>
      </c>
      <c r="N254" s="2">
        <f>IF(Table2[[#This Row],[Amount Paid]]&gt;0,(SUMIF(Table2[Order ID],Table2[[#This Row],[Order ID]],Table2[Amount Paid])-SUMIF(Table2[Order ID],Table2[[#This Row],[Order ID]],Table2[TOTAL SALES])),0)</f>
        <v>0</v>
      </c>
      <c r="O254" s="8">
        <v>46</v>
      </c>
      <c r="P254" s="8" t="s">
        <v>25</v>
      </c>
      <c r="Q254" s="8" t="s">
        <v>26</v>
      </c>
      <c r="R254" s="8" t="s">
        <v>27</v>
      </c>
      <c r="S254" s="8" t="s">
        <v>28</v>
      </c>
      <c r="T254" s="8">
        <f t="shared" si="4"/>
        <v>0</v>
      </c>
      <c r="U254" t="str" cm="1">
        <f t="array" ref="U254">_xlfn.IFNA(_xlfn.IFS(Table2[[#This Row],[DEFICIT /SURPLUS]]&lt;0,"Deficit",Table2[[#This Row],[DEFICIT /SURPLUS]]&gt;0,"surplus"),"-")</f>
        <v>-</v>
      </c>
    </row>
    <row r="255" spans="1:21" ht="14.5">
      <c r="A255" s="8" t="s">
        <v>226</v>
      </c>
      <c r="B255" s="9">
        <v>45588</v>
      </c>
      <c r="C255" s="8" t="s">
        <v>22</v>
      </c>
      <c r="D255" s="8" t="s">
        <v>57</v>
      </c>
      <c r="E255" s="8" t="s">
        <v>24</v>
      </c>
      <c r="F255" s="31">
        <f>_xlfn.XLOOKUP(Table2[[#This Row],[Shoe style]],val[SHOE STYLE],val[UNIT PRICE])</f>
        <v>10196</v>
      </c>
      <c r="H255" s="11">
        <v>1</v>
      </c>
      <c r="I255" s="6">
        <f>IF(Table2[[#This Row],[Discount]]&lt;(Table2[[#This Row],[UNIT PRICE]]*Table2[[#This Row],[Quantity sold]]),Table2[[#This Row],[UNIT PRICE]]*Table2[[#This Row],[Quantity sold]]-Table2[[#This Row],[Discount]],0)</f>
        <v>10196</v>
      </c>
      <c r="K255" s="2">
        <f>_xlfn.XLOOKUP(Table2[[#This Row],[Shoe style]],val[SHOE STYLE],val[COST PRICE])</f>
        <v>7050</v>
      </c>
      <c r="L255" s="2">
        <f>(Table2[[#This Row],[COST PRICE]]*Table2[[#This Row],[Quantity sold]])</f>
        <v>7050</v>
      </c>
      <c r="M255" s="2">
        <f>Table2[[#This Row],[TOTAL SALES]]-Table2[[#This Row],[TOTAL COST PRICE]]</f>
        <v>3146</v>
      </c>
      <c r="N255" s="2">
        <f>IF(Table2[[#This Row],[Amount Paid]]&gt;0,(SUMIF(Table2[Order ID],Table2[[#This Row],[Order ID]],Table2[Amount Paid])-SUMIF(Table2[Order ID],Table2[[#This Row],[Order ID]],Table2[TOTAL SALES])),0)</f>
        <v>0</v>
      </c>
      <c r="O255" s="8">
        <v>46</v>
      </c>
      <c r="P255" s="8" t="s">
        <v>25</v>
      </c>
      <c r="Q255" s="8" t="s">
        <v>26</v>
      </c>
      <c r="R255" s="8" t="s">
        <v>27</v>
      </c>
      <c r="S255" s="8" t="s">
        <v>28</v>
      </c>
      <c r="T255" s="8">
        <f t="shared" si="4"/>
        <v>0</v>
      </c>
      <c r="U255" t="str" cm="1">
        <f t="array" ref="U255">_xlfn.IFNA(_xlfn.IFS(Table2[[#This Row],[DEFICIT /SURPLUS]]&lt;0,"Deficit",Table2[[#This Row],[DEFICIT /SURPLUS]]&gt;0,"surplus"),"-")</f>
        <v>-</v>
      </c>
    </row>
    <row r="256" spans="1:21" ht="14.5">
      <c r="A256" s="8" t="s">
        <v>226</v>
      </c>
      <c r="B256" s="9">
        <v>45588</v>
      </c>
      <c r="C256" s="8" t="s">
        <v>22</v>
      </c>
      <c r="D256" s="8" t="s">
        <v>57</v>
      </c>
      <c r="E256" s="8" t="s">
        <v>40</v>
      </c>
      <c r="F256" s="31">
        <f>_xlfn.XLOOKUP(Table2[[#This Row],[Shoe style]],val[SHOE STYLE],val[UNIT PRICE])</f>
        <v>10196</v>
      </c>
      <c r="H256" s="11">
        <v>1</v>
      </c>
      <c r="I256" s="6">
        <f>IF(Table2[[#This Row],[Discount]]&lt;(Table2[[#This Row],[UNIT PRICE]]*Table2[[#This Row],[Quantity sold]]),Table2[[#This Row],[UNIT PRICE]]*Table2[[#This Row],[Quantity sold]]-Table2[[#This Row],[Discount]],0)</f>
        <v>10196</v>
      </c>
      <c r="K256" s="2">
        <f>_xlfn.XLOOKUP(Table2[[#This Row],[Shoe style]],val[SHOE STYLE],val[COST PRICE])</f>
        <v>7050</v>
      </c>
      <c r="L256" s="2">
        <f>(Table2[[#This Row],[COST PRICE]]*Table2[[#This Row],[Quantity sold]])</f>
        <v>7050</v>
      </c>
      <c r="M256" s="2">
        <f>Table2[[#This Row],[TOTAL SALES]]-Table2[[#This Row],[TOTAL COST PRICE]]</f>
        <v>3146</v>
      </c>
      <c r="N256" s="2">
        <f>IF(Table2[[#This Row],[Amount Paid]]&gt;0,(SUMIF(Table2[Order ID],Table2[[#This Row],[Order ID]],Table2[Amount Paid])-SUMIF(Table2[Order ID],Table2[[#This Row],[Order ID]],Table2[TOTAL SALES])),0)</f>
        <v>0</v>
      </c>
      <c r="O256" s="8">
        <v>46</v>
      </c>
      <c r="P256" s="8" t="s">
        <v>25</v>
      </c>
      <c r="Q256" s="8" t="s">
        <v>26</v>
      </c>
      <c r="R256" s="8" t="s">
        <v>27</v>
      </c>
      <c r="S256" s="8" t="s">
        <v>28</v>
      </c>
      <c r="T256" s="8">
        <f t="shared" si="4"/>
        <v>0</v>
      </c>
      <c r="U256" t="str" cm="1">
        <f t="array" ref="U256">_xlfn.IFNA(_xlfn.IFS(Table2[[#This Row],[DEFICIT /SURPLUS]]&lt;0,"Deficit",Table2[[#This Row],[DEFICIT /SURPLUS]]&gt;0,"surplus"),"-")</f>
        <v>-</v>
      </c>
    </row>
    <row r="257" spans="1:21" ht="14.5">
      <c r="A257" s="8" t="s">
        <v>226</v>
      </c>
      <c r="B257" s="9">
        <v>45588</v>
      </c>
      <c r="C257" s="8" t="s">
        <v>22</v>
      </c>
      <c r="D257" s="8" t="s">
        <v>29</v>
      </c>
      <c r="E257" s="8" t="s">
        <v>109</v>
      </c>
      <c r="F257" s="31">
        <f>_xlfn.XLOOKUP(Table2[[#This Row],[Shoe style]],val[SHOE STYLE],val[UNIT PRICE])</f>
        <v>12395</v>
      </c>
      <c r="H257" s="11">
        <v>1</v>
      </c>
      <c r="I257" s="6">
        <f>IF(Table2[[#This Row],[Discount]]&lt;(Table2[[#This Row],[UNIT PRICE]]*Table2[[#This Row],[Quantity sold]]),Table2[[#This Row],[UNIT PRICE]]*Table2[[#This Row],[Quantity sold]]-Table2[[#This Row],[Discount]],0)</f>
        <v>12395</v>
      </c>
      <c r="K257" s="2">
        <f>_xlfn.XLOOKUP(Table2[[#This Row],[Shoe style]],val[SHOE STYLE],val[COST PRICE])</f>
        <v>7909</v>
      </c>
      <c r="L257" s="2">
        <f>(Table2[[#This Row],[COST PRICE]]*Table2[[#This Row],[Quantity sold]])</f>
        <v>7909</v>
      </c>
      <c r="M257" s="2">
        <f>Table2[[#This Row],[TOTAL SALES]]-Table2[[#This Row],[TOTAL COST PRICE]]</f>
        <v>4486</v>
      </c>
      <c r="N257" s="2">
        <f>IF(Table2[[#This Row],[Amount Paid]]&gt;0,(SUMIF(Table2[Order ID],Table2[[#This Row],[Order ID]],Table2[Amount Paid])-SUMIF(Table2[Order ID],Table2[[#This Row],[Order ID]],Table2[TOTAL SALES])),0)</f>
        <v>0</v>
      </c>
      <c r="O257" s="8">
        <v>46</v>
      </c>
      <c r="P257" s="8" t="s">
        <v>25</v>
      </c>
      <c r="Q257" s="8" t="s">
        <v>26</v>
      </c>
      <c r="R257" s="8" t="s">
        <v>27</v>
      </c>
      <c r="S257" s="8" t="s">
        <v>28</v>
      </c>
      <c r="T257" s="8">
        <f t="shared" si="4"/>
        <v>0</v>
      </c>
      <c r="U257" t="str" cm="1">
        <f t="array" ref="U257">_xlfn.IFNA(_xlfn.IFS(Table2[[#This Row],[DEFICIT /SURPLUS]]&lt;0,"Deficit",Table2[[#This Row],[DEFICIT /SURPLUS]]&gt;0,"surplus"),"-")</f>
        <v>-</v>
      </c>
    </row>
    <row r="258" spans="1:21" ht="14.5">
      <c r="A258" s="8" t="s">
        <v>227</v>
      </c>
      <c r="B258" s="9">
        <v>45589</v>
      </c>
      <c r="C258" s="8" t="s">
        <v>22</v>
      </c>
      <c r="D258" s="8" t="s">
        <v>51</v>
      </c>
      <c r="E258" s="8" t="s">
        <v>89</v>
      </c>
      <c r="F258" s="31">
        <f>_xlfn.XLOOKUP(Table2[[#This Row],[Shoe style]],val[SHOE STYLE],val[UNIT PRICE])</f>
        <v>11007</v>
      </c>
      <c r="H258" s="11">
        <v>1</v>
      </c>
      <c r="I258" s="6">
        <f>IF(Table2[[#This Row],[Discount]]&lt;(Table2[[#This Row],[UNIT PRICE]]*Table2[[#This Row],[Quantity sold]]),Table2[[#This Row],[UNIT PRICE]]*Table2[[#This Row],[Quantity sold]]-Table2[[#This Row],[Discount]],0)</f>
        <v>11007</v>
      </c>
      <c r="J258" s="10">
        <v>14500</v>
      </c>
      <c r="K258" s="2">
        <f>_xlfn.XLOOKUP(Table2[[#This Row],[Shoe style]],val[SHOE STYLE],val[COST PRICE])</f>
        <v>8327</v>
      </c>
      <c r="L258" s="2">
        <f>(Table2[[#This Row],[COST PRICE]]*Table2[[#This Row],[Quantity sold]])</f>
        <v>8327</v>
      </c>
      <c r="M258" s="2">
        <f>Table2[[#This Row],[TOTAL SALES]]-Table2[[#This Row],[TOTAL COST PRICE]]</f>
        <v>2680</v>
      </c>
      <c r="N258" s="2">
        <f>IF(Table2[[#This Row],[Amount Paid]]&gt;0,(SUMIF(Table2[Order ID],Table2[[#This Row],[Order ID]],Table2[Amount Paid])-SUMIF(Table2[Order ID],Table2[[#This Row],[Order ID]],Table2[TOTAL SALES])),0)</f>
        <v>3493</v>
      </c>
      <c r="O258" s="8">
        <v>40</v>
      </c>
      <c r="P258" s="8" t="s">
        <v>25</v>
      </c>
      <c r="Q258" s="8" t="s">
        <v>26</v>
      </c>
      <c r="R258" s="8" t="s">
        <v>44</v>
      </c>
      <c r="S258" s="8" t="s">
        <v>28</v>
      </c>
      <c r="T258" s="8">
        <f t="shared" si="4"/>
        <v>0</v>
      </c>
      <c r="U258" t="str" cm="1">
        <f t="array" ref="U258">_xlfn.IFNA(_xlfn.IFS(Table2[[#This Row],[DEFICIT /SURPLUS]]&lt;0,"Deficit",Table2[[#This Row],[DEFICIT /SURPLUS]]&gt;0,"surplus"),"-")</f>
        <v>surplus</v>
      </c>
    </row>
    <row r="259" spans="1:21" ht="14.5">
      <c r="A259" s="8" t="s">
        <v>228</v>
      </c>
      <c r="B259" s="9">
        <v>45589</v>
      </c>
      <c r="C259" s="8" t="s">
        <v>112</v>
      </c>
      <c r="D259" s="8" t="s">
        <v>29</v>
      </c>
      <c r="E259" s="8" t="s">
        <v>50</v>
      </c>
      <c r="F259" s="31">
        <f>_xlfn.XLOOKUP(Table2[[#This Row],[Shoe style]],val[SHOE STYLE],val[UNIT PRICE])</f>
        <v>12395</v>
      </c>
      <c r="H259" s="11">
        <v>1</v>
      </c>
      <c r="I259" s="6">
        <f>IF(Table2[[#This Row],[Discount]]&lt;(Table2[[#This Row],[UNIT PRICE]]*Table2[[#This Row],[Quantity sold]]),Table2[[#This Row],[UNIT PRICE]]*Table2[[#This Row],[Quantity sold]]-Table2[[#This Row],[Discount]],0)</f>
        <v>12395</v>
      </c>
      <c r="J259" s="10">
        <v>34000</v>
      </c>
      <c r="K259" s="2">
        <f>_xlfn.XLOOKUP(Table2[[#This Row],[Shoe style]],val[SHOE STYLE],val[COST PRICE])</f>
        <v>7909</v>
      </c>
      <c r="L259" s="2">
        <f>(Table2[[#This Row],[COST PRICE]]*Table2[[#This Row],[Quantity sold]])</f>
        <v>7909</v>
      </c>
      <c r="M259" s="2">
        <f>Table2[[#This Row],[TOTAL SALES]]-Table2[[#This Row],[TOTAL COST PRICE]]</f>
        <v>4486</v>
      </c>
      <c r="N259" s="2">
        <f>IF(Table2[[#This Row],[Amount Paid]]&gt;0,(SUMIF(Table2[Order ID],Table2[[#This Row],[Order ID]],Table2[Amount Paid])-SUMIF(Table2[Order ID],Table2[[#This Row],[Order ID]],Table2[TOTAL SALES])),0)</f>
        <v>1105</v>
      </c>
      <c r="O259" s="8">
        <v>40</v>
      </c>
      <c r="P259" s="8" t="s">
        <v>25</v>
      </c>
      <c r="Q259" s="8" t="s">
        <v>26</v>
      </c>
      <c r="R259" s="8" t="s">
        <v>27</v>
      </c>
      <c r="S259" s="8" t="s">
        <v>28</v>
      </c>
      <c r="T259" s="8">
        <f t="shared" si="4"/>
        <v>0</v>
      </c>
      <c r="U259" t="str" cm="1">
        <f t="array" ref="U259">_xlfn.IFNA(_xlfn.IFS(Table2[[#This Row],[DEFICIT /SURPLUS]]&lt;0,"Deficit",Table2[[#This Row],[DEFICIT /SURPLUS]]&gt;0,"surplus"),"-")</f>
        <v>surplus</v>
      </c>
    </row>
    <row r="260" spans="1:21" ht="14.5">
      <c r="A260" s="8" t="s">
        <v>228</v>
      </c>
      <c r="B260" s="9">
        <v>45589</v>
      </c>
      <c r="C260" s="8" t="s">
        <v>112</v>
      </c>
      <c r="D260" s="8" t="s">
        <v>49</v>
      </c>
      <c r="E260" s="8" t="s">
        <v>43</v>
      </c>
      <c r="F260" s="31">
        <f>_xlfn.XLOOKUP(Table2[[#This Row],[Shoe style]],val[SHOE STYLE],val[UNIT PRICE])</f>
        <v>20500</v>
      </c>
      <c r="H260" s="11">
        <v>1</v>
      </c>
      <c r="I260" s="6">
        <f>IF(Table2[[#This Row],[Discount]]&lt;(Table2[[#This Row],[UNIT PRICE]]*Table2[[#This Row],[Quantity sold]]),Table2[[#This Row],[UNIT PRICE]]*Table2[[#This Row],[Quantity sold]]-Table2[[#This Row],[Discount]],0)</f>
        <v>20500</v>
      </c>
      <c r="K260" s="2">
        <f>_xlfn.XLOOKUP(Table2[[#This Row],[Shoe style]],val[SHOE STYLE],val[COST PRICE])</f>
        <v>17339</v>
      </c>
      <c r="L260" s="2">
        <f>(Table2[[#This Row],[COST PRICE]]*Table2[[#This Row],[Quantity sold]])</f>
        <v>17339</v>
      </c>
      <c r="M260" s="2">
        <f>Table2[[#This Row],[TOTAL SALES]]-Table2[[#This Row],[TOTAL COST PRICE]]</f>
        <v>3161</v>
      </c>
      <c r="N260" s="2">
        <f>IF(Table2[[#This Row],[Amount Paid]]&gt;0,(SUMIF(Table2[Order ID],Table2[[#This Row],[Order ID]],Table2[Amount Paid])-SUMIF(Table2[Order ID],Table2[[#This Row],[Order ID]],Table2[TOTAL SALES])),0)</f>
        <v>0</v>
      </c>
      <c r="O260" s="8">
        <v>40</v>
      </c>
      <c r="P260" s="8" t="s">
        <v>25</v>
      </c>
      <c r="Q260" s="8" t="s">
        <v>26</v>
      </c>
      <c r="R260" s="8" t="s">
        <v>27</v>
      </c>
      <c r="S260" s="8" t="s">
        <v>28</v>
      </c>
      <c r="T260" s="8">
        <f t="shared" si="4"/>
        <v>0</v>
      </c>
      <c r="U260" t="str" cm="1">
        <f t="array" ref="U260">_xlfn.IFNA(_xlfn.IFS(Table2[[#This Row],[DEFICIT /SURPLUS]]&lt;0,"Deficit",Table2[[#This Row],[DEFICIT /SURPLUS]]&gt;0,"surplus"),"-")</f>
        <v>-</v>
      </c>
    </row>
    <row r="261" spans="1:21" ht="14.5">
      <c r="A261" s="8" t="s">
        <v>229</v>
      </c>
      <c r="B261" s="9">
        <v>45589</v>
      </c>
      <c r="C261" s="8" t="s">
        <v>22</v>
      </c>
      <c r="D261" s="8" t="s">
        <v>29</v>
      </c>
      <c r="E261" s="8" t="s">
        <v>89</v>
      </c>
      <c r="F261" s="31">
        <f>_xlfn.XLOOKUP(Table2[[#This Row],[Shoe style]],val[SHOE STYLE],val[UNIT PRICE])</f>
        <v>12395</v>
      </c>
      <c r="H261" s="11">
        <v>1</v>
      </c>
      <c r="I261" s="6">
        <f>IF(Table2[[#This Row],[Discount]]&lt;(Table2[[#This Row],[UNIT PRICE]]*Table2[[#This Row],[Quantity sold]]),Table2[[#This Row],[UNIT PRICE]]*Table2[[#This Row],[Quantity sold]]-Table2[[#This Row],[Discount]],0)</f>
        <v>12395</v>
      </c>
      <c r="J261" s="10">
        <v>28500</v>
      </c>
      <c r="K261" s="2">
        <f>_xlfn.XLOOKUP(Table2[[#This Row],[Shoe style]],val[SHOE STYLE],val[COST PRICE])</f>
        <v>7909</v>
      </c>
      <c r="L261" s="2">
        <f>(Table2[[#This Row],[COST PRICE]]*Table2[[#This Row],[Quantity sold]])</f>
        <v>7909</v>
      </c>
      <c r="M261" s="2">
        <f>Table2[[#This Row],[TOTAL SALES]]-Table2[[#This Row],[TOTAL COST PRICE]]</f>
        <v>4486</v>
      </c>
      <c r="N261" s="2">
        <f>IF(Table2[[#This Row],[Amount Paid]]&gt;0,(SUMIF(Table2[Order ID],Table2[[#This Row],[Order ID]],Table2[Amount Paid])-SUMIF(Table2[Order ID],Table2[[#This Row],[Order ID]],Table2[TOTAL SALES])),0)</f>
        <v>-6623</v>
      </c>
      <c r="O261" s="8">
        <v>43</v>
      </c>
      <c r="P261" s="8" t="s">
        <v>25</v>
      </c>
      <c r="Q261" s="8" t="s">
        <v>26</v>
      </c>
      <c r="R261" s="8" t="s">
        <v>27</v>
      </c>
      <c r="S261" s="8" t="s">
        <v>28</v>
      </c>
      <c r="T261" s="8">
        <f t="shared" si="4"/>
        <v>0</v>
      </c>
      <c r="U261" t="str" cm="1">
        <f t="array" ref="U261">_xlfn.IFNA(_xlfn.IFS(Table2[[#This Row],[DEFICIT /SURPLUS]]&lt;0,"Deficit",Table2[[#This Row],[DEFICIT /SURPLUS]]&gt;0,"surplus"),"-")</f>
        <v>Deficit</v>
      </c>
    </row>
    <row r="262" spans="1:21" ht="14.5">
      <c r="A262" s="8" t="s">
        <v>229</v>
      </c>
      <c r="B262" s="9">
        <v>45589</v>
      </c>
      <c r="C262" s="8" t="s">
        <v>22</v>
      </c>
      <c r="D262" s="8" t="s">
        <v>37</v>
      </c>
      <c r="E262" s="8" t="s">
        <v>55</v>
      </c>
      <c r="F262" s="31">
        <f>_xlfn.XLOOKUP(Table2[[#This Row],[Shoe style]],val[SHOE STYLE],val[UNIT PRICE])</f>
        <v>22728</v>
      </c>
      <c r="H262" s="11">
        <v>1</v>
      </c>
      <c r="I262" s="6">
        <f>IF(Table2[[#This Row],[Discount]]&lt;(Table2[[#This Row],[UNIT PRICE]]*Table2[[#This Row],[Quantity sold]]),Table2[[#This Row],[UNIT PRICE]]*Table2[[#This Row],[Quantity sold]]-Table2[[#This Row],[Discount]],0)</f>
        <v>22728</v>
      </c>
      <c r="K262" s="2">
        <f>_xlfn.XLOOKUP(Table2[[#This Row],[Shoe style]],val[SHOE STYLE],val[COST PRICE])</f>
        <v>20451</v>
      </c>
      <c r="L262" s="2">
        <f>(Table2[[#This Row],[COST PRICE]]*Table2[[#This Row],[Quantity sold]])</f>
        <v>20451</v>
      </c>
      <c r="M262" s="2">
        <f>Table2[[#This Row],[TOTAL SALES]]-Table2[[#This Row],[TOTAL COST PRICE]]</f>
        <v>2277</v>
      </c>
      <c r="N262" s="2">
        <f>IF(Table2[[#This Row],[Amount Paid]]&gt;0,(SUMIF(Table2[Order ID],Table2[[#This Row],[Order ID]],Table2[Amount Paid])-SUMIF(Table2[Order ID],Table2[[#This Row],[Order ID]],Table2[TOTAL SALES])),0)</f>
        <v>0</v>
      </c>
      <c r="O262" s="8">
        <v>43</v>
      </c>
      <c r="P262" s="8" t="s">
        <v>25</v>
      </c>
      <c r="Q262" s="8" t="s">
        <v>26</v>
      </c>
      <c r="R262" s="8" t="s">
        <v>27</v>
      </c>
      <c r="S262" s="8" t="s">
        <v>28</v>
      </c>
      <c r="T262" s="8">
        <f t="shared" si="4"/>
        <v>0</v>
      </c>
      <c r="U262" t="str" cm="1">
        <f t="array" ref="U262">_xlfn.IFNA(_xlfn.IFS(Table2[[#This Row],[DEFICIT /SURPLUS]]&lt;0,"Deficit",Table2[[#This Row],[DEFICIT /SURPLUS]]&gt;0,"surplus"),"-")</f>
        <v>-</v>
      </c>
    </row>
    <row r="263" spans="1:21" ht="14.5">
      <c r="A263" s="8" t="s">
        <v>230</v>
      </c>
      <c r="B263" s="9">
        <v>45590</v>
      </c>
      <c r="C263" s="8" t="s">
        <v>231</v>
      </c>
      <c r="D263" s="8" t="s">
        <v>29</v>
      </c>
      <c r="E263" s="8" t="s">
        <v>50</v>
      </c>
      <c r="F263" s="31">
        <f>_xlfn.XLOOKUP(Table2[[#This Row],[Shoe style]],val[SHOE STYLE],val[UNIT PRICE])</f>
        <v>12395</v>
      </c>
      <c r="H263" s="11">
        <v>1</v>
      </c>
      <c r="I263" s="6">
        <f>IF(Table2[[#This Row],[Discount]]&lt;(Table2[[#This Row],[UNIT PRICE]]*Table2[[#This Row],[Quantity sold]]),Table2[[#This Row],[UNIT PRICE]]*Table2[[#This Row],[Quantity sold]]-Table2[[#This Row],[Discount]],0)</f>
        <v>12395</v>
      </c>
      <c r="J263" s="10">
        <v>91500</v>
      </c>
      <c r="K263" s="2">
        <f>_xlfn.XLOOKUP(Table2[[#This Row],[Shoe style]],val[SHOE STYLE],val[COST PRICE])</f>
        <v>7909</v>
      </c>
      <c r="L263" s="2">
        <f>(Table2[[#This Row],[COST PRICE]]*Table2[[#This Row],[Quantity sold]])</f>
        <v>7909</v>
      </c>
      <c r="M263" s="2">
        <f>Table2[[#This Row],[TOTAL SALES]]-Table2[[#This Row],[TOTAL COST PRICE]]</f>
        <v>4486</v>
      </c>
      <c r="N263" s="2">
        <f>IF(Table2[[#This Row],[Amount Paid]]&gt;0,(SUMIF(Table2[Order ID],Table2[[#This Row],[Order ID]],Table2[Amount Paid])-SUMIF(Table2[Order ID],Table2[[#This Row],[Order ID]],Table2[TOTAL SALES])),0)</f>
        <v>-124</v>
      </c>
      <c r="O263" s="8">
        <v>40</v>
      </c>
      <c r="P263" s="8" t="s">
        <v>25</v>
      </c>
      <c r="Q263" s="8" t="s">
        <v>26</v>
      </c>
      <c r="R263" s="8" t="s">
        <v>27</v>
      </c>
      <c r="S263" s="8" t="s">
        <v>28</v>
      </c>
      <c r="T263" s="8">
        <f t="shared" si="4"/>
        <v>0</v>
      </c>
      <c r="U263" t="str" cm="1">
        <f t="array" ref="U263">_xlfn.IFNA(_xlfn.IFS(Table2[[#This Row],[DEFICIT /SURPLUS]]&lt;0,"Deficit",Table2[[#This Row],[DEFICIT /SURPLUS]]&gt;0,"surplus"),"-")</f>
        <v>Deficit</v>
      </c>
    </row>
    <row r="264" spans="1:21" ht="14.5">
      <c r="A264" s="8" t="s">
        <v>230</v>
      </c>
      <c r="B264" s="9">
        <v>45590</v>
      </c>
      <c r="C264" s="8" t="s">
        <v>231</v>
      </c>
      <c r="D264" s="8" t="s">
        <v>37</v>
      </c>
      <c r="E264" s="8" t="s">
        <v>62</v>
      </c>
      <c r="F264" s="31">
        <f>_xlfn.XLOOKUP(Table2[[#This Row],[Shoe style]],val[SHOE STYLE],val[UNIT PRICE])</f>
        <v>22728</v>
      </c>
      <c r="H264" s="11">
        <v>1</v>
      </c>
      <c r="I264" s="6">
        <f>IF(Table2[[#This Row],[Discount]]&lt;(Table2[[#This Row],[UNIT PRICE]]*Table2[[#This Row],[Quantity sold]]),Table2[[#This Row],[UNIT PRICE]]*Table2[[#This Row],[Quantity sold]]-Table2[[#This Row],[Discount]],0)</f>
        <v>22728</v>
      </c>
      <c r="K264" s="2">
        <f>_xlfn.XLOOKUP(Table2[[#This Row],[Shoe style]],val[SHOE STYLE],val[COST PRICE])</f>
        <v>20451</v>
      </c>
      <c r="L264" s="2">
        <f>(Table2[[#This Row],[COST PRICE]]*Table2[[#This Row],[Quantity sold]])</f>
        <v>20451</v>
      </c>
      <c r="M264" s="2">
        <f>Table2[[#This Row],[TOTAL SALES]]-Table2[[#This Row],[TOTAL COST PRICE]]</f>
        <v>2277</v>
      </c>
      <c r="N264" s="2">
        <f>IF(Table2[[#This Row],[Amount Paid]]&gt;0,(SUMIF(Table2[Order ID],Table2[[#This Row],[Order ID]],Table2[Amount Paid])-SUMIF(Table2[Order ID],Table2[[#This Row],[Order ID]],Table2[TOTAL SALES])),0)</f>
        <v>0</v>
      </c>
      <c r="O264" s="8">
        <v>40</v>
      </c>
      <c r="P264" s="8" t="s">
        <v>25</v>
      </c>
      <c r="Q264" s="8" t="s">
        <v>26</v>
      </c>
      <c r="R264" s="8" t="s">
        <v>27</v>
      </c>
      <c r="S264" s="8" t="s">
        <v>28</v>
      </c>
      <c r="T264" s="8">
        <f t="shared" si="4"/>
        <v>0</v>
      </c>
      <c r="U264" t="str" cm="1">
        <f t="array" ref="U264">_xlfn.IFNA(_xlfn.IFS(Table2[[#This Row],[DEFICIT /SURPLUS]]&lt;0,"Deficit",Table2[[#This Row],[DEFICIT /SURPLUS]]&gt;0,"surplus"),"-")</f>
        <v>-</v>
      </c>
    </row>
    <row r="265" spans="1:21" ht="14.5">
      <c r="A265" s="8" t="s">
        <v>230</v>
      </c>
      <c r="B265" s="9">
        <v>45590</v>
      </c>
      <c r="C265" s="8" t="s">
        <v>231</v>
      </c>
      <c r="D265" s="8" t="s">
        <v>29</v>
      </c>
      <c r="E265" s="8" t="s">
        <v>38</v>
      </c>
      <c r="F265" s="31">
        <f>_xlfn.XLOOKUP(Table2[[#This Row],[Shoe style]],val[SHOE STYLE],val[UNIT PRICE])</f>
        <v>12395</v>
      </c>
      <c r="H265" s="11">
        <v>1</v>
      </c>
      <c r="I265" s="6">
        <f>IF(Table2[[#This Row],[Discount]]&lt;(Table2[[#This Row],[UNIT PRICE]]*Table2[[#This Row],[Quantity sold]]),Table2[[#This Row],[UNIT PRICE]]*Table2[[#This Row],[Quantity sold]]-Table2[[#This Row],[Discount]],0)</f>
        <v>12395</v>
      </c>
      <c r="K265" s="2">
        <f>_xlfn.XLOOKUP(Table2[[#This Row],[Shoe style]],val[SHOE STYLE],val[COST PRICE])</f>
        <v>7909</v>
      </c>
      <c r="L265" s="2">
        <f>(Table2[[#This Row],[COST PRICE]]*Table2[[#This Row],[Quantity sold]])</f>
        <v>7909</v>
      </c>
      <c r="M265" s="2">
        <f>Table2[[#This Row],[TOTAL SALES]]-Table2[[#This Row],[TOTAL COST PRICE]]</f>
        <v>4486</v>
      </c>
      <c r="N265" s="2">
        <f>IF(Table2[[#This Row],[Amount Paid]]&gt;0,(SUMIF(Table2[Order ID],Table2[[#This Row],[Order ID]],Table2[Amount Paid])-SUMIF(Table2[Order ID],Table2[[#This Row],[Order ID]],Table2[TOTAL SALES])),0)</f>
        <v>0</v>
      </c>
      <c r="O265" s="8">
        <v>40</v>
      </c>
      <c r="P265" s="8" t="s">
        <v>25</v>
      </c>
      <c r="Q265" s="8" t="s">
        <v>26</v>
      </c>
      <c r="R265" s="8" t="s">
        <v>27</v>
      </c>
      <c r="S265" s="8" t="s">
        <v>28</v>
      </c>
      <c r="T265" s="8">
        <f t="shared" si="4"/>
        <v>0</v>
      </c>
      <c r="U265" t="str" cm="1">
        <f t="array" ref="U265">_xlfn.IFNA(_xlfn.IFS(Table2[[#This Row],[DEFICIT /SURPLUS]]&lt;0,"Deficit",Table2[[#This Row],[DEFICIT /SURPLUS]]&gt;0,"surplus"),"-")</f>
        <v>-</v>
      </c>
    </row>
    <row r="266" spans="1:21" ht="14.5">
      <c r="A266" s="8" t="s">
        <v>230</v>
      </c>
      <c r="B266" s="9">
        <v>45590</v>
      </c>
      <c r="C266" s="8" t="s">
        <v>231</v>
      </c>
      <c r="D266" s="8" t="s">
        <v>42</v>
      </c>
      <c r="E266" s="8" t="s">
        <v>63</v>
      </c>
      <c r="F266" s="31">
        <f>_xlfn.XLOOKUP(Table2[[#This Row],[Shoe style]],val[SHOE STYLE],val[UNIT PRICE])</f>
        <v>17614</v>
      </c>
      <c r="H266" s="11">
        <v>1</v>
      </c>
      <c r="I266" s="6">
        <f>IF(Table2[[#This Row],[Discount]]&lt;(Table2[[#This Row],[UNIT PRICE]]*Table2[[#This Row],[Quantity sold]]),Table2[[#This Row],[UNIT PRICE]]*Table2[[#This Row],[Quantity sold]]-Table2[[#This Row],[Discount]],0)</f>
        <v>17614</v>
      </c>
      <c r="K266" s="2">
        <f>_xlfn.XLOOKUP(Table2[[#This Row],[Shoe style]],val[SHOE STYLE],val[COST PRICE])</f>
        <v>14912</v>
      </c>
      <c r="L266" s="2">
        <f>(Table2[[#This Row],[COST PRICE]]*Table2[[#This Row],[Quantity sold]])</f>
        <v>14912</v>
      </c>
      <c r="M266" s="2">
        <f>Table2[[#This Row],[TOTAL SALES]]-Table2[[#This Row],[TOTAL COST PRICE]]</f>
        <v>2702</v>
      </c>
      <c r="N266" s="2">
        <f>IF(Table2[[#This Row],[Amount Paid]]&gt;0,(SUMIF(Table2[Order ID],Table2[[#This Row],[Order ID]],Table2[Amount Paid])-SUMIF(Table2[Order ID],Table2[[#This Row],[Order ID]],Table2[TOTAL SALES])),0)</f>
        <v>0</v>
      </c>
      <c r="O266" s="8">
        <v>40</v>
      </c>
      <c r="P266" s="8" t="s">
        <v>25</v>
      </c>
      <c r="Q266" s="8" t="s">
        <v>26</v>
      </c>
      <c r="R266" s="8" t="s">
        <v>27</v>
      </c>
      <c r="S266" s="8" t="s">
        <v>28</v>
      </c>
      <c r="T266" s="8">
        <f t="shared" si="4"/>
        <v>0</v>
      </c>
      <c r="U266" t="str" cm="1">
        <f t="array" ref="U266">_xlfn.IFNA(_xlfn.IFS(Table2[[#This Row],[DEFICIT /SURPLUS]]&lt;0,"Deficit",Table2[[#This Row],[DEFICIT /SURPLUS]]&gt;0,"surplus"),"-")</f>
        <v>-</v>
      </c>
    </row>
    <row r="267" spans="1:21" ht="14.5">
      <c r="A267" s="8" t="s">
        <v>230</v>
      </c>
      <c r="B267" s="9">
        <v>45590</v>
      </c>
      <c r="C267" s="8" t="s">
        <v>231</v>
      </c>
      <c r="D267" s="8" t="s">
        <v>29</v>
      </c>
      <c r="E267" s="8" t="s">
        <v>61</v>
      </c>
      <c r="F267" s="31">
        <f>_xlfn.XLOOKUP(Table2[[#This Row],[Shoe style]],val[SHOE STYLE],val[UNIT PRICE])</f>
        <v>12395</v>
      </c>
      <c r="H267" s="11">
        <v>1</v>
      </c>
      <c r="I267" s="6">
        <f>IF(Table2[[#This Row],[Discount]]&lt;(Table2[[#This Row],[UNIT PRICE]]*Table2[[#This Row],[Quantity sold]]),Table2[[#This Row],[UNIT PRICE]]*Table2[[#This Row],[Quantity sold]]-Table2[[#This Row],[Discount]],0)</f>
        <v>12395</v>
      </c>
      <c r="K267" s="2">
        <f>_xlfn.XLOOKUP(Table2[[#This Row],[Shoe style]],val[SHOE STYLE],val[COST PRICE])</f>
        <v>7909</v>
      </c>
      <c r="L267" s="2">
        <f>(Table2[[#This Row],[COST PRICE]]*Table2[[#This Row],[Quantity sold]])</f>
        <v>7909</v>
      </c>
      <c r="M267" s="2">
        <f>Table2[[#This Row],[TOTAL SALES]]-Table2[[#This Row],[TOTAL COST PRICE]]</f>
        <v>4486</v>
      </c>
      <c r="N267" s="2">
        <f>IF(Table2[[#This Row],[Amount Paid]]&gt;0,(SUMIF(Table2[Order ID],Table2[[#This Row],[Order ID]],Table2[Amount Paid])-SUMIF(Table2[Order ID],Table2[[#This Row],[Order ID]],Table2[TOTAL SALES])),0)</f>
        <v>0</v>
      </c>
      <c r="O267" s="8">
        <v>40</v>
      </c>
      <c r="P267" s="8" t="s">
        <v>25</v>
      </c>
      <c r="Q267" s="8" t="s">
        <v>26</v>
      </c>
      <c r="R267" s="8" t="s">
        <v>27</v>
      </c>
      <c r="S267" s="8" t="s">
        <v>28</v>
      </c>
      <c r="T267" s="8">
        <f t="shared" si="4"/>
        <v>0</v>
      </c>
      <c r="U267" t="str" cm="1">
        <f t="array" ref="U267">_xlfn.IFNA(_xlfn.IFS(Table2[[#This Row],[DEFICIT /SURPLUS]]&lt;0,"Deficit",Table2[[#This Row],[DEFICIT /SURPLUS]]&gt;0,"surplus"),"-")</f>
        <v>-</v>
      </c>
    </row>
    <row r="268" spans="1:21" ht="14.5">
      <c r="A268" s="8" t="s">
        <v>230</v>
      </c>
      <c r="B268" s="9">
        <v>45590</v>
      </c>
      <c r="C268" s="8" t="s">
        <v>231</v>
      </c>
      <c r="D268" s="8" t="s">
        <v>232</v>
      </c>
      <c r="E268" s="8" t="s">
        <v>40</v>
      </c>
      <c r="F268" s="31">
        <f>_xlfn.XLOOKUP(Table2[[#This Row],[Shoe style]],val[SHOE STYLE],val[UNIT PRICE])</f>
        <v>14097</v>
      </c>
      <c r="H268" s="11">
        <v>1</v>
      </c>
      <c r="I268" s="6">
        <f>IF(Table2[[#This Row],[Discount]]&lt;(Table2[[#This Row],[UNIT PRICE]]*Table2[[#This Row],[Quantity sold]]),Table2[[#This Row],[UNIT PRICE]]*Table2[[#This Row],[Quantity sold]]-Table2[[#This Row],[Discount]],0)</f>
        <v>14097</v>
      </c>
      <c r="K268" s="2">
        <f>_xlfn.XLOOKUP(Table2[[#This Row],[Shoe style]],val[SHOE STYLE],val[COST PRICE])</f>
        <v>9386</v>
      </c>
      <c r="L268" s="2">
        <f>(Table2[[#This Row],[COST PRICE]]*Table2[[#This Row],[Quantity sold]])</f>
        <v>9386</v>
      </c>
      <c r="M268" s="2">
        <f>Table2[[#This Row],[TOTAL SALES]]-Table2[[#This Row],[TOTAL COST PRICE]]</f>
        <v>4711</v>
      </c>
      <c r="N268" s="2">
        <f>IF(Table2[[#This Row],[Amount Paid]]&gt;0,(SUMIF(Table2[Order ID],Table2[[#This Row],[Order ID]],Table2[Amount Paid])-SUMIF(Table2[Order ID],Table2[[#This Row],[Order ID]],Table2[TOTAL SALES])),0)</f>
        <v>0</v>
      </c>
      <c r="O268" s="8">
        <v>40</v>
      </c>
      <c r="P268" s="8" t="s">
        <v>25</v>
      </c>
      <c r="Q268" s="8" t="s">
        <v>26</v>
      </c>
      <c r="R268" s="8" t="s">
        <v>27</v>
      </c>
      <c r="S268" s="8" t="s">
        <v>28</v>
      </c>
      <c r="T268" s="8">
        <f t="shared" si="4"/>
        <v>0</v>
      </c>
      <c r="U268" t="str" cm="1">
        <f t="array" ref="U268">_xlfn.IFNA(_xlfn.IFS(Table2[[#This Row],[DEFICIT /SURPLUS]]&lt;0,"Deficit",Table2[[#This Row],[DEFICIT /SURPLUS]]&gt;0,"surplus"),"-")</f>
        <v>-</v>
      </c>
    </row>
    <row r="269" spans="1:21" ht="14.5">
      <c r="A269" s="8" t="s">
        <v>233</v>
      </c>
      <c r="B269" s="9">
        <v>45591</v>
      </c>
      <c r="C269" s="8" t="s">
        <v>22</v>
      </c>
      <c r="D269" s="8" t="s">
        <v>37</v>
      </c>
      <c r="E269" s="8" t="s">
        <v>50</v>
      </c>
      <c r="F269" s="31">
        <f>_xlfn.XLOOKUP(Table2[[#This Row],[Shoe style]],val[SHOE STYLE],val[UNIT PRICE])</f>
        <v>22728</v>
      </c>
      <c r="H269" s="11">
        <v>1</v>
      </c>
      <c r="I269" s="6">
        <f>IF(Table2[[#This Row],[Discount]]&lt;(Table2[[#This Row],[UNIT PRICE]]*Table2[[#This Row],[Quantity sold]]),Table2[[#This Row],[UNIT PRICE]]*Table2[[#This Row],[Quantity sold]]-Table2[[#This Row],[Discount]],0)</f>
        <v>22728</v>
      </c>
      <c r="J269" s="10">
        <v>14500</v>
      </c>
      <c r="K269" s="2">
        <f>_xlfn.XLOOKUP(Table2[[#This Row],[Shoe style]],val[SHOE STYLE],val[COST PRICE])</f>
        <v>20451</v>
      </c>
      <c r="L269" s="2">
        <f>(Table2[[#This Row],[COST PRICE]]*Table2[[#This Row],[Quantity sold]])</f>
        <v>20451</v>
      </c>
      <c r="M269" s="2">
        <f>Table2[[#This Row],[TOTAL SALES]]-Table2[[#This Row],[TOTAL COST PRICE]]</f>
        <v>2277</v>
      </c>
      <c r="N269" s="2">
        <f>IF(Table2[[#This Row],[Amount Paid]]&gt;0,(SUMIF(Table2[Order ID],Table2[[#This Row],[Order ID]],Table2[Amount Paid])-SUMIF(Table2[Order ID],Table2[[#This Row],[Order ID]],Table2[TOTAL SALES])),0)</f>
        <v>-8228</v>
      </c>
      <c r="O269" s="8">
        <v>43</v>
      </c>
      <c r="P269" s="8" t="s">
        <v>25</v>
      </c>
      <c r="Q269" s="8" t="s">
        <v>195</v>
      </c>
      <c r="R269" s="8" t="s">
        <v>44</v>
      </c>
      <c r="S269" s="8" t="s">
        <v>28</v>
      </c>
      <c r="T269" s="8">
        <f t="shared" si="4"/>
        <v>0</v>
      </c>
      <c r="U269" t="str" cm="1">
        <f t="array" ref="U269">_xlfn.IFNA(_xlfn.IFS(Table2[[#This Row],[DEFICIT /SURPLUS]]&lt;0,"Deficit",Table2[[#This Row],[DEFICIT /SURPLUS]]&gt;0,"surplus"),"-")</f>
        <v>Deficit</v>
      </c>
    </row>
    <row r="270" spans="1:21" ht="14.5">
      <c r="A270" s="8" t="s">
        <v>234</v>
      </c>
      <c r="B270" s="9">
        <v>45590</v>
      </c>
      <c r="C270" s="8" t="s">
        <v>22</v>
      </c>
      <c r="D270" s="8" t="s">
        <v>29</v>
      </c>
      <c r="E270" s="8" t="s">
        <v>87</v>
      </c>
      <c r="F270" s="31">
        <f>_xlfn.XLOOKUP(Table2[[#This Row],[Shoe style]],val[SHOE STYLE],val[UNIT PRICE])</f>
        <v>12395</v>
      </c>
      <c r="H270" s="11">
        <v>1</v>
      </c>
      <c r="I270" s="6">
        <f>IF(Table2[[#This Row],[Discount]]&lt;(Table2[[#This Row],[UNIT PRICE]]*Table2[[#This Row],[Quantity sold]]),Table2[[#This Row],[UNIT PRICE]]*Table2[[#This Row],[Quantity sold]]-Table2[[#This Row],[Discount]],0)</f>
        <v>12395</v>
      </c>
      <c r="J270" s="10">
        <v>86700</v>
      </c>
      <c r="K270" s="2">
        <f>_xlfn.XLOOKUP(Table2[[#This Row],[Shoe style]],val[SHOE STYLE],val[COST PRICE])</f>
        <v>7909</v>
      </c>
      <c r="L270" s="2">
        <f>(Table2[[#This Row],[COST PRICE]]*Table2[[#This Row],[Quantity sold]])</f>
        <v>7909</v>
      </c>
      <c r="M270" s="2">
        <f>Table2[[#This Row],[TOTAL SALES]]-Table2[[#This Row],[TOTAL COST PRICE]]</f>
        <v>4486</v>
      </c>
      <c r="N270" s="2">
        <f>IF(Table2[[#This Row],[Amount Paid]]&gt;0,(SUMIF(Table2[Order ID],Table2[[#This Row],[Order ID]],Table2[Amount Paid])-SUMIF(Table2[Order ID],Table2[[#This Row],[Order ID]],Table2[TOTAL SALES])),0)</f>
        <v>16275</v>
      </c>
      <c r="O270" s="8">
        <v>41</v>
      </c>
      <c r="P270" s="8" t="s">
        <v>25</v>
      </c>
      <c r="Q270" s="8" t="s">
        <v>26</v>
      </c>
      <c r="R270" s="8" t="s">
        <v>27</v>
      </c>
      <c r="S270" s="8" t="s">
        <v>28</v>
      </c>
      <c r="T270" s="8">
        <f t="shared" si="4"/>
        <v>0</v>
      </c>
      <c r="U270" t="str" cm="1">
        <f t="array" ref="U270">_xlfn.IFNA(_xlfn.IFS(Table2[[#This Row],[DEFICIT /SURPLUS]]&lt;0,"Deficit",Table2[[#This Row],[DEFICIT /SURPLUS]]&gt;0,"surplus"),"-")</f>
        <v>surplus</v>
      </c>
    </row>
    <row r="271" spans="1:21" ht="14.5">
      <c r="A271" s="8" t="s">
        <v>234</v>
      </c>
      <c r="B271" s="9">
        <v>45590</v>
      </c>
      <c r="C271" s="8" t="s">
        <v>22</v>
      </c>
      <c r="D271" s="8" t="s">
        <v>29</v>
      </c>
      <c r="E271" s="8" t="s">
        <v>50</v>
      </c>
      <c r="F271" s="31">
        <f>_xlfn.XLOOKUP(Table2[[#This Row],[Shoe style]],val[SHOE STYLE],val[UNIT PRICE])</f>
        <v>12395</v>
      </c>
      <c r="H271" s="11">
        <v>1</v>
      </c>
      <c r="I271" s="6">
        <f>IF(Table2[[#This Row],[Discount]]&lt;(Table2[[#This Row],[UNIT PRICE]]*Table2[[#This Row],[Quantity sold]]),Table2[[#This Row],[UNIT PRICE]]*Table2[[#This Row],[Quantity sold]]-Table2[[#This Row],[Discount]],0)</f>
        <v>12395</v>
      </c>
      <c r="K271" s="2">
        <f>_xlfn.XLOOKUP(Table2[[#This Row],[Shoe style]],val[SHOE STYLE],val[COST PRICE])</f>
        <v>7909</v>
      </c>
      <c r="L271" s="2">
        <f>(Table2[[#This Row],[COST PRICE]]*Table2[[#This Row],[Quantity sold]])</f>
        <v>7909</v>
      </c>
      <c r="M271" s="2">
        <f>Table2[[#This Row],[TOTAL SALES]]-Table2[[#This Row],[TOTAL COST PRICE]]</f>
        <v>4486</v>
      </c>
      <c r="N271" s="2">
        <f>IF(Table2[[#This Row],[Amount Paid]]&gt;0,(SUMIF(Table2[Order ID],Table2[[#This Row],[Order ID]],Table2[Amount Paid])-SUMIF(Table2[Order ID],Table2[[#This Row],[Order ID]],Table2[TOTAL SALES])),0)</f>
        <v>0</v>
      </c>
      <c r="O271" s="8">
        <v>41</v>
      </c>
      <c r="P271" s="8" t="s">
        <v>25</v>
      </c>
      <c r="Q271" s="8" t="s">
        <v>26</v>
      </c>
      <c r="R271" s="8" t="s">
        <v>27</v>
      </c>
      <c r="S271" s="8" t="s">
        <v>28</v>
      </c>
      <c r="T271" s="8">
        <f t="shared" si="4"/>
        <v>0</v>
      </c>
      <c r="U271" t="str" cm="1">
        <f t="array" ref="U271">_xlfn.IFNA(_xlfn.IFS(Table2[[#This Row],[DEFICIT /SURPLUS]]&lt;0,"Deficit",Table2[[#This Row],[DEFICIT /SURPLUS]]&gt;0,"surplus"),"-")</f>
        <v>-</v>
      </c>
    </row>
    <row r="272" spans="1:21" ht="14.5">
      <c r="A272" s="8" t="s">
        <v>234</v>
      </c>
      <c r="B272" s="9">
        <v>45590</v>
      </c>
      <c r="C272" s="8" t="s">
        <v>22</v>
      </c>
      <c r="D272" s="8" t="s">
        <v>29</v>
      </c>
      <c r="E272" s="8" t="s">
        <v>109</v>
      </c>
      <c r="F272" s="31">
        <f>_xlfn.XLOOKUP(Table2[[#This Row],[Shoe style]],val[SHOE STYLE],val[UNIT PRICE])</f>
        <v>12395</v>
      </c>
      <c r="H272" s="11">
        <v>1</v>
      </c>
      <c r="I272" s="6">
        <f>IF(Table2[[#This Row],[Discount]]&lt;(Table2[[#This Row],[UNIT PRICE]]*Table2[[#This Row],[Quantity sold]]),Table2[[#This Row],[UNIT PRICE]]*Table2[[#This Row],[Quantity sold]]-Table2[[#This Row],[Discount]],0)</f>
        <v>12395</v>
      </c>
      <c r="K272" s="2">
        <f>_xlfn.XLOOKUP(Table2[[#This Row],[Shoe style]],val[SHOE STYLE],val[COST PRICE])</f>
        <v>7909</v>
      </c>
      <c r="L272" s="2">
        <f>(Table2[[#This Row],[COST PRICE]]*Table2[[#This Row],[Quantity sold]])</f>
        <v>7909</v>
      </c>
      <c r="M272" s="2">
        <f>Table2[[#This Row],[TOTAL SALES]]-Table2[[#This Row],[TOTAL COST PRICE]]</f>
        <v>4486</v>
      </c>
      <c r="N272" s="2">
        <f>IF(Table2[[#This Row],[Amount Paid]]&gt;0,(SUMIF(Table2[Order ID],Table2[[#This Row],[Order ID]],Table2[Amount Paid])-SUMIF(Table2[Order ID],Table2[[#This Row],[Order ID]],Table2[TOTAL SALES])),0)</f>
        <v>0</v>
      </c>
      <c r="O272" s="8">
        <v>41</v>
      </c>
      <c r="P272" s="8" t="s">
        <v>25</v>
      </c>
      <c r="Q272" s="8" t="s">
        <v>26</v>
      </c>
      <c r="R272" s="8" t="s">
        <v>27</v>
      </c>
      <c r="S272" s="8" t="s">
        <v>28</v>
      </c>
      <c r="T272" s="8">
        <f t="shared" si="4"/>
        <v>0</v>
      </c>
      <c r="U272" t="str" cm="1">
        <f t="array" ref="U272">_xlfn.IFNA(_xlfn.IFS(Table2[[#This Row],[DEFICIT /SURPLUS]]&lt;0,"Deficit",Table2[[#This Row],[DEFICIT /SURPLUS]]&gt;0,"surplus"),"-")</f>
        <v>-</v>
      </c>
    </row>
    <row r="273" spans="1:21" ht="14.5">
      <c r="A273" s="8" t="s">
        <v>234</v>
      </c>
      <c r="B273" s="9">
        <v>45590</v>
      </c>
      <c r="C273" s="8" t="s">
        <v>22</v>
      </c>
      <c r="D273" s="8" t="s">
        <v>53</v>
      </c>
      <c r="E273" s="8" t="s">
        <v>122</v>
      </c>
      <c r="F273" s="31">
        <f>_xlfn.XLOOKUP(Table2[[#This Row],[Shoe style]],val[SHOE STYLE],val[UNIT PRICE])</f>
        <v>9838</v>
      </c>
      <c r="H273" s="11">
        <v>1</v>
      </c>
      <c r="I273" s="6">
        <f>IF(Table2[[#This Row],[Discount]]&lt;(Table2[[#This Row],[UNIT PRICE]]*Table2[[#This Row],[Quantity sold]]),Table2[[#This Row],[UNIT PRICE]]*Table2[[#This Row],[Quantity sold]]-Table2[[#This Row],[Discount]],0)</f>
        <v>9838</v>
      </c>
      <c r="K273" s="2">
        <f>_xlfn.XLOOKUP(Table2[[#This Row],[Shoe style]],val[SHOE STYLE],val[COST PRICE])</f>
        <v>6687</v>
      </c>
      <c r="L273" s="2">
        <f>(Table2[[#This Row],[COST PRICE]]*Table2[[#This Row],[Quantity sold]])</f>
        <v>6687</v>
      </c>
      <c r="M273" s="2">
        <f>Table2[[#This Row],[TOTAL SALES]]-Table2[[#This Row],[TOTAL COST PRICE]]</f>
        <v>3151</v>
      </c>
      <c r="N273" s="2">
        <f>IF(Table2[[#This Row],[Amount Paid]]&gt;0,(SUMIF(Table2[Order ID],Table2[[#This Row],[Order ID]],Table2[Amount Paid])-SUMIF(Table2[Order ID],Table2[[#This Row],[Order ID]],Table2[TOTAL SALES])),0)</f>
        <v>0</v>
      </c>
      <c r="O273" s="8">
        <v>41</v>
      </c>
      <c r="P273" s="8" t="s">
        <v>25</v>
      </c>
      <c r="Q273" s="8" t="s">
        <v>26</v>
      </c>
      <c r="R273" s="8" t="s">
        <v>27</v>
      </c>
      <c r="S273" s="8" t="s">
        <v>28</v>
      </c>
      <c r="T273" s="8">
        <f t="shared" si="4"/>
        <v>0</v>
      </c>
      <c r="U273" t="str" cm="1">
        <f t="array" ref="U273">_xlfn.IFNA(_xlfn.IFS(Table2[[#This Row],[DEFICIT /SURPLUS]]&lt;0,"Deficit",Table2[[#This Row],[DEFICIT /SURPLUS]]&gt;0,"surplus"),"-")</f>
        <v>-</v>
      </c>
    </row>
    <row r="274" spans="1:21" ht="14.5">
      <c r="A274" s="8" t="s">
        <v>234</v>
      </c>
      <c r="B274" s="9">
        <v>45590</v>
      </c>
      <c r="C274" s="8" t="s">
        <v>22</v>
      </c>
      <c r="D274" s="8" t="s">
        <v>51</v>
      </c>
      <c r="E274" s="8" t="s">
        <v>87</v>
      </c>
      <c r="F274" s="31">
        <f>_xlfn.XLOOKUP(Table2[[#This Row],[Shoe style]],val[SHOE STYLE],val[UNIT PRICE])</f>
        <v>11007</v>
      </c>
      <c r="H274" s="11">
        <v>1</v>
      </c>
      <c r="I274" s="6">
        <f>IF(Table2[[#This Row],[Discount]]&lt;(Table2[[#This Row],[UNIT PRICE]]*Table2[[#This Row],[Quantity sold]]),Table2[[#This Row],[UNIT PRICE]]*Table2[[#This Row],[Quantity sold]]-Table2[[#This Row],[Discount]],0)</f>
        <v>11007</v>
      </c>
      <c r="K274" s="2">
        <f>_xlfn.XLOOKUP(Table2[[#This Row],[Shoe style]],val[SHOE STYLE],val[COST PRICE])</f>
        <v>8327</v>
      </c>
      <c r="L274" s="2">
        <f>(Table2[[#This Row],[COST PRICE]]*Table2[[#This Row],[Quantity sold]])</f>
        <v>8327</v>
      </c>
      <c r="M274" s="2">
        <f>Table2[[#This Row],[TOTAL SALES]]-Table2[[#This Row],[TOTAL COST PRICE]]</f>
        <v>2680</v>
      </c>
      <c r="N274" s="2">
        <f>IF(Table2[[#This Row],[Amount Paid]]&gt;0,(SUMIF(Table2[Order ID],Table2[[#This Row],[Order ID]],Table2[Amount Paid])-SUMIF(Table2[Order ID],Table2[[#This Row],[Order ID]],Table2[TOTAL SALES])),0)</f>
        <v>0</v>
      </c>
      <c r="O274" s="8">
        <v>41</v>
      </c>
      <c r="P274" s="8" t="s">
        <v>25</v>
      </c>
      <c r="Q274" s="8" t="s">
        <v>26</v>
      </c>
      <c r="R274" s="8" t="s">
        <v>27</v>
      </c>
      <c r="S274" s="8" t="s">
        <v>28</v>
      </c>
      <c r="T274" s="8">
        <f t="shared" si="4"/>
        <v>0</v>
      </c>
      <c r="U274" t="str" cm="1">
        <f t="array" ref="U274">_xlfn.IFNA(_xlfn.IFS(Table2[[#This Row],[DEFICIT /SURPLUS]]&lt;0,"Deficit",Table2[[#This Row],[DEFICIT /SURPLUS]]&gt;0,"surplus"),"-")</f>
        <v>-</v>
      </c>
    </row>
    <row r="275" spans="1:21" ht="14.5">
      <c r="A275" s="8" t="s">
        <v>234</v>
      </c>
      <c r="B275" s="9">
        <v>45590</v>
      </c>
      <c r="C275" s="8" t="s">
        <v>22</v>
      </c>
      <c r="D275" s="8" t="s">
        <v>29</v>
      </c>
      <c r="E275" s="8" t="s">
        <v>235</v>
      </c>
      <c r="F275" s="31">
        <f>_xlfn.XLOOKUP(Table2[[#This Row],[Shoe style]],val[SHOE STYLE],val[UNIT PRICE])</f>
        <v>12395</v>
      </c>
      <c r="H275" s="11">
        <v>1</v>
      </c>
      <c r="I275" s="6">
        <f>IF(Table2[[#This Row],[Discount]]&lt;(Table2[[#This Row],[UNIT PRICE]]*Table2[[#This Row],[Quantity sold]]),Table2[[#This Row],[UNIT PRICE]]*Table2[[#This Row],[Quantity sold]]-Table2[[#This Row],[Discount]],0)</f>
        <v>12395</v>
      </c>
      <c r="K275" s="2">
        <f>_xlfn.XLOOKUP(Table2[[#This Row],[Shoe style]],val[SHOE STYLE],val[COST PRICE])</f>
        <v>7909</v>
      </c>
      <c r="L275" s="2">
        <f>(Table2[[#This Row],[COST PRICE]]*Table2[[#This Row],[Quantity sold]])</f>
        <v>7909</v>
      </c>
      <c r="M275" s="2">
        <f>Table2[[#This Row],[TOTAL SALES]]-Table2[[#This Row],[TOTAL COST PRICE]]</f>
        <v>4486</v>
      </c>
      <c r="N275" s="2">
        <f>IF(Table2[[#This Row],[Amount Paid]]&gt;0,(SUMIF(Table2[Order ID],Table2[[#This Row],[Order ID]],Table2[Amount Paid])-SUMIF(Table2[Order ID],Table2[[#This Row],[Order ID]],Table2[TOTAL SALES])),0)</f>
        <v>0</v>
      </c>
      <c r="O275" s="8">
        <v>41</v>
      </c>
      <c r="P275" s="8" t="s">
        <v>25</v>
      </c>
      <c r="Q275" s="8" t="s">
        <v>26</v>
      </c>
      <c r="R275" s="8" t="s">
        <v>27</v>
      </c>
      <c r="S275" s="8" t="s">
        <v>28</v>
      </c>
      <c r="T275" s="8">
        <f t="shared" si="4"/>
        <v>0</v>
      </c>
      <c r="U275" t="str" cm="1">
        <f t="array" ref="U275">_xlfn.IFNA(_xlfn.IFS(Table2[[#This Row],[DEFICIT /SURPLUS]]&lt;0,"Deficit",Table2[[#This Row],[DEFICIT /SURPLUS]]&gt;0,"surplus"),"-")</f>
        <v>-</v>
      </c>
    </row>
    <row r="276" spans="1:21" ht="14.5">
      <c r="A276" s="8" t="s">
        <v>236</v>
      </c>
      <c r="B276" s="9">
        <v>45591</v>
      </c>
      <c r="C276" s="8" t="s">
        <v>22</v>
      </c>
      <c r="D276" s="8" t="s">
        <v>29</v>
      </c>
      <c r="E276" s="8" t="s">
        <v>109</v>
      </c>
      <c r="F276" s="31">
        <f>_xlfn.XLOOKUP(Table2[[#This Row],[Shoe style]],val[SHOE STYLE],val[UNIT PRICE])</f>
        <v>12395</v>
      </c>
      <c r="H276" s="11">
        <v>1</v>
      </c>
      <c r="I276" s="6">
        <f>IF(Table2[[#This Row],[Discount]]&lt;(Table2[[#This Row],[UNIT PRICE]]*Table2[[#This Row],[Quantity sold]]),Table2[[#This Row],[UNIT PRICE]]*Table2[[#This Row],[Quantity sold]]-Table2[[#This Row],[Discount]],0)</f>
        <v>12395</v>
      </c>
      <c r="J276" s="10">
        <v>168000</v>
      </c>
      <c r="K276" s="2">
        <f>_xlfn.XLOOKUP(Table2[[#This Row],[Shoe style]],val[SHOE STYLE],val[COST PRICE])</f>
        <v>7909</v>
      </c>
      <c r="L276" s="2">
        <f>(Table2[[#This Row],[COST PRICE]]*Table2[[#This Row],[Quantity sold]])</f>
        <v>7909</v>
      </c>
      <c r="M276" s="2">
        <f>Table2[[#This Row],[TOTAL SALES]]-Table2[[#This Row],[TOTAL COST PRICE]]</f>
        <v>4486</v>
      </c>
      <c r="N276" s="2">
        <f>IF(Table2[[#This Row],[Amount Paid]]&gt;0,(SUMIF(Table2[Order ID],Table2[[#This Row],[Order ID]],Table2[Amount Paid])-SUMIF(Table2[Order ID],Table2[[#This Row],[Order ID]],Table2[TOTAL SALES])),0)</f>
        <v>-21098</v>
      </c>
      <c r="O276" s="8">
        <v>39</v>
      </c>
      <c r="P276" s="8" t="s">
        <v>25</v>
      </c>
      <c r="Q276" s="8" t="s">
        <v>26</v>
      </c>
      <c r="R276" s="8" t="s">
        <v>27</v>
      </c>
      <c r="S276" s="8" t="s">
        <v>28</v>
      </c>
      <c r="T276" s="8">
        <f t="shared" si="4"/>
        <v>0</v>
      </c>
      <c r="U276" t="str" cm="1">
        <f t="array" ref="U276">_xlfn.IFNA(_xlfn.IFS(Table2[[#This Row],[DEFICIT /SURPLUS]]&lt;0,"Deficit",Table2[[#This Row],[DEFICIT /SURPLUS]]&gt;0,"surplus"),"-")</f>
        <v>Deficit</v>
      </c>
    </row>
    <row r="277" spans="1:21" ht="14.5">
      <c r="A277" s="8" t="s">
        <v>236</v>
      </c>
      <c r="B277" s="9">
        <v>45591</v>
      </c>
      <c r="C277" s="8" t="s">
        <v>22</v>
      </c>
      <c r="D277" s="8" t="s">
        <v>29</v>
      </c>
      <c r="E277" s="8" t="s">
        <v>109</v>
      </c>
      <c r="F277" s="31">
        <f>_xlfn.XLOOKUP(Table2[[#This Row],[Shoe style]],val[SHOE STYLE],val[UNIT PRICE])</f>
        <v>12395</v>
      </c>
      <c r="H277" s="11">
        <v>1</v>
      </c>
      <c r="I277" s="6">
        <f>IF(Table2[[#This Row],[Discount]]&lt;(Table2[[#This Row],[UNIT PRICE]]*Table2[[#This Row],[Quantity sold]]),Table2[[#This Row],[UNIT PRICE]]*Table2[[#This Row],[Quantity sold]]-Table2[[#This Row],[Discount]],0)</f>
        <v>12395</v>
      </c>
      <c r="K277" s="2">
        <f>_xlfn.XLOOKUP(Table2[[#This Row],[Shoe style]],val[SHOE STYLE],val[COST PRICE])</f>
        <v>7909</v>
      </c>
      <c r="L277" s="2">
        <f>(Table2[[#This Row],[COST PRICE]]*Table2[[#This Row],[Quantity sold]])</f>
        <v>7909</v>
      </c>
      <c r="M277" s="2">
        <f>Table2[[#This Row],[TOTAL SALES]]-Table2[[#This Row],[TOTAL COST PRICE]]</f>
        <v>4486</v>
      </c>
      <c r="N277" s="2">
        <f>IF(Table2[[#This Row],[Amount Paid]]&gt;0,(SUMIF(Table2[Order ID],Table2[[#This Row],[Order ID]],Table2[Amount Paid])-SUMIF(Table2[Order ID],Table2[[#This Row],[Order ID]],Table2[TOTAL SALES])),0)</f>
        <v>0</v>
      </c>
      <c r="O277" s="8">
        <v>40</v>
      </c>
      <c r="P277" s="8" t="s">
        <v>25</v>
      </c>
      <c r="Q277" s="8" t="s">
        <v>26</v>
      </c>
      <c r="R277" s="8" t="s">
        <v>27</v>
      </c>
      <c r="S277" s="8" t="s">
        <v>28</v>
      </c>
      <c r="T277" s="8">
        <f t="shared" si="4"/>
        <v>0</v>
      </c>
      <c r="U277" t="str" cm="1">
        <f t="array" ref="U277">_xlfn.IFNA(_xlfn.IFS(Table2[[#This Row],[DEFICIT /SURPLUS]]&lt;0,"Deficit",Table2[[#This Row],[DEFICIT /SURPLUS]]&gt;0,"surplus"),"-")</f>
        <v>-</v>
      </c>
    </row>
    <row r="278" spans="1:21" ht="14.5">
      <c r="A278" s="8" t="s">
        <v>236</v>
      </c>
      <c r="B278" s="9">
        <v>45591</v>
      </c>
      <c r="C278" s="8" t="s">
        <v>22</v>
      </c>
      <c r="D278" s="8" t="s">
        <v>29</v>
      </c>
      <c r="E278" s="8" t="s">
        <v>24</v>
      </c>
      <c r="F278" s="31">
        <f>_xlfn.XLOOKUP(Table2[[#This Row],[Shoe style]],val[SHOE STYLE],val[UNIT PRICE])</f>
        <v>12395</v>
      </c>
      <c r="H278" s="11">
        <v>1</v>
      </c>
      <c r="I278" s="6">
        <f>IF(Table2[[#This Row],[Discount]]&lt;(Table2[[#This Row],[UNIT PRICE]]*Table2[[#This Row],[Quantity sold]]),Table2[[#This Row],[UNIT PRICE]]*Table2[[#This Row],[Quantity sold]]-Table2[[#This Row],[Discount]],0)</f>
        <v>12395</v>
      </c>
      <c r="K278" s="2">
        <f>_xlfn.XLOOKUP(Table2[[#This Row],[Shoe style]],val[SHOE STYLE],val[COST PRICE])</f>
        <v>7909</v>
      </c>
      <c r="L278" s="2">
        <f>(Table2[[#This Row],[COST PRICE]]*Table2[[#This Row],[Quantity sold]])</f>
        <v>7909</v>
      </c>
      <c r="M278" s="2">
        <f>Table2[[#This Row],[TOTAL SALES]]-Table2[[#This Row],[TOTAL COST PRICE]]</f>
        <v>4486</v>
      </c>
      <c r="N278" s="2">
        <f>IF(Table2[[#This Row],[Amount Paid]]&gt;0,(SUMIF(Table2[Order ID],Table2[[#This Row],[Order ID]],Table2[Amount Paid])-SUMIF(Table2[Order ID],Table2[[#This Row],[Order ID]],Table2[TOTAL SALES])),0)</f>
        <v>0</v>
      </c>
      <c r="O278" s="8">
        <v>38</v>
      </c>
      <c r="P278" s="8" t="s">
        <v>25</v>
      </c>
      <c r="Q278" s="8" t="s">
        <v>26</v>
      </c>
      <c r="R278" s="8" t="s">
        <v>27</v>
      </c>
      <c r="S278" s="8" t="s">
        <v>28</v>
      </c>
      <c r="T278" s="8">
        <f t="shared" si="4"/>
        <v>0</v>
      </c>
      <c r="U278" t="str" cm="1">
        <f t="array" ref="U278">_xlfn.IFNA(_xlfn.IFS(Table2[[#This Row],[DEFICIT /SURPLUS]]&lt;0,"Deficit",Table2[[#This Row],[DEFICIT /SURPLUS]]&gt;0,"surplus"),"-")</f>
        <v>-</v>
      </c>
    </row>
    <row r="279" spans="1:21" ht="14.5">
      <c r="A279" s="8" t="s">
        <v>236</v>
      </c>
      <c r="B279" s="9">
        <v>45591</v>
      </c>
      <c r="C279" s="8" t="s">
        <v>22</v>
      </c>
      <c r="D279" s="8" t="s">
        <v>37</v>
      </c>
      <c r="E279" s="8" t="s">
        <v>237</v>
      </c>
      <c r="F279" s="31">
        <f>_xlfn.XLOOKUP(Table2[[#This Row],[Shoe style]],val[SHOE STYLE],val[UNIT PRICE])</f>
        <v>22728</v>
      </c>
      <c r="H279" s="11">
        <v>1</v>
      </c>
      <c r="I279" s="6">
        <f>IF(Table2[[#This Row],[Discount]]&lt;(Table2[[#This Row],[UNIT PRICE]]*Table2[[#This Row],[Quantity sold]]),Table2[[#This Row],[UNIT PRICE]]*Table2[[#This Row],[Quantity sold]]-Table2[[#This Row],[Discount]],0)</f>
        <v>22728</v>
      </c>
      <c r="K279" s="2">
        <f>_xlfn.XLOOKUP(Table2[[#This Row],[Shoe style]],val[SHOE STYLE],val[COST PRICE])</f>
        <v>20451</v>
      </c>
      <c r="L279" s="2">
        <f>(Table2[[#This Row],[COST PRICE]]*Table2[[#This Row],[Quantity sold]])</f>
        <v>20451</v>
      </c>
      <c r="M279" s="2">
        <f>Table2[[#This Row],[TOTAL SALES]]-Table2[[#This Row],[TOTAL COST PRICE]]</f>
        <v>2277</v>
      </c>
      <c r="N279" s="2">
        <f>IF(Table2[[#This Row],[Amount Paid]]&gt;0,(SUMIF(Table2[Order ID],Table2[[#This Row],[Order ID]],Table2[Amount Paid])-SUMIF(Table2[Order ID],Table2[[#This Row],[Order ID]],Table2[TOTAL SALES])),0)</f>
        <v>0</v>
      </c>
      <c r="O279" s="8">
        <v>40</v>
      </c>
      <c r="P279" s="8" t="s">
        <v>25</v>
      </c>
      <c r="Q279" s="8" t="s">
        <v>26</v>
      </c>
      <c r="R279" s="8" t="s">
        <v>27</v>
      </c>
      <c r="S279" s="8" t="s">
        <v>28</v>
      </c>
      <c r="T279" s="8">
        <f t="shared" si="4"/>
        <v>0</v>
      </c>
      <c r="U279" t="str" cm="1">
        <f t="array" ref="U279">_xlfn.IFNA(_xlfn.IFS(Table2[[#This Row],[DEFICIT /SURPLUS]]&lt;0,"Deficit",Table2[[#This Row],[DEFICIT /SURPLUS]]&gt;0,"surplus"),"-")</f>
        <v>-</v>
      </c>
    </row>
    <row r="280" spans="1:21" ht="14.5">
      <c r="A280" s="8" t="s">
        <v>236</v>
      </c>
      <c r="B280" s="9">
        <v>45591</v>
      </c>
      <c r="C280" s="8" t="s">
        <v>22</v>
      </c>
      <c r="D280" s="8" t="s">
        <v>37</v>
      </c>
      <c r="E280" s="8" t="s">
        <v>38</v>
      </c>
      <c r="F280" s="31">
        <f>_xlfn.XLOOKUP(Table2[[#This Row],[Shoe style]],val[SHOE STYLE],val[UNIT PRICE])</f>
        <v>22728</v>
      </c>
      <c r="H280" s="11">
        <v>1</v>
      </c>
      <c r="I280" s="6">
        <f>IF(Table2[[#This Row],[Discount]]&lt;(Table2[[#This Row],[UNIT PRICE]]*Table2[[#This Row],[Quantity sold]]),Table2[[#This Row],[UNIT PRICE]]*Table2[[#This Row],[Quantity sold]]-Table2[[#This Row],[Discount]],0)</f>
        <v>22728</v>
      </c>
      <c r="K280" s="2">
        <f>_xlfn.XLOOKUP(Table2[[#This Row],[Shoe style]],val[SHOE STYLE],val[COST PRICE])</f>
        <v>20451</v>
      </c>
      <c r="L280" s="2">
        <f>(Table2[[#This Row],[COST PRICE]]*Table2[[#This Row],[Quantity sold]])</f>
        <v>20451</v>
      </c>
      <c r="M280" s="2">
        <f>Table2[[#This Row],[TOTAL SALES]]-Table2[[#This Row],[TOTAL COST PRICE]]</f>
        <v>2277</v>
      </c>
      <c r="N280" s="2">
        <f>IF(Table2[[#This Row],[Amount Paid]]&gt;0,(SUMIF(Table2[Order ID],Table2[[#This Row],[Order ID]],Table2[Amount Paid])-SUMIF(Table2[Order ID],Table2[[#This Row],[Order ID]],Table2[TOTAL SALES])),0)</f>
        <v>0</v>
      </c>
      <c r="O280" s="8">
        <v>39</v>
      </c>
      <c r="P280" s="8" t="s">
        <v>25</v>
      </c>
      <c r="Q280" s="8" t="s">
        <v>26</v>
      </c>
      <c r="R280" s="8" t="s">
        <v>27</v>
      </c>
      <c r="S280" s="8" t="s">
        <v>28</v>
      </c>
      <c r="T280" s="8">
        <f t="shared" si="4"/>
        <v>0</v>
      </c>
      <c r="U280" t="str" cm="1">
        <f t="array" ref="U280">_xlfn.IFNA(_xlfn.IFS(Table2[[#This Row],[DEFICIT /SURPLUS]]&lt;0,"Deficit",Table2[[#This Row],[DEFICIT /SURPLUS]]&gt;0,"surplus"),"-")</f>
        <v>-</v>
      </c>
    </row>
    <row r="281" spans="1:21" ht="14.5">
      <c r="A281" s="8" t="s">
        <v>236</v>
      </c>
      <c r="B281" s="9">
        <v>45591</v>
      </c>
      <c r="C281" s="8" t="s">
        <v>22</v>
      </c>
      <c r="D281" s="8" t="s">
        <v>68</v>
      </c>
      <c r="E281" s="8" t="s">
        <v>78</v>
      </c>
      <c r="F281" s="31">
        <f>_xlfn.XLOOKUP(Table2[[#This Row],[Shoe style]],val[SHOE STYLE],val[UNIT PRICE])</f>
        <v>10509</v>
      </c>
      <c r="H281" s="11">
        <v>1</v>
      </c>
      <c r="I281" s="6">
        <f>IF(Table2[[#This Row],[Discount]]&lt;(Table2[[#This Row],[UNIT PRICE]]*Table2[[#This Row],[Quantity sold]]),Table2[[#This Row],[UNIT PRICE]]*Table2[[#This Row],[Quantity sold]]-Table2[[#This Row],[Discount]],0)</f>
        <v>10509</v>
      </c>
      <c r="K281" s="2">
        <f>_xlfn.XLOOKUP(Table2[[#This Row],[Shoe style]],val[SHOE STYLE],val[COST PRICE])</f>
        <v>7573</v>
      </c>
      <c r="L281" s="2">
        <f>(Table2[[#This Row],[COST PRICE]]*Table2[[#This Row],[Quantity sold]])</f>
        <v>7573</v>
      </c>
      <c r="M281" s="2">
        <f>Table2[[#This Row],[TOTAL SALES]]-Table2[[#This Row],[TOTAL COST PRICE]]</f>
        <v>2936</v>
      </c>
      <c r="N281" s="2">
        <f>IF(Table2[[#This Row],[Amount Paid]]&gt;0,(SUMIF(Table2[Order ID],Table2[[#This Row],[Order ID]],Table2[Amount Paid])-SUMIF(Table2[Order ID],Table2[[#This Row],[Order ID]],Table2[TOTAL SALES])),0)</f>
        <v>0</v>
      </c>
      <c r="O281" s="8">
        <v>41</v>
      </c>
      <c r="P281" s="8" t="s">
        <v>25</v>
      </c>
      <c r="Q281" s="8" t="s">
        <v>26</v>
      </c>
      <c r="R281" s="8" t="s">
        <v>27</v>
      </c>
      <c r="S281" s="8" t="s">
        <v>28</v>
      </c>
      <c r="T281" s="8">
        <f t="shared" si="4"/>
        <v>0</v>
      </c>
      <c r="U281" t="str" cm="1">
        <f t="array" ref="U281">_xlfn.IFNA(_xlfn.IFS(Table2[[#This Row],[DEFICIT /SURPLUS]]&lt;0,"Deficit",Table2[[#This Row],[DEFICIT /SURPLUS]]&gt;0,"surplus"),"-")</f>
        <v>-</v>
      </c>
    </row>
    <row r="282" spans="1:21" ht="14.5">
      <c r="A282" s="8" t="s">
        <v>236</v>
      </c>
      <c r="B282" s="9">
        <v>45591</v>
      </c>
      <c r="C282" s="8" t="s">
        <v>22</v>
      </c>
      <c r="D282" s="8" t="s">
        <v>53</v>
      </c>
      <c r="E282" s="8" t="s">
        <v>30</v>
      </c>
      <c r="F282" s="31">
        <f>_xlfn.XLOOKUP(Table2[[#This Row],[Shoe style]],val[SHOE STYLE],val[UNIT PRICE])</f>
        <v>9838</v>
      </c>
      <c r="H282" s="11">
        <v>1</v>
      </c>
      <c r="I282" s="6">
        <f>IF(Table2[[#This Row],[Discount]]&lt;(Table2[[#This Row],[UNIT PRICE]]*Table2[[#This Row],[Quantity sold]]),Table2[[#This Row],[UNIT PRICE]]*Table2[[#This Row],[Quantity sold]]-Table2[[#This Row],[Discount]],0)</f>
        <v>9838</v>
      </c>
      <c r="K282" s="2">
        <f>_xlfn.XLOOKUP(Table2[[#This Row],[Shoe style]],val[SHOE STYLE],val[COST PRICE])</f>
        <v>6687</v>
      </c>
      <c r="L282" s="2">
        <f>(Table2[[#This Row],[COST PRICE]]*Table2[[#This Row],[Quantity sold]])</f>
        <v>6687</v>
      </c>
      <c r="M282" s="2">
        <f>Table2[[#This Row],[TOTAL SALES]]-Table2[[#This Row],[TOTAL COST PRICE]]</f>
        <v>3151</v>
      </c>
      <c r="N282" s="2">
        <f>IF(Table2[[#This Row],[Amount Paid]]&gt;0,(SUMIF(Table2[Order ID],Table2[[#This Row],[Order ID]],Table2[Amount Paid])-SUMIF(Table2[Order ID],Table2[[#This Row],[Order ID]],Table2[TOTAL SALES])),0)</f>
        <v>0</v>
      </c>
      <c r="O282" s="8">
        <v>39</v>
      </c>
      <c r="P282" s="8" t="s">
        <v>25</v>
      </c>
      <c r="Q282" s="8" t="s">
        <v>26</v>
      </c>
      <c r="R282" s="8" t="s">
        <v>27</v>
      </c>
      <c r="S282" s="8" t="s">
        <v>28</v>
      </c>
      <c r="T282" s="8">
        <f t="shared" si="4"/>
        <v>0</v>
      </c>
      <c r="U282" t="str" cm="1">
        <f t="array" ref="U282">_xlfn.IFNA(_xlfn.IFS(Table2[[#This Row],[DEFICIT /SURPLUS]]&lt;0,"Deficit",Table2[[#This Row],[DEFICIT /SURPLUS]]&gt;0,"surplus"),"-")</f>
        <v>-</v>
      </c>
    </row>
    <row r="283" spans="1:21" ht="14.5">
      <c r="A283" s="8" t="s">
        <v>236</v>
      </c>
      <c r="B283" s="9">
        <v>45591</v>
      </c>
      <c r="C283" s="8" t="s">
        <v>22</v>
      </c>
      <c r="D283" s="8" t="s">
        <v>49</v>
      </c>
      <c r="E283" s="8" t="s">
        <v>43</v>
      </c>
      <c r="F283" s="31">
        <f>_xlfn.XLOOKUP(Table2[[#This Row],[Shoe style]],val[SHOE STYLE],val[UNIT PRICE])</f>
        <v>20500</v>
      </c>
      <c r="H283" s="11">
        <v>1</v>
      </c>
      <c r="I283" s="6">
        <f>IF(Table2[[#This Row],[Discount]]&lt;(Table2[[#This Row],[UNIT PRICE]]*Table2[[#This Row],[Quantity sold]]),Table2[[#This Row],[UNIT PRICE]]*Table2[[#This Row],[Quantity sold]]-Table2[[#This Row],[Discount]],0)</f>
        <v>20500</v>
      </c>
      <c r="K283" s="2">
        <f>_xlfn.XLOOKUP(Table2[[#This Row],[Shoe style]],val[SHOE STYLE],val[COST PRICE])</f>
        <v>17339</v>
      </c>
      <c r="L283" s="2">
        <f>(Table2[[#This Row],[COST PRICE]]*Table2[[#This Row],[Quantity sold]])</f>
        <v>17339</v>
      </c>
      <c r="M283" s="2">
        <f>Table2[[#This Row],[TOTAL SALES]]-Table2[[#This Row],[TOTAL COST PRICE]]</f>
        <v>3161</v>
      </c>
      <c r="N283" s="2">
        <f>IF(Table2[[#This Row],[Amount Paid]]&gt;0,(SUMIF(Table2[Order ID],Table2[[#This Row],[Order ID]],Table2[Amount Paid])-SUMIF(Table2[Order ID],Table2[[#This Row],[Order ID]],Table2[TOTAL SALES])),0)</f>
        <v>0</v>
      </c>
      <c r="O283" s="8">
        <v>41</v>
      </c>
      <c r="P283" s="8" t="s">
        <v>25</v>
      </c>
      <c r="Q283" s="8" t="s">
        <v>26</v>
      </c>
      <c r="R283" s="8" t="s">
        <v>27</v>
      </c>
      <c r="S283" s="8" t="s">
        <v>28</v>
      </c>
      <c r="T283" s="8">
        <f t="shared" si="4"/>
        <v>0</v>
      </c>
      <c r="U283" t="str" cm="1">
        <f t="array" ref="U283">_xlfn.IFNA(_xlfn.IFS(Table2[[#This Row],[DEFICIT /SURPLUS]]&lt;0,"Deficit",Table2[[#This Row],[DEFICIT /SURPLUS]]&gt;0,"surplus"),"-")</f>
        <v>-</v>
      </c>
    </row>
    <row r="284" spans="1:21" ht="14.5">
      <c r="A284" s="8" t="s">
        <v>236</v>
      </c>
      <c r="B284" s="9">
        <v>45591</v>
      </c>
      <c r="C284" s="8" t="s">
        <v>22</v>
      </c>
      <c r="D284" s="8" t="s">
        <v>232</v>
      </c>
      <c r="E284" s="8" t="s">
        <v>40</v>
      </c>
      <c r="F284" s="31">
        <f>_xlfn.XLOOKUP(Table2[[#This Row],[Shoe style]],val[SHOE STYLE],val[UNIT PRICE])</f>
        <v>14097</v>
      </c>
      <c r="H284" s="11">
        <v>1</v>
      </c>
      <c r="I284" s="6">
        <f>IF(Table2[[#This Row],[Discount]]&lt;(Table2[[#This Row],[UNIT PRICE]]*Table2[[#This Row],[Quantity sold]]),Table2[[#This Row],[UNIT PRICE]]*Table2[[#This Row],[Quantity sold]]-Table2[[#This Row],[Discount]],0)</f>
        <v>14097</v>
      </c>
      <c r="K284" s="2">
        <f>_xlfn.XLOOKUP(Table2[[#This Row],[Shoe style]],val[SHOE STYLE],val[COST PRICE])</f>
        <v>9386</v>
      </c>
      <c r="L284" s="2">
        <f>(Table2[[#This Row],[COST PRICE]]*Table2[[#This Row],[Quantity sold]])</f>
        <v>9386</v>
      </c>
      <c r="M284" s="2">
        <f>Table2[[#This Row],[TOTAL SALES]]-Table2[[#This Row],[TOTAL COST PRICE]]</f>
        <v>4711</v>
      </c>
      <c r="N284" s="2">
        <f>IF(Table2[[#This Row],[Amount Paid]]&gt;0,(SUMIF(Table2[Order ID],Table2[[#This Row],[Order ID]],Table2[Amount Paid])-SUMIF(Table2[Order ID],Table2[[#This Row],[Order ID]],Table2[TOTAL SALES])),0)</f>
        <v>0</v>
      </c>
      <c r="O284" s="8">
        <v>39</v>
      </c>
      <c r="P284" s="8" t="s">
        <v>25</v>
      </c>
      <c r="Q284" s="8" t="s">
        <v>26</v>
      </c>
      <c r="R284" s="8" t="s">
        <v>27</v>
      </c>
      <c r="S284" s="8" t="s">
        <v>28</v>
      </c>
      <c r="T284" s="8">
        <f t="shared" si="4"/>
        <v>0</v>
      </c>
      <c r="U284" t="str" cm="1">
        <f t="array" ref="U284">_xlfn.IFNA(_xlfn.IFS(Table2[[#This Row],[DEFICIT /SURPLUS]]&lt;0,"Deficit",Table2[[#This Row],[DEFICIT /SURPLUS]]&gt;0,"surplus"),"-")</f>
        <v>-</v>
      </c>
    </row>
    <row r="285" spans="1:21" ht="14.5">
      <c r="A285" s="8" t="s">
        <v>236</v>
      </c>
      <c r="B285" s="9">
        <v>45591</v>
      </c>
      <c r="C285" s="8" t="s">
        <v>22</v>
      </c>
      <c r="D285" s="8" t="s">
        <v>136</v>
      </c>
      <c r="E285" s="8" t="s">
        <v>109</v>
      </c>
      <c r="F285" s="31">
        <f>_xlfn.XLOOKUP(Table2[[#This Row],[Shoe style]],val[SHOE STYLE],val[UNIT PRICE])</f>
        <v>20502</v>
      </c>
      <c r="H285" s="11">
        <v>1</v>
      </c>
      <c r="I285" s="6">
        <f>IF(Table2[[#This Row],[Discount]]&lt;(Table2[[#This Row],[UNIT PRICE]]*Table2[[#This Row],[Quantity sold]]),Table2[[#This Row],[UNIT PRICE]]*Table2[[#This Row],[Quantity sold]]-Table2[[#This Row],[Discount]],0)</f>
        <v>20502</v>
      </c>
      <c r="K285" s="2">
        <f>_xlfn.XLOOKUP(Table2[[#This Row],[Shoe style]],val[SHOE STYLE],val[COST PRICE])</f>
        <v>18239</v>
      </c>
      <c r="L285" s="2">
        <f>(Table2[[#This Row],[COST PRICE]]*Table2[[#This Row],[Quantity sold]])</f>
        <v>18239</v>
      </c>
      <c r="M285" s="2">
        <f>Table2[[#This Row],[TOTAL SALES]]-Table2[[#This Row],[TOTAL COST PRICE]]</f>
        <v>2263</v>
      </c>
      <c r="N285" s="2">
        <f>IF(Table2[[#This Row],[Amount Paid]]&gt;0,(SUMIF(Table2[Order ID],Table2[[#This Row],[Order ID]],Table2[Amount Paid])-SUMIF(Table2[Order ID],Table2[[#This Row],[Order ID]],Table2[TOTAL SALES])),0)</f>
        <v>0</v>
      </c>
      <c r="O285" s="8">
        <v>38</v>
      </c>
      <c r="P285" s="8" t="s">
        <v>25</v>
      </c>
      <c r="Q285" s="8" t="s">
        <v>26</v>
      </c>
      <c r="R285" s="8" t="s">
        <v>27</v>
      </c>
      <c r="S285" s="8" t="s">
        <v>28</v>
      </c>
      <c r="T285" s="8">
        <f t="shared" si="4"/>
        <v>0</v>
      </c>
      <c r="U285" t="str" cm="1">
        <f t="array" ref="U285">_xlfn.IFNA(_xlfn.IFS(Table2[[#This Row],[DEFICIT /SURPLUS]]&lt;0,"Deficit",Table2[[#This Row],[DEFICIT /SURPLUS]]&gt;0,"surplus"),"-")</f>
        <v>-</v>
      </c>
    </row>
    <row r="286" spans="1:21" ht="14.5">
      <c r="A286" s="8" t="s">
        <v>236</v>
      </c>
      <c r="B286" s="9">
        <v>45591</v>
      </c>
      <c r="C286" s="8" t="s">
        <v>22</v>
      </c>
      <c r="D286" s="8" t="s">
        <v>136</v>
      </c>
      <c r="E286" s="8" t="s">
        <v>63</v>
      </c>
      <c r="F286" s="31">
        <f>_xlfn.XLOOKUP(Table2[[#This Row],[Shoe style]],val[SHOE STYLE],val[UNIT PRICE])</f>
        <v>20502</v>
      </c>
      <c r="H286" s="11">
        <v>1</v>
      </c>
      <c r="I286" s="6">
        <f>IF(Table2[[#This Row],[Discount]]&lt;(Table2[[#This Row],[UNIT PRICE]]*Table2[[#This Row],[Quantity sold]]),Table2[[#This Row],[UNIT PRICE]]*Table2[[#This Row],[Quantity sold]]-Table2[[#This Row],[Discount]],0)</f>
        <v>20502</v>
      </c>
      <c r="K286" s="2">
        <f>_xlfn.XLOOKUP(Table2[[#This Row],[Shoe style]],val[SHOE STYLE],val[COST PRICE])</f>
        <v>18239</v>
      </c>
      <c r="L286" s="2">
        <f>(Table2[[#This Row],[COST PRICE]]*Table2[[#This Row],[Quantity sold]])</f>
        <v>18239</v>
      </c>
      <c r="M286" s="2">
        <f>Table2[[#This Row],[TOTAL SALES]]-Table2[[#This Row],[TOTAL COST PRICE]]</f>
        <v>2263</v>
      </c>
      <c r="N286" s="2">
        <f>IF(Table2[[#This Row],[Amount Paid]]&gt;0,(SUMIF(Table2[Order ID],Table2[[#This Row],[Order ID]],Table2[Amount Paid])-SUMIF(Table2[Order ID],Table2[[#This Row],[Order ID]],Table2[TOTAL SALES])),0)</f>
        <v>0</v>
      </c>
      <c r="O286" s="8">
        <v>40</v>
      </c>
      <c r="P286" s="8" t="s">
        <v>25</v>
      </c>
      <c r="Q286" s="8" t="s">
        <v>26</v>
      </c>
      <c r="R286" s="8" t="s">
        <v>27</v>
      </c>
      <c r="S286" s="8" t="s">
        <v>28</v>
      </c>
      <c r="T286" s="8">
        <f t="shared" si="4"/>
        <v>0</v>
      </c>
      <c r="U286" t="str" cm="1">
        <f t="array" ref="U286">_xlfn.IFNA(_xlfn.IFS(Table2[[#This Row],[DEFICIT /SURPLUS]]&lt;0,"Deficit",Table2[[#This Row],[DEFICIT /SURPLUS]]&gt;0,"surplus"),"-")</f>
        <v>-</v>
      </c>
    </row>
    <row r="287" spans="1:21" ht="14.5">
      <c r="A287" s="8" t="s">
        <v>236</v>
      </c>
      <c r="B287" s="9">
        <v>45591</v>
      </c>
      <c r="C287" s="8" t="s">
        <v>22</v>
      </c>
      <c r="D287" s="8" t="s">
        <v>68</v>
      </c>
      <c r="E287" s="8" t="s">
        <v>109</v>
      </c>
      <c r="F287" s="31">
        <f>_xlfn.XLOOKUP(Table2[[#This Row],[Shoe style]],val[SHOE STYLE],val[UNIT PRICE])</f>
        <v>10509</v>
      </c>
      <c r="H287" s="11">
        <v>1</v>
      </c>
      <c r="I287" s="6">
        <f>IF(Table2[[#This Row],[Discount]]&lt;(Table2[[#This Row],[UNIT PRICE]]*Table2[[#This Row],[Quantity sold]]),Table2[[#This Row],[UNIT PRICE]]*Table2[[#This Row],[Quantity sold]]-Table2[[#This Row],[Discount]],0)</f>
        <v>10509</v>
      </c>
      <c r="K287" s="2">
        <f>_xlfn.XLOOKUP(Table2[[#This Row],[Shoe style]],val[SHOE STYLE],val[COST PRICE])</f>
        <v>7573</v>
      </c>
      <c r="L287" s="2">
        <f>(Table2[[#This Row],[COST PRICE]]*Table2[[#This Row],[Quantity sold]])</f>
        <v>7573</v>
      </c>
      <c r="M287" s="2">
        <f>Table2[[#This Row],[TOTAL SALES]]-Table2[[#This Row],[TOTAL COST PRICE]]</f>
        <v>2936</v>
      </c>
      <c r="N287" s="2">
        <f>IF(Table2[[#This Row],[Amount Paid]]&gt;0,(SUMIF(Table2[Order ID],Table2[[#This Row],[Order ID]],Table2[Amount Paid])-SUMIF(Table2[Order ID],Table2[[#This Row],[Order ID]],Table2[TOTAL SALES])),0)</f>
        <v>0</v>
      </c>
      <c r="O287" s="8">
        <v>39</v>
      </c>
      <c r="P287" s="8" t="s">
        <v>25</v>
      </c>
      <c r="Q287" s="8" t="s">
        <v>26</v>
      </c>
      <c r="R287" s="8" t="s">
        <v>27</v>
      </c>
      <c r="S287" s="8" t="s">
        <v>28</v>
      </c>
      <c r="T287" s="8">
        <f t="shared" si="4"/>
        <v>0</v>
      </c>
      <c r="U287" t="str" cm="1">
        <f t="array" ref="U287">_xlfn.IFNA(_xlfn.IFS(Table2[[#This Row],[DEFICIT /SURPLUS]]&lt;0,"Deficit",Table2[[#This Row],[DEFICIT /SURPLUS]]&gt;0,"surplus"),"-")</f>
        <v>-</v>
      </c>
    </row>
    <row r="288" spans="1:21" ht="14.5">
      <c r="A288" s="8" t="s">
        <v>238</v>
      </c>
      <c r="B288" s="9">
        <v>45592</v>
      </c>
      <c r="C288" s="8" t="s">
        <v>22</v>
      </c>
      <c r="D288" s="8" t="s">
        <v>42</v>
      </c>
      <c r="E288" s="8" t="s">
        <v>63</v>
      </c>
      <c r="F288" s="31">
        <f>_xlfn.XLOOKUP(Table2[[#This Row],[Shoe style]],val[SHOE STYLE],val[UNIT PRICE])</f>
        <v>17614</v>
      </c>
      <c r="H288" s="11">
        <v>1</v>
      </c>
      <c r="I288" s="6">
        <f>IF(Table2[[#This Row],[Discount]]&lt;(Table2[[#This Row],[UNIT PRICE]]*Table2[[#This Row],[Quantity sold]]),Table2[[#This Row],[UNIT PRICE]]*Table2[[#This Row],[Quantity sold]]-Table2[[#This Row],[Discount]],0)</f>
        <v>17614</v>
      </c>
      <c r="J288" s="10">
        <v>14500</v>
      </c>
      <c r="K288" s="2">
        <f>_xlfn.XLOOKUP(Table2[[#This Row],[Shoe style]],val[SHOE STYLE],val[COST PRICE])</f>
        <v>14912</v>
      </c>
      <c r="L288" s="2">
        <f>(Table2[[#This Row],[COST PRICE]]*Table2[[#This Row],[Quantity sold]])</f>
        <v>14912</v>
      </c>
      <c r="M288" s="2">
        <f>Table2[[#This Row],[TOTAL SALES]]-Table2[[#This Row],[TOTAL COST PRICE]]</f>
        <v>2702</v>
      </c>
      <c r="N288" s="2">
        <f>IF(Table2[[#This Row],[Amount Paid]]&gt;0,(SUMIF(Table2[Order ID],Table2[[#This Row],[Order ID]],Table2[Amount Paid])-SUMIF(Table2[Order ID],Table2[[#This Row],[Order ID]],Table2[TOTAL SALES])),0)</f>
        <v>-3114</v>
      </c>
      <c r="O288" s="8">
        <v>37</v>
      </c>
      <c r="P288" s="8" t="s">
        <v>25</v>
      </c>
      <c r="Q288" s="8" t="s">
        <v>26</v>
      </c>
      <c r="R288" s="8" t="s">
        <v>27</v>
      </c>
      <c r="S288" s="8" t="s">
        <v>28</v>
      </c>
      <c r="T288" s="8">
        <f t="shared" si="4"/>
        <v>0</v>
      </c>
      <c r="U288" t="str" cm="1">
        <f t="array" ref="U288">_xlfn.IFNA(_xlfn.IFS(Table2[[#This Row],[DEFICIT /SURPLUS]]&lt;0,"Deficit",Table2[[#This Row],[DEFICIT /SURPLUS]]&gt;0,"surplus"),"-")</f>
        <v>Deficit</v>
      </c>
    </row>
    <row r="289" spans="1:21" ht="14.5">
      <c r="A289" s="8" t="s">
        <v>239</v>
      </c>
      <c r="B289" s="9">
        <v>45592</v>
      </c>
      <c r="C289" s="8" t="s">
        <v>22</v>
      </c>
      <c r="D289" s="8" t="s">
        <v>136</v>
      </c>
      <c r="E289" s="8" t="s">
        <v>87</v>
      </c>
      <c r="F289" s="31">
        <f>_xlfn.XLOOKUP(Table2[[#This Row],[Shoe style]],val[SHOE STYLE],val[UNIT PRICE])</f>
        <v>20502</v>
      </c>
      <c r="H289" s="11">
        <v>1</v>
      </c>
      <c r="I289" s="6">
        <f>IF(Table2[[#This Row],[Discount]]&lt;(Table2[[#This Row],[UNIT PRICE]]*Table2[[#This Row],[Quantity sold]]),Table2[[#This Row],[UNIT PRICE]]*Table2[[#This Row],[Quantity sold]]-Table2[[#This Row],[Discount]],0)</f>
        <v>20502</v>
      </c>
      <c r="J289" s="10">
        <v>14500</v>
      </c>
      <c r="K289" s="2">
        <f>_xlfn.XLOOKUP(Table2[[#This Row],[Shoe style]],val[SHOE STYLE],val[COST PRICE])</f>
        <v>18239</v>
      </c>
      <c r="L289" s="2">
        <f>(Table2[[#This Row],[COST PRICE]]*Table2[[#This Row],[Quantity sold]])</f>
        <v>18239</v>
      </c>
      <c r="M289" s="2">
        <f>Table2[[#This Row],[TOTAL SALES]]-Table2[[#This Row],[TOTAL COST PRICE]]</f>
        <v>2263</v>
      </c>
      <c r="N289" s="2">
        <f>IF(Table2[[#This Row],[Amount Paid]]&gt;0,(SUMIF(Table2[Order ID],Table2[[#This Row],[Order ID]],Table2[Amount Paid])-SUMIF(Table2[Order ID],Table2[[#This Row],[Order ID]],Table2[TOTAL SALES])),0)</f>
        <v>-6002</v>
      </c>
      <c r="O289" s="8">
        <v>40</v>
      </c>
      <c r="P289" s="8" t="s">
        <v>25</v>
      </c>
      <c r="Q289" s="8" t="s">
        <v>26</v>
      </c>
      <c r="R289" s="8" t="s">
        <v>27</v>
      </c>
      <c r="S289" s="8" t="s">
        <v>28</v>
      </c>
      <c r="T289" s="8">
        <f t="shared" si="4"/>
        <v>0</v>
      </c>
      <c r="U289" t="str" cm="1">
        <f t="array" ref="U289">_xlfn.IFNA(_xlfn.IFS(Table2[[#This Row],[DEFICIT /SURPLUS]]&lt;0,"Deficit",Table2[[#This Row],[DEFICIT /SURPLUS]]&gt;0,"surplus"),"-")</f>
        <v>Deficit</v>
      </c>
    </row>
    <row r="290" spans="1:21" ht="14.5">
      <c r="A290" s="8" t="s">
        <v>240</v>
      </c>
      <c r="B290" s="9">
        <v>45593</v>
      </c>
      <c r="C290" s="8" t="s">
        <v>22</v>
      </c>
      <c r="D290" s="8" t="s">
        <v>29</v>
      </c>
      <c r="E290" s="8" t="s">
        <v>87</v>
      </c>
      <c r="F290" s="31">
        <f>_xlfn.XLOOKUP(Table2[[#This Row],[Shoe style]],val[SHOE STYLE],val[UNIT PRICE])</f>
        <v>12395</v>
      </c>
      <c r="H290" s="11">
        <v>1</v>
      </c>
      <c r="I290" s="6">
        <f>IF(Table2[[#This Row],[Discount]]&lt;(Table2[[#This Row],[UNIT PRICE]]*Table2[[#This Row],[Quantity sold]]),Table2[[#This Row],[UNIT PRICE]]*Table2[[#This Row],[Quantity sold]]-Table2[[#This Row],[Discount]],0)</f>
        <v>12395</v>
      </c>
      <c r="J290" s="10">
        <v>46000</v>
      </c>
      <c r="K290" s="2">
        <f>_xlfn.XLOOKUP(Table2[[#This Row],[Shoe style]],val[SHOE STYLE],val[COST PRICE])</f>
        <v>7909</v>
      </c>
      <c r="L290" s="2">
        <f>(Table2[[#This Row],[COST PRICE]]*Table2[[#This Row],[Quantity sold]])</f>
        <v>7909</v>
      </c>
      <c r="M290" s="2">
        <f>Table2[[#This Row],[TOTAL SALES]]-Table2[[#This Row],[TOTAL COST PRICE]]</f>
        <v>4486</v>
      </c>
      <c r="N290" s="2">
        <f>IF(Table2[[#This Row],[Amount Paid]]&gt;0,(SUMIF(Table2[Order ID],Table2[[#This Row],[Order ID]],Table2[Amount Paid])-SUMIF(Table2[Order ID],Table2[[#This Row],[Order ID]],Table2[TOTAL SALES])),0)</f>
        <v>708</v>
      </c>
      <c r="O290" s="8">
        <v>38</v>
      </c>
      <c r="P290" s="8" t="s">
        <v>25</v>
      </c>
      <c r="Q290" s="8" t="s">
        <v>26</v>
      </c>
      <c r="R290" s="8" t="s">
        <v>27</v>
      </c>
      <c r="S290" s="8" t="s">
        <v>28</v>
      </c>
      <c r="T290" s="8">
        <f t="shared" si="4"/>
        <v>0</v>
      </c>
      <c r="U290" t="str" cm="1">
        <f t="array" ref="U290">_xlfn.IFNA(_xlfn.IFS(Table2[[#This Row],[DEFICIT /SURPLUS]]&lt;0,"Deficit",Table2[[#This Row],[DEFICIT /SURPLUS]]&gt;0,"surplus"),"-")</f>
        <v>surplus</v>
      </c>
    </row>
    <row r="291" spans="1:21" ht="14.5">
      <c r="A291" s="8" t="s">
        <v>240</v>
      </c>
      <c r="B291" s="9">
        <v>45593</v>
      </c>
      <c r="C291" s="8" t="s">
        <v>22</v>
      </c>
      <c r="D291" s="8" t="s">
        <v>29</v>
      </c>
      <c r="E291" s="8" t="s">
        <v>24</v>
      </c>
      <c r="F291" s="31">
        <f>_xlfn.XLOOKUP(Table2[[#This Row],[Shoe style]],val[SHOE STYLE],val[UNIT PRICE])</f>
        <v>12395</v>
      </c>
      <c r="H291" s="11">
        <v>1</v>
      </c>
      <c r="I291" s="6">
        <f>IF(Table2[[#This Row],[Discount]]&lt;(Table2[[#This Row],[UNIT PRICE]]*Table2[[#This Row],[Quantity sold]]),Table2[[#This Row],[UNIT PRICE]]*Table2[[#This Row],[Quantity sold]]-Table2[[#This Row],[Discount]],0)</f>
        <v>12395</v>
      </c>
      <c r="K291" s="2">
        <f>_xlfn.XLOOKUP(Table2[[#This Row],[Shoe style]],val[SHOE STYLE],val[COST PRICE])</f>
        <v>7909</v>
      </c>
      <c r="L291" s="2">
        <f>(Table2[[#This Row],[COST PRICE]]*Table2[[#This Row],[Quantity sold]])</f>
        <v>7909</v>
      </c>
      <c r="M291" s="2">
        <f>Table2[[#This Row],[TOTAL SALES]]-Table2[[#This Row],[TOTAL COST PRICE]]</f>
        <v>4486</v>
      </c>
      <c r="N291" s="2">
        <f>IF(Table2[[#This Row],[Amount Paid]]&gt;0,(SUMIF(Table2[Order ID],Table2[[#This Row],[Order ID]],Table2[Amount Paid])-SUMIF(Table2[Order ID],Table2[[#This Row],[Order ID]],Table2[TOTAL SALES])),0)</f>
        <v>0</v>
      </c>
      <c r="O291" s="8">
        <v>39</v>
      </c>
      <c r="P291" s="8" t="s">
        <v>25</v>
      </c>
      <c r="Q291" s="8" t="s">
        <v>26</v>
      </c>
      <c r="R291" s="8" t="s">
        <v>27</v>
      </c>
      <c r="S291" s="8" t="s">
        <v>28</v>
      </c>
      <c r="T291" s="8">
        <f t="shared" si="4"/>
        <v>0</v>
      </c>
      <c r="U291" t="str" cm="1">
        <f t="array" ref="U291">_xlfn.IFNA(_xlfn.IFS(Table2[[#This Row],[DEFICIT /SURPLUS]]&lt;0,"Deficit",Table2[[#This Row],[DEFICIT /SURPLUS]]&gt;0,"surplus"),"-")</f>
        <v>-</v>
      </c>
    </row>
    <row r="292" spans="1:21" ht="14.5">
      <c r="A292" s="8" t="s">
        <v>240</v>
      </c>
      <c r="B292" s="9">
        <v>45593</v>
      </c>
      <c r="C292" s="8" t="s">
        <v>22</v>
      </c>
      <c r="D292" s="8" t="s">
        <v>136</v>
      </c>
      <c r="E292" s="8" t="s">
        <v>87</v>
      </c>
      <c r="F292" s="31">
        <f>_xlfn.XLOOKUP(Table2[[#This Row],[Shoe style]],val[SHOE STYLE],val[UNIT PRICE])</f>
        <v>20502</v>
      </c>
      <c r="H292" s="11">
        <v>1</v>
      </c>
      <c r="I292" s="6">
        <f>IF(Table2[[#This Row],[Discount]]&lt;(Table2[[#This Row],[UNIT PRICE]]*Table2[[#This Row],[Quantity sold]]),Table2[[#This Row],[UNIT PRICE]]*Table2[[#This Row],[Quantity sold]]-Table2[[#This Row],[Discount]],0)</f>
        <v>20502</v>
      </c>
      <c r="K292" s="2">
        <f>_xlfn.XLOOKUP(Table2[[#This Row],[Shoe style]],val[SHOE STYLE],val[COST PRICE])</f>
        <v>18239</v>
      </c>
      <c r="L292" s="2">
        <f>(Table2[[#This Row],[COST PRICE]]*Table2[[#This Row],[Quantity sold]])</f>
        <v>18239</v>
      </c>
      <c r="M292" s="2">
        <f>Table2[[#This Row],[TOTAL SALES]]-Table2[[#This Row],[TOTAL COST PRICE]]</f>
        <v>2263</v>
      </c>
      <c r="N292" s="2">
        <f>IF(Table2[[#This Row],[Amount Paid]]&gt;0,(SUMIF(Table2[Order ID],Table2[[#This Row],[Order ID]],Table2[Amount Paid])-SUMIF(Table2[Order ID],Table2[[#This Row],[Order ID]],Table2[TOTAL SALES])),0)</f>
        <v>0</v>
      </c>
      <c r="O292" s="8">
        <v>44</v>
      </c>
      <c r="P292" s="8" t="s">
        <v>93</v>
      </c>
      <c r="Q292" s="8" t="s">
        <v>26</v>
      </c>
      <c r="R292" s="8" t="s">
        <v>27</v>
      </c>
      <c r="S292" s="8" t="s">
        <v>28</v>
      </c>
      <c r="T292" s="8">
        <f t="shared" si="4"/>
        <v>0</v>
      </c>
      <c r="U292" t="str" cm="1">
        <f t="array" ref="U292">_xlfn.IFNA(_xlfn.IFS(Table2[[#This Row],[DEFICIT /SURPLUS]]&lt;0,"Deficit",Table2[[#This Row],[DEFICIT /SURPLUS]]&gt;0,"surplus"),"-")</f>
        <v>-</v>
      </c>
    </row>
    <row r="293" spans="1:21" ht="14.5">
      <c r="A293" s="8" t="s">
        <v>241</v>
      </c>
      <c r="B293" s="9">
        <v>45593</v>
      </c>
      <c r="C293" s="8" t="s">
        <v>22</v>
      </c>
      <c r="D293" s="8" t="s">
        <v>53</v>
      </c>
      <c r="E293" s="8" t="s">
        <v>30</v>
      </c>
      <c r="F293" s="31">
        <f>_xlfn.XLOOKUP(Table2[[#This Row],[Shoe style]],val[SHOE STYLE],val[UNIT PRICE])</f>
        <v>9838</v>
      </c>
      <c r="H293" s="11">
        <v>1</v>
      </c>
      <c r="I293" s="6">
        <f>IF(Table2[[#This Row],[Discount]]&lt;(Table2[[#This Row],[UNIT PRICE]]*Table2[[#This Row],[Quantity sold]]),Table2[[#This Row],[UNIT PRICE]]*Table2[[#This Row],[Quantity sold]]-Table2[[#This Row],[Discount]],0)</f>
        <v>9838</v>
      </c>
      <c r="J293" s="10">
        <v>33137</v>
      </c>
      <c r="K293" s="2">
        <f>_xlfn.XLOOKUP(Table2[[#This Row],[Shoe style]],val[SHOE STYLE],val[COST PRICE])</f>
        <v>6687</v>
      </c>
      <c r="L293" s="2">
        <f>(Table2[[#This Row],[COST PRICE]]*Table2[[#This Row],[Quantity sold]])</f>
        <v>6687</v>
      </c>
      <c r="M293" s="2">
        <f>Table2[[#This Row],[TOTAL SALES]]-Table2[[#This Row],[TOTAL COST PRICE]]</f>
        <v>3151</v>
      </c>
      <c r="N293" s="2">
        <f>IF(Table2[[#This Row],[Amount Paid]]&gt;0,(SUMIF(Table2[Order ID],Table2[[#This Row],[Order ID]],Table2[Amount Paid])-SUMIF(Table2[Order ID],Table2[[#This Row],[Order ID]],Table2[TOTAL SALES])),0)</f>
        <v>10904</v>
      </c>
      <c r="O293" s="8">
        <v>40</v>
      </c>
      <c r="P293" s="8" t="s">
        <v>25</v>
      </c>
      <c r="Q293" s="8" t="s">
        <v>54</v>
      </c>
      <c r="R293" s="8" t="s">
        <v>44</v>
      </c>
      <c r="S293" s="8" t="s">
        <v>28</v>
      </c>
      <c r="T293" s="8">
        <f t="shared" si="4"/>
        <v>0</v>
      </c>
      <c r="U293" t="str" cm="1">
        <f t="array" ref="U293">_xlfn.IFNA(_xlfn.IFS(Table2[[#This Row],[DEFICIT /SURPLUS]]&lt;0,"Deficit",Table2[[#This Row],[DEFICIT /SURPLUS]]&gt;0,"surplus"),"-")</f>
        <v>surplus</v>
      </c>
    </row>
    <row r="294" spans="1:21" ht="14.5">
      <c r="A294" s="8" t="s">
        <v>241</v>
      </c>
      <c r="B294" s="9">
        <v>45593</v>
      </c>
      <c r="C294" s="8" t="s">
        <v>22</v>
      </c>
      <c r="D294" s="8" t="s">
        <v>29</v>
      </c>
      <c r="E294" s="8" t="s">
        <v>43</v>
      </c>
      <c r="F294" s="31">
        <f>_xlfn.XLOOKUP(Table2[[#This Row],[Shoe style]],val[SHOE STYLE],val[UNIT PRICE])</f>
        <v>12395</v>
      </c>
      <c r="H294" s="11">
        <v>1</v>
      </c>
      <c r="I294" s="6">
        <f>IF(Table2[[#This Row],[Discount]]&lt;(Table2[[#This Row],[UNIT PRICE]]*Table2[[#This Row],[Quantity sold]]),Table2[[#This Row],[UNIT PRICE]]*Table2[[#This Row],[Quantity sold]]-Table2[[#This Row],[Discount]],0)</f>
        <v>12395</v>
      </c>
      <c r="K294" s="2">
        <f>_xlfn.XLOOKUP(Table2[[#This Row],[Shoe style]],val[SHOE STYLE],val[COST PRICE])</f>
        <v>7909</v>
      </c>
      <c r="L294" s="2">
        <f>(Table2[[#This Row],[COST PRICE]]*Table2[[#This Row],[Quantity sold]])</f>
        <v>7909</v>
      </c>
      <c r="M294" s="2">
        <f>Table2[[#This Row],[TOTAL SALES]]-Table2[[#This Row],[TOTAL COST PRICE]]</f>
        <v>4486</v>
      </c>
      <c r="N294" s="2">
        <f>IF(Table2[[#This Row],[Amount Paid]]&gt;0,(SUMIF(Table2[Order ID],Table2[[#This Row],[Order ID]],Table2[Amount Paid])-SUMIF(Table2[Order ID],Table2[[#This Row],[Order ID]],Table2[TOTAL SALES])),0)</f>
        <v>0</v>
      </c>
      <c r="O294" s="8">
        <v>40</v>
      </c>
      <c r="P294" s="8" t="s">
        <v>25</v>
      </c>
      <c r="Q294" s="8" t="s">
        <v>54</v>
      </c>
      <c r="R294" s="8" t="s">
        <v>44</v>
      </c>
      <c r="S294" s="8" t="s">
        <v>28</v>
      </c>
      <c r="T294" s="8">
        <f t="shared" si="4"/>
        <v>0</v>
      </c>
      <c r="U294" t="str" cm="1">
        <f t="array" ref="U294">_xlfn.IFNA(_xlfn.IFS(Table2[[#This Row],[DEFICIT /SURPLUS]]&lt;0,"Deficit",Table2[[#This Row],[DEFICIT /SURPLUS]]&gt;0,"surplus"),"-")</f>
        <v>-</v>
      </c>
    </row>
    <row r="295" spans="1:21" ht="14.5">
      <c r="A295" s="8" t="s">
        <v>242</v>
      </c>
      <c r="B295" s="9">
        <v>45594</v>
      </c>
      <c r="C295" s="8" t="s">
        <v>22</v>
      </c>
      <c r="D295" s="8" t="s">
        <v>136</v>
      </c>
      <c r="E295" s="8" t="s">
        <v>87</v>
      </c>
      <c r="F295" s="31">
        <f>_xlfn.XLOOKUP(Table2[[#This Row],[Shoe style]],val[SHOE STYLE],val[UNIT PRICE])</f>
        <v>20502</v>
      </c>
      <c r="H295" s="11">
        <v>1</v>
      </c>
      <c r="I295" s="6">
        <f>IF(Table2[[#This Row],[Discount]]&lt;(Table2[[#This Row],[UNIT PRICE]]*Table2[[#This Row],[Quantity sold]]),Table2[[#This Row],[UNIT PRICE]]*Table2[[#This Row],[Quantity sold]]-Table2[[#This Row],[Discount]],0)</f>
        <v>20502</v>
      </c>
      <c r="J295" s="10">
        <v>14500</v>
      </c>
      <c r="K295" s="2">
        <f>_xlfn.XLOOKUP(Table2[[#This Row],[Shoe style]],val[SHOE STYLE],val[COST PRICE])</f>
        <v>18239</v>
      </c>
      <c r="L295" s="2">
        <f>(Table2[[#This Row],[COST PRICE]]*Table2[[#This Row],[Quantity sold]])</f>
        <v>18239</v>
      </c>
      <c r="M295" s="2">
        <f>Table2[[#This Row],[TOTAL SALES]]-Table2[[#This Row],[TOTAL COST PRICE]]</f>
        <v>2263</v>
      </c>
      <c r="N295" s="2">
        <f>IF(Table2[[#This Row],[Amount Paid]]&gt;0,(SUMIF(Table2[Order ID],Table2[[#This Row],[Order ID]],Table2[Amount Paid])-SUMIF(Table2[Order ID],Table2[[#This Row],[Order ID]],Table2[TOTAL SALES])),0)</f>
        <v>-6002</v>
      </c>
      <c r="O295" s="8">
        <v>40</v>
      </c>
      <c r="P295" s="8" t="s">
        <v>25</v>
      </c>
      <c r="Q295" s="8" t="s">
        <v>26</v>
      </c>
      <c r="R295" s="8" t="s">
        <v>27</v>
      </c>
      <c r="S295" s="8" t="s">
        <v>28</v>
      </c>
      <c r="T295" s="8">
        <f t="shared" si="4"/>
        <v>0</v>
      </c>
      <c r="U295" t="str" cm="1">
        <f t="array" ref="U295">_xlfn.IFNA(_xlfn.IFS(Table2[[#This Row],[DEFICIT /SURPLUS]]&lt;0,"Deficit",Table2[[#This Row],[DEFICIT /SURPLUS]]&gt;0,"surplus"),"-")</f>
        <v>Deficit</v>
      </c>
    </row>
    <row r="296" spans="1:21" ht="14.5">
      <c r="A296" s="8" t="s">
        <v>243</v>
      </c>
      <c r="B296" s="9">
        <v>45594</v>
      </c>
      <c r="C296" s="8" t="s">
        <v>22</v>
      </c>
      <c r="D296" s="8" t="s">
        <v>49</v>
      </c>
      <c r="E296" s="8" t="s">
        <v>38</v>
      </c>
      <c r="F296" s="31">
        <f>_xlfn.XLOOKUP(Table2[[#This Row],[Shoe style]],val[SHOE STYLE],val[UNIT PRICE])</f>
        <v>20500</v>
      </c>
      <c r="H296" s="11">
        <v>1</v>
      </c>
      <c r="I296" s="6">
        <f>IF(Table2[[#This Row],[Discount]]&lt;(Table2[[#This Row],[UNIT PRICE]]*Table2[[#This Row],[Quantity sold]]),Table2[[#This Row],[UNIT PRICE]]*Table2[[#This Row],[Quantity sold]]-Table2[[#This Row],[Discount]],0)</f>
        <v>20500</v>
      </c>
      <c r="J296" s="10">
        <v>17000</v>
      </c>
      <c r="K296" s="2">
        <f>_xlfn.XLOOKUP(Table2[[#This Row],[Shoe style]],val[SHOE STYLE],val[COST PRICE])</f>
        <v>17339</v>
      </c>
      <c r="L296" s="2">
        <f>(Table2[[#This Row],[COST PRICE]]*Table2[[#This Row],[Quantity sold]])</f>
        <v>17339</v>
      </c>
      <c r="M296" s="2">
        <f>Table2[[#This Row],[TOTAL SALES]]-Table2[[#This Row],[TOTAL COST PRICE]]</f>
        <v>3161</v>
      </c>
      <c r="N296" s="2">
        <f>IF(Table2[[#This Row],[Amount Paid]]&gt;0,(SUMIF(Table2[Order ID],Table2[[#This Row],[Order ID]],Table2[Amount Paid])-SUMIF(Table2[Order ID],Table2[[#This Row],[Order ID]],Table2[TOTAL SALES])),0)</f>
        <v>-3500</v>
      </c>
      <c r="O296" s="8">
        <v>40</v>
      </c>
      <c r="P296" s="8" t="s">
        <v>25</v>
      </c>
      <c r="Q296" s="8" t="s">
        <v>26</v>
      </c>
      <c r="R296" s="8" t="s">
        <v>27</v>
      </c>
      <c r="S296" s="8" t="s">
        <v>28</v>
      </c>
      <c r="T296" s="8">
        <f t="shared" si="4"/>
        <v>0</v>
      </c>
      <c r="U296" t="str" cm="1">
        <f t="array" ref="U296">_xlfn.IFNA(_xlfn.IFS(Table2[[#This Row],[DEFICIT /SURPLUS]]&lt;0,"Deficit",Table2[[#This Row],[DEFICIT /SURPLUS]]&gt;0,"surplus"),"-")</f>
        <v>Deficit</v>
      </c>
    </row>
    <row r="297" spans="1:21" ht="14.5">
      <c r="A297" s="8" t="s">
        <v>244</v>
      </c>
      <c r="B297" s="9">
        <v>45594</v>
      </c>
      <c r="C297" s="8" t="s">
        <v>22</v>
      </c>
      <c r="D297" s="8" t="s">
        <v>29</v>
      </c>
      <c r="E297" s="8" t="s">
        <v>50</v>
      </c>
      <c r="F297" s="31">
        <f>_xlfn.XLOOKUP(Table2[[#This Row],[Shoe style]],val[SHOE STYLE],val[UNIT PRICE])</f>
        <v>12395</v>
      </c>
      <c r="H297" s="11">
        <v>1</v>
      </c>
      <c r="I297" s="6">
        <f>IF(Table2[[#This Row],[Discount]]&lt;(Table2[[#This Row],[UNIT PRICE]]*Table2[[#This Row],[Quantity sold]]),Table2[[#This Row],[UNIT PRICE]]*Table2[[#This Row],[Quantity sold]]-Table2[[#This Row],[Discount]],0)</f>
        <v>12395</v>
      </c>
      <c r="J297" s="10">
        <v>17500</v>
      </c>
      <c r="K297" s="2">
        <f>_xlfn.XLOOKUP(Table2[[#This Row],[Shoe style]],val[SHOE STYLE],val[COST PRICE])</f>
        <v>7909</v>
      </c>
      <c r="L297" s="2">
        <f>(Table2[[#This Row],[COST PRICE]]*Table2[[#This Row],[Quantity sold]])</f>
        <v>7909</v>
      </c>
      <c r="M297" s="2">
        <f>Table2[[#This Row],[TOTAL SALES]]-Table2[[#This Row],[TOTAL COST PRICE]]</f>
        <v>4486</v>
      </c>
      <c r="N297" s="2">
        <f>IF(Table2[[#This Row],[Amount Paid]]&gt;0,(SUMIF(Table2[Order ID],Table2[[#This Row],[Order ID]],Table2[Amount Paid])-SUMIF(Table2[Order ID],Table2[[#This Row],[Order ID]],Table2[TOTAL SALES])),0)</f>
        <v>5105</v>
      </c>
      <c r="O297" s="8">
        <v>38</v>
      </c>
      <c r="P297" s="8" t="s">
        <v>25</v>
      </c>
      <c r="Q297" s="8" t="s">
        <v>26</v>
      </c>
      <c r="R297" s="8" t="s">
        <v>27</v>
      </c>
      <c r="S297" s="8" t="s">
        <v>28</v>
      </c>
      <c r="T297" s="8">
        <f t="shared" si="4"/>
        <v>0</v>
      </c>
      <c r="U297" t="str" cm="1">
        <f t="array" ref="U297">_xlfn.IFNA(_xlfn.IFS(Table2[[#This Row],[DEFICIT /SURPLUS]]&lt;0,"Deficit",Table2[[#This Row],[DEFICIT /SURPLUS]]&gt;0,"surplus"),"-")</f>
        <v>surplus</v>
      </c>
    </row>
    <row r="298" spans="1:21" ht="14.5">
      <c r="A298" s="8" t="s">
        <v>245</v>
      </c>
      <c r="B298" s="9">
        <v>45594</v>
      </c>
      <c r="C298" s="8" t="s">
        <v>22</v>
      </c>
      <c r="D298" s="8" t="s">
        <v>49</v>
      </c>
      <c r="E298" s="8" t="s">
        <v>43</v>
      </c>
      <c r="F298" s="31">
        <f>_xlfn.XLOOKUP(Table2[[#This Row],[Shoe style]],val[SHOE STYLE],val[UNIT PRICE])</f>
        <v>20500</v>
      </c>
      <c r="H298" s="11">
        <v>1</v>
      </c>
      <c r="I298" s="6">
        <f>IF(Table2[[#This Row],[Discount]]&lt;(Table2[[#This Row],[UNIT PRICE]]*Table2[[#This Row],[Quantity sold]]),Table2[[#This Row],[UNIT PRICE]]*Table2[[#This Row],[Quantity sold]]-Table2[[#This Row],[Discount]],0)</f>
        <v>20500</v>
      </c>
      <c r="J298" s="10">
        <v>15000</v>
      </c>
      <c r="K298" s="2">
        <f>_xlfn.XLOOKUP(Table2[[#This Row],[Shoe style]],val[SHOE STYLE],val[COST PRICE])</f>
        <v>17339</v>
      </c>
      <c r="L298" s="2">
        <f>(Table2[[#This Row],[COST PRICE]]*Table2[[#This Row],[Quantity sold]])</f>
        <v>17339</v>
      </c>
      <c r="M298" s="2">
        <f>Table2[[#This Row],[TOTAL SALES]]-Table2[[#This Row],[TOTAL COST PRICE]]</f>
        <v>3161</v>
      </c>
      <c r="N298" s="2">
        <f>IF(Table2[[#This Row],[Amount Paid]]&gt;0,(SUMIF(Table2[Order ID],Table2[[#This Row],[Order ID]],Table2[Amount Paid])-SUMIF(Table2[Order ID],Table2[[#This Row],[Order ID]],Table2[TOTAL SALES])),0)</f>
        <v>-5500</v>
      </c>
      <c r="O298" s="8">
        <v>42</v>
      </c>
      <c r="P298" s="8" t="s">
        <v>25</v>
      </c>
      <c r="Q298" s="8" t="s">
        <v>26</v>
      </c>
      <c r="R298" s="8" t="s">
        <v>27</v>
      </c>
      <c r="S298" s="8" t="s">
        <v>28</v>
      </c>
      <c r="T298" s="8">
        <f t="shared" si="4"/>
        <v>0</v>
      </c>
      <c r="U298" t="str" cm="1">
        <f t="array" ref="U298">_xlfn.IFNA(_xlfn.IFS(Table2[[#This Row],[DEFICIT /SURPLUS]]&lt;0,"Deficit",Table2[[#This Row],[DEFICIT /SURPLUS]]&gt;0,"surplus"),"-")</f>
        <v>Deficit</v>
      </c>
    </row>
    <row r="299" spans="1:21" ht="14.5">
      <c r="A299" s="8" t="s">
        <v>246</v>
      </c>
      <c r="B299" s="9">
        <v>45594</v>
      </c>
      <c r="C299" s="8" t="s">
        <v>22</v>
      </c>
      <c r="D299" s="8" t="s">
        <v>29</v>
      </c>
      <c r="E299" s="8" t="s">
        <v>50</v>
      </c>
      <c r="F299" s="31">
        <f>_xlfn.XLOOKUP(Table2[[#This Row],[Shoe style]],val[SHOE STYLE],val[UNIT PRICE])</f>
        <v>12395</v>
      </c>
      <c r="H299" s="11">
        <v>1</v>
      </c>
      <c r="I299" s="6">
        <f>IF(Table2[[#This Row],[Discount]]&lt;(Table2[[#This Row],[UNIT PRICE]]*Table2[[#This Row],[Quantity sold]]),Table2[[#This Row],[UNIT PRICE]]*Table2[[#This Row],[Quantity sold]]-Table2[[#This Row],[Discount]],0)</f>
        <v>12395</v>
      </c>
      <c r="J299" s="10">
        <v>31500</v>
      </c>
      <c r="K299" s="2">
        <f>_xlfn.XLOOKUP(Table2[[#This Row],[Shoe style]],val[SHOE STYLE],val[COST PRICE])</f>
        <v>7909</v>
      </c>
      <c r="L299" s="2">
        <f>(Table2[[#This Row],[COST PRICE]]*Table2[[#This Row],[Quantity sold]])</f>
        <v>7909</v>
      </c>
      <c r="M299" s="2">
        <f>Table2[[#This Row],[TOTAL SALES]]-Table2[[#This Row],[TOTAL COST PRICE]]</f>
        <v>4486</v>
      </c>
      <c r="N299" s="2">
        <f>IF(Table2[[#This Row],[Amount Paid]]&gt;0,(SUMIF(Table2[Order ID],Table2[[#This Row],[Order ID]],Table2[Amount Paid])-SUMIF(Table2[Order ID],Table2[[#This Row],[Order ID]],Table2[TOTAL SALES])),0)</f>
        <v>6710</v>
      </c>
      <c r="O299" s="8">
        <v>39</v>
      </c>
      <c r="P299" s="8" t="s">
        <v>25</v>
      </c>
      <c r="Q299" s="8" t="s">
        <v>26</v>
      </c>
      <c r="R299" s="8" t="s">
        <v>27</v>
      </c>
      <c r="S299" s="8" t="s">
        <v>28</v>
      </c>
      <c r="T299" s="8">
        <f t="shared" si="4"/>
        <v>0</v>
      </c>
      <c r="U299" t="str" cm="1">
        <f t="array" ref="U299">_xlfn.IFNA(_xlfn.IFS(Table2[[#This Row],[DEFICIT /SURPLUS]]&lt;0,"Deficit",Table2[[#This Row],[DEFICIT /SURPLUS]]&gt;0,"surplus"),"-")</f>
        <v>surplus</v>
      </c>
    </row>
    <row r="300" spans="1:21" ht="14.5">
      <c r="A300" s="8" t="s">
        <v>246</v>
      </c>
      <c r="B300" s="9">
        <v>45594</v>
      </c>
      <c r="C300" s="8" t="s">
        <v>22</v>
      </c>
      <c r="D300" s="8" t="s">
        <v>29</v>
      </c>
      <c r="E300" s="8" t="s">
        <v>50</v>
      </c>
      <c r="F300" s="31">
        <f>_xlfn.XLOOKUP(Table2[[#This Row],[Shoe style]],val[SHOE STYLE],val[UNIT PRICE])</f>
        <v>12395</v>
      </c>
      <c r="H300" s="11">
        <v>1</v>
      </c>
      <c r="I300" s="6">
        <f>IF(Table2[[#This Row],[Discount]]&lt;(Table2[[#This Row],[UNIT PRICE]]*Table2[[#This Row],[Quantity sold]]),Table2[[#This Row],[UNIT PRICE]]*Table2[[#This Row],[Quantity sold]]-Table2[[#This Row],[Discount]],0)</f>
        <v>12395</v>
      </c>
      <c r="K300" s="2">
        <f>_xlfn.XLOOKUP(Table2[[#This Row],[Shoe style]],val[SHOE STYLE],val[COST PRICE])</f>
        <v>7909</v>
      </c>
      <c r="L300" s="2">
        <f>(Table2[[#This Row],[COST PRICE]]*Table2[[#This Row],[Quantity sold]])</f>
        <v>7909</v>
      </c>
      <c r="M300" s="2">
        <f>Table2[[#This Row],[TOTAL SALES]]-Table2[[#This Row],[TOTAL COST PRICE]]</f>
        <v>4486</v>
      </c>
      <c r="N300" s="2">
        <f>IF(Table2[[#This Row],[Amount Paid]]&gt;0,(SUMIF(Table2[Order ID],Table2[[#This Row],[Order ID]],Table2[Amount Paid])-SUMIF(Table2[Order ID],Table2[[#This Row],[Order ID]],Table2[TOTAL SALES])),0)</f>
        <v>0</v>
      </c>
      <c r="O300" s="8">
        <v>39</v>
      </c>
      <c r="P300" s="8" t="s">
        <v>25</v>
      </c>
      <c r="Q300" s="8" t="s">
        <v>26</v>
      </c>
      <c r="R300" s="8" t="s">
        <v>27</v>
      </c>
      <c r="S300" s="8" t="s">
        <v>28</v>
      </c>
      <c r="T300" s="8">
        <f t="shared" si="4"/>
        <v>0</v>
      </c>
      <c r="U300" t="str" cm="1">
        <f t="array" ref="U300">_xlfn.IFNA(_xlfn.IFS(Table2[[#This Row],[DEFICIT /SURPLUS]]&lt;0,"Deficit",Table2[[#This Row],[DEFICIT /SURPLUS]]&gt;0,"surplus"),"-")</f>
        <v>-</v>
      </c>
    </row>
    <row r="301" spans="1:21" ht="14.5">
      <c r="A301" s="8" t="s">
        <v>247</v>
      </c>
      <c r="B301" s="9">
        <v>45594</v>
      </c>
      <c r="C301" s="8" t="s">
        <v>22</v>
      </c>
      <c r="D301" s="8" t="s">
        <v>29</v>
      </c>
      <c r="E301" s="8" t="s">
        <v>24</v>
      </c>
      <c r="F301" s="31">
        <f>_xlfn.XLOOKUP(Table2[[#This Row],[Shoe style]],val[SHOE STYLE],val[UNIT PRICE])</f>
        <v>12395</v>
      </c>
      <c r="H301" s="11">
        <v>1</v>
      </c>
      <c r="I301" s="6">
        <f>IF(Table2[[#This Row],[Discount]]&lt;(Table2[[#This Row],[UNIT PRICE]]*Table2[[#This Row],[Quantity sold]]),Table2[[#This Row],[UNIT PRICE]]*Table2[[#This Row],[Quantity sold]]-Table2[[#This Row],[Discount]],0)</f>
        <v>12395</v>
      </c>
      <c r="J301" s="10">
        <v>33000</v>
      </c>
      <c r="K301" s="2">
        <f>_xlfn.XLOOKUP(Table2[[#This Row],[Shoe style]],val[SHOE STYLE],val[COST PRICE])</f>
        <v>7909</v>
      </c>
      <c r="L301" s="2">
        <f>(Table2[[#This Row],[COST PRICE]]*Table2[[#This Row],[Quantity sold]])</f>
        <v>7909</v>
      </c>
      <c r="M301" s="2">
        <f>Table2[[#This Row],[TOTAL SALES]]-Table2[[#This Row],[TOTAL COST PRICE]]</f>
        <v>4486</v>
      </c>
      <c r="N301" s="2">
        <f>IF(Table2[[#This Row],[Amount Paid]]&gt;0,(SUMIF(Table2[Order ID],Table2[[#This Row],[Order ID]],Table2[Amount Paid])-SUMIF(Table2[Order ID],Table2[[#This Row],[Order ID]],Table2[TOTAL SALES])),0)</f>
        <v>2066</v>
      </c>
      <c r="O301" s="8">
        <v>40</v>
      </c>
      <c r="P301" s="8" t="s">
        <v>25</v>
      </c>
      <c r="Q301" s="8" t="s">
        <v>26</v>
      </c>
      <c r="R301" s="8" t="s">
        <v>27</v>
      </c>
      <c r="S301" s="8" t="s">
        <v>28</v>
      </c>
      <c r="T301" s="8">
        <f t="shared" si="4"/>
        <v>0</v>
      </c>
      <c r="U301" t="str" cm="1">
        <f t="array" ref="U301">_xlfn.IFNA(_xlfn.IFS(Table2[[#This Row],[DEFICIT /SURPLUS]]&lt;0,"Deficit",Table2[[#This Row],[DEFICIT /SURPLUS]]&gt;0,"surplus"),"-")</f>
        <v>surplus</v>
      </c>
    </row>
    <row r="302" spans="1:21" ht="14.5">
      <c r="A302" s="8" t="s">
        <v>247</v>
      </c>
      <c r="B302" s="9">
        <v>45594</v>
      </c>
      <c r="C302" s="8" t="s">
        <v>22</v>
      </c>
      <c r="D302" s="8" t="s">
        <v>86</v>
      </c>
      <c r="E302" s="8" t="s">
        <v>109</v>
      </c>
      <c r="F302" s="31">
        <f>_xlfn.XLOOKUP(Table2[[#This Row],[Shoe style]],val[SHOE STYLE],val[UNIT PRICE])</f>
        <v>18539</v>
      </c>
      <c r="H302" s="11">
        <v>1</v>
      </c>
      <c r="I302" s="6">
        <f>IF(Table2[[#This Row],[Discount]]&lt;(Table2[[#This Row],[UNIT PRICE]]*Table2[[#This Row],[Quantity sold]]),Table2[[#This Row],[UNIT PRICE]]*Table2[[#This Row],[Quantity sold]]-Table2[[#This Row],[Discount]],0)</f>
        <v>18539</v>
      </c>
      <c r="K302" s="2">
        <f>_xlfn.XLOOKUP(Table2[[#This Row],[Shoe style]],val[SHOE STYLE],val[COST PRICE])</f>
        <v>15497</v>
      </c>
      <c r="L302" s="2">
        <f>(Table2[[#This Row],[COST PRICE]]*Table2[[#This Row],[Quantity sold]])</f>
        <v>15497</v>
      </c>
      <c r="M302" s="2">
        <f>Table2[[#This Row],[TOTAL SALES]]-Table2[[#This Row],[TOTAL COST PRICE]]</f>
        <v>3042</v>
      </c>
      <c r="N302" s="2">
        <f>IF(Table2[[#This Row],[Amount Paid]]&gt;0,(SUMIF(Table2[Order ID],Table2[[#This Row],[Order ID]],Table2[Amount Paid])-SUMIF(Table2[Order ID],Table2[[#This Row],[Order ID]],Table2[TOTAL SALES])),0)</f>
        <v>0</v>
      </c>
      <c r="O302" s="8">
        <v>40</v>
      </c>
      <c r="P302" s="8" t="s">
        <v>25</v>
      </c>
      <c r="Q302" s="8" t="s">
        <v>26</v>
      </c>
      <c r="R302" s="8" t="s">
        <v>27</v>
      </c>
      <c r="S302" s="8" t="s">
        <v>28</v>
      </c>
      <c r="T302" s="8">
        <f t="shared" si="4"/>
        <v>0</v>
      </c>
      <c r="U302" t="str" cm="1">
        <f t="array" ref="U302">_xlfn.IFNA(_xlfn.IFS(Table2[[#This Row],[DEFICIT /SURPLUS]]&lt;0,"Deficit",Table2[[#This Row],[DEFICIT /SURPLUS]]&gt;0,"surplus"),"-")</f>
        <v>-</v>
      </c>
    </row>
    <row r="303" spans="1:21" ht="14.5">
      <c r="A303" s="8" t="s">
        <v>248</v>
      </c>
      <c r="B303" s="9">
        <v>45594</v>
      </c>
      <c r="C303" s="8" t="s">
        <v>22</v>
      </c>
      <c r="D303" s="8" t="s">
        <v>29</v>
      </c>
      <c r="E303" s="8" t="s">
        <v>109</v>
      </c>
      <c r="F303" s="31">
        <f>_xlfn.XLOOKUP(Table2[[#This Row],[Shoe style]],val[SHOE STYLE],val[UNIT PRICE])</f>
        <v>12395</v>
      </c>
      <c r="H303" s="11">
        <v>1</v>
      </c>
      <c r="I303" s="6">
        <f>IF(Table2[[#This Row],[Discount]]&lt;(Table2[[#This Row],[UNIT PRICE]]*Table2[[#This Row],[Quantity sold]]),Table2[[#This Row],[UNIT PRICE]]*Table2[[#This Row],[Quantity sold]]-Table2[[#This Row],[Discount]],0)</f>
        <v>12395</v>
      </c>
      <c r="J303" s="10">
        <v>17500</v>
      </c>
      <c r="K303" s="2">
        <f>_xlfn.XLOOKUP(Table2[[#This Row],[Shoe style]],val[SHOE STYLE],val[COST PRICE])</f>
        <v>7909</v>
      </c>
      <c r="L303" s="2">
        <f>(Table2[[#This Row],[COST PRICE]]*Table2[[#This Row],[Quantity sold]])</f>
        <v>7909</v>
      </c>
      <c r="M303" s="2">
        <f>Table2[[#This Row],[TOTAL SALES]]-Table2[[#This Row],[TOTAL COST PRICE]]</f>
        <v>4486</v>
      </c>
      <c r="N303" s="2">
        <f>IF(Table2[[#This Row],[Amount Paid]]&gt;0,(SUMIF(Table2[Order ID],Table2[[#This Row],[Order ID]],Table2[Amount Paid])-SUMIF(Table2[Order ID],Table2[[#This Row],[Order ID]],Table2[TOTAL SALES])),0)</f>
        <v>5105</v>
      </c>
      <c r="O303" s="8">
        <v>40</v>
      </c>
      <c r="P303" s="8" t="s">
        <v>25</v>
      </c>
      <c r="Q303" s="8" t="s">
        <v>26</v>
      </c>
      <c r="R303" s="8" t="s">
        <v>27</v>
      </c>
      <c r="S303" s="8" t="s">
        <v>28</v>
      </c>
      <c r="T303" s="8">
        <f t="shared" si="4"/>
        <v>0</v>
      </c>
      <c r="U303" t="str" cm="1">
        <f t="array" ref="U303">_xlfn.IFNA(_xlfn.IFS(Table2[[#This Row],[DEFICIT /SURPLUS]]&lt;0,"Deficit",Table2[[#This Row],[DEFICIT /SURPLUS]]&gt;0,"surplus"),"-")</f>
        <v>surplus</v>
      </c>
    </row>
    <row r="304" spans="1:21" ht="14.5">
      <c r="A304" s="8" t="s">
        <v>249</v>
      </c>
      <c r="B304" s="9">
        <v>45596</v>
      </c>
      <c r="C304" s="8" t="s">
        <v>112</v>
      </c>
      <c r="D304" s="8" t="s">
        <v>29</v>
      </c>
      <c r="E304" s="8" t="s">
        <v>50</v>
      </c>
      <c r="F304" s="31">
        <f>_xlfn.XLOOKUP(Table2[[#This Row],[Shoe style]],val[SHOE STYLE],val[UNIT PRICE])</f>
        <v>12395</v>
      </c>
      <c r="H304" s="11">
        <v>1</v>
      </c>
      <c r="I304" s="6">
        <f>IF(Table2[[#This Row],[Discount]]&lt;(Table2[[#This Row],[UNIT PRICE]]*Table2[[#This Row],[Quantity sold]]),Table2[[#This Row],[UNIT PRICE]]*Table2[[#This Row],[Quantity sold]]-Table2[[#This Row],[Discount]],0)</f>
        <v>12395</v>
      </c>
      <c r="J304" s="10">
        <v>42000</v>
      </c>
      <c r="K304" s="2">
        <f>_xlfn.XLOOKUP(Table2[[#This Row],[Shoe style]],val[SHOE STYLE],val[COST PRICE])</f>
        <v>7909</v>
      </c>
      <c r="L304" s="2">
        <f>(Table2[[#This Row],[COST PRICE]]*Table2[[#This Row],[Quantity sold]])</f>
        <v>7909</v>
      </c>
      <c r="M304" s="2">
        <f>Table2[[#This Row],[TOTAL SALES]]-Table2[[#This Row],[TOTAL COST PRICE]]</f>
        <v>4486</v>
      </c>
      <c r="N304" s="2">
        <f>IF(Table2[[#This Row],[Amount Paid]]&gt;0,(SUMIF(Table2[Order ID],Table2[[#This Row],[Order ID]],Table2[Amount Paid])-SUMIF(Table2[Order ID],Table2[[#This Row],[Order ID]],Table2[TOTAL SALES])),0)</f>
        <v>4815</v>
      </c>
      <c r="O304" s="8">
        <v>41</v>
      </c>
      <c r="P304" s="8" t="s">
        <v>25</v>
      </c>
      <c r="Q304" s="8" t="s">
        <v>26</v>
      </c>
      <c r="R304" s="8" t="s">
        <v>44</v>
      </c>
      <c r="S304" s="8" t="s">
        <v>28</v>
      </c>
      <c r="T304" s="8">
        <f t="shared" si="4"/>
        <v>0</v>
      </c>
      <c r="U304" t="str" cm="1">
        <f t="array" ref="U304">_xlfn.IFNA(_xlfn.IFS(Table2[[#This Row],[DEFICIT /SURPLUS]]&lt;0,"Deficit",Table2[[#This Row],[DEFICIT /SURPLUS]]&gt;0,"surplus"),"-")</f>
        <v>surplus</v>
      </c>
    </row>
    <row r="305" spans="1:21" ht="14.5">
      <c r="A305" s="8" t="s">
        <v>249</v>
      </c>
      <c r="B305" s="9">
        <v>45596</v>
      </c>
      <c r="C305" s="8" t="s">
        <v>112</v>
      </c>
      <c r="D305" s="8" t="s">
        <v>29</v>
      </c>
      <c r="E305" s="8" t="s">
        <v>55</v>
      </c>
      <c r="F305" s="31">
        <f>_xlfn.XLOOKUP(Table2[[#This Row],[Shoe style]],val[SHOE STYLE],val[UNIT PRICE])</f>
        <v>12395</v>
      </c>
      <c r="H305" s="11">
        <v>1</v>
      </c>
      <c r="I305" s="6">
        <f>IF(Table2[[#This Row],[Discount]]&lt;(Table2[[#This Row],[UNIT PRICE]]*Table2[[#This Row],[Quantity sold]]),Table2[[#This Row],[UNIT PRICE]]*Table2[[#This Row],[Quantity sold]]-Table2[[#This Row],[Discount]],0)</f>
        <v>12395</v>
      </c>
      <c r="K305" s="2">
        <f>_xlfn.XLOOKUP(Table2[[#This Row],[Shoe style]],val[SHOE STYLE],val[COST PRICE])</f>
        <v>7909</v>
      </c>
      <c r="L305" s="2">
        <f>(Table2[[#This Row],[COST PRICE]]*Table2[[#This Row],[Quantity sold]])</f>
        <v>7909</v>
      </c>
      <c r="M305" s="2">
        <f>Table2[[#This Row],[TOTAL SALES]]-Table2[[#This Row],[TOTAL COST PRICE]]</f>
        <v>4486</v>
      </c>
      <c r="N305" s="2">
        <f>IF(Table2[[#This Row],[Amount Paid]]&gt;0,(SUMIF(Table2[Order ID],Table2[[#This Row],[Order ID]],Table2[Amount Paid])-SUMIF(Table2[Order ID],Table2[[#This Row],[Order ID]],Table2[TOTAL SALES])),0)</f>
        <v>0</v>
      </c>
      <c r="O305" s="8">
        <v>41</v>
      </c>
      <c r="P305" s="8" t="s">
        <v>25</v>
      </c>
      <c r="Q305" s="8" t="s">
        <v>26</v>
      </c>
      <c r="R305" s="8" t="s">
        <v>44</v>
      </c>
      <c r="S305" s="8" t="s">
        <v>28</v>
      </c>
      <c r="T305" s="8">
        <f t="shared" si="4"/>
        <v>0</v>
      </c>
      <c r="U305" t="str" cm="1">
        <f t="array" ref="U305">_xlfn.IFNA(_xlfn.IFS(Table2[[#This Row],[DEFICIT /SURPLUS]]&lt;0,"Deficit",Table2[[#This Row],[DEFICIT /SURPLUS]]&gt;0,"surplus"),"-")</f>
        <v>-</v>
      </c>
    </row>
    <row r="306" spans="1:21" ht="14.5">
      <c r="A306" s="8" t="s">
        <v>249</v>
      </c>
      <c r="B306" s="9">
        <v>45596</v>
      </c>
      <c r="C306" s="8" t="s">
        <v>112</v>
      </c>
      <c r="D306" s="8" t="s">
        <v>29</v>
      </c>
      <c r="E306" s="8" t="s">
        <v>89</v>
      </c>
      <c r="F306" s="31">
        <f>_xlfn.XLOOKUP(Table2[[#This Row],[Shoe style]],val[SHOE STYLE],val[UNIT PRICE])</f>
        <v>12395</v>
      </c>
      <c r="H306" s="11">
        <v>1</v>
      </c>
      <c r="I306" s="6">
        <f>IF(Table2[[#This Row],[Discount]]&lt;(Table2[[#This Row],[UNIT PRICE]]*Table2[[#This Row],[Quantity sold]]),Table2[[#This Row],[UNIT PRICE]]*Table2[[#This Row],[Quantity sold]]-Table2[[#This Row],[Discount]],0)</f>
        <v>12395</v>
      </c>
      <c r="K306" s="2">
        <f>_xlfn.XLOOKUP(Table2[[#This Row],[Shoe style]],val[SHOE STYLE],val[COST PRICE])</f>
        <v>7909</v>
      </c>
      <c r="L306" s="2">
        <f>(Table2[[#This Row],[COST PRICE]]*Table2[[#This Row],[Quantity sold]])</f>
        <v>7909</v>
      </c>
      <c r="M306" s="2">
        <f>Table2[[#This Row],[TOTAL SALES]]-Table2[[#This Row],[TOTAL COST PRICE]]</f>
        <v>4486</v>
      </c>
      <c r="N306" s="2">
        <f>IF(Table2[[#This Row],[Amount Paid]]&gt;0,(SUMIF(Table2[Order ID],Table2[[#This Row],[Order ID]],Table2[Amount Paid])-SUMIF(Table2[Order ID],Table2[[#This Row],[Order ID]],Table2[TOTAL SALES])),0)</f>
        <v>0</v>
      </c>
      <c r="O306" s="8">
        <v>41</v>
      </c>
      <c r="P306" s="8" t="s">
        <v>25</v>
      </c>
      <c r="Q306" s="8" t="s">
        <v>26</v>
      </c>
      <c r="R306" s="8" t="s">
        <v>44</v>
      </c>
      <c r="S306" s="8" t="s">
        <v>28</v>
      </c>
      <c r="T306" s="8">
        <f t="shared" si="4"/>
        <v>0</v>
      </c>
      <c r="U306" t="str" cm="1">
        <f t="array" ref="U306">_xlfn.IFNA(_xlfn.IFS(Table2[[#This Row],[DEFICIT /SURPLUS]]&lt;0,"Deficit",Table2[[#This Row],[DEFICIT /SURPLUS]]&gt;0,"surplus"),"-")</f>
        <v>-</v>
      </c>
    </row>
    <row r="307" spans="1:21" ht="14.5">
      <c r="A307" s="8" t="s">
        <v>250</v>
      </c>
      <c r="B307" s="9">
        <v>45596</v>
      </c>
      <c r="C307" s="8" t="s">
        <v>22</v>
      </c>
      <c r="D307" s="8" t="s">
        <v>51</v>
      </c>
      <c r="E307" s="8" t="s">
        <v>24</v>
      </c>
      <c r="F307" s="31">
        <f>_xlfn.XLOOKUP(Table2[[#This Row],[Shoe style]],val[SHOE STYLE],val[UNIT PRICE])</f>
        <v>11007</v>
      </c>
      <c r="H307" s="11">
        <v>1</v>
      </c>
      <c r="I307" s="6">
        <f>IF(Table2[[#This Row],[Discount]]&lt;(Table2[[#This Row],[UNIT PRICE]]*Table2[[#This Row],[Quantity sold]]),Table2[[#This Row],[UNIT PRICE]]*Table2[[#This Row],[Quantity sold]]-Table2[[#This Row],[Discount]],0)</f>
        <v>11007</v>
      </c>
      <c r="J307" s="10">
        <v>14500</v>
      </c>
      <c r="K307" s="2">
        <f>_xlfn.XLOOKUP(Table2[[#This Row],[Shoe style]],val[SHOE STYLE],val[COST PRICE])</f>
        <v>8327</v>
      </c>
      <c r="L307" s="2">
        <f>(Table2[[#This Row],[COST PRICE]]*Table2[[#This Row],[Quantity sold]])</f>
        <v>8327</v>
      </c>
      <c r="M307" s="2">
        <f>Table2[[#This Row],[TOTAL SALES]]-Table2[[#This Row],[TOTAL COST PRICE]]</f>
        <v>2680</v>
      </c>
      <c r="N307" s="2">
        <f>IF(Table2[[#This Row],[Amount Paid]]&gt;0,(SUMIF(Table2[Order ID],Table2[[#This Row],[Order ID]],Table2[Amount Paid])-SUMIF(Table2[Order ID],Table2[[#This Row],[Order ID]],Table2[TOTAL SALES])),0)</f>
        <v>3493</v>
      </c>
      <c r="O307" s="8">
        <v>41</v>
      </c>
      <c r="P307" s="8" t="s">
        <v>25</v>
      </c>
      <c r="Q307" s="8" t="s">
        <v>26</v>
      </c>
      <c r="R307" s="8" t="s">
        <v>27</v>
      </c>
      <c r="S307" s="8" t="s">
        <v>28</v>
      </c>
      <c r="T307" s="8">
        <f t="shared" si="4"/>
        <v>0</v>
      </c>
      <c r="U307" t="str" cm="1">
        <f t="array" ref="U307">_xlfn.IFNA(_xlfn.IFS(Table2[[#This Row],[DEFICIT /SURPLUS]]&lt;0,"Deficit",Table2[[#This Row],[DEFICIT /SURPLUS]]&gt;0,"surplus"),"-")</f>
        <v>surplus</v>
      </c>
    </row>
    <row r="308" spans="1:21" ht="14.5">
      <c r="A308" s="8" t="s">
        <v>251</v>
      </c>
      <c r="B308" s="9">
        <v>45596</v>
      </c>
      <c r="C308" s="8" t="s">
        <v>22</v>
      </c>
      <c r="D308" s="8" t="s">
        <v>49</v>
      </c>
      <c r="E308" s="8" t="s">
        <v>43</v>
      </c>
      <c r="F308" s="31">
        <f>_xlfn.XLOOKUP(Table2[[#This Row],[Shoe style]],val[SHOE STYLE],val[UNIT PRICE])</f>
        <v>20500</v>
      </c>
      <c r="H308" s="11">
        <v>1</v>
      </c>
      <c r="I308" s="6">
        <f>IF(Table2[[#This Row],[Discount]]&lt;(Table2[[#This Row],[UNIT PRICE]]*Table2[[#This Row],[Quantity sold]]),Table2[[#This Row],[UNIT PRICE]]*Table2[[#This Row],[Quantity sold]]-Table2[[#This Row],[Discount]],0)</f>
        <v>20500</v>
      </c>
      <c r="J308" s="10">
        <v>14500</v>
      </c>
      <c r="K308" s="2">
        <f>_xlfn.XLOOKUP(Table2[[#This Row],[Shoe style]],val[SHOE STYLE],val[COST PRICE])</f>
        <v>17339</v>
      </c>
      <c r="L308" s="2">
        <f>(Table2[[#This Row],[COST PRICE]]*Table2[[#This Row],[Quantity sold]])</f>
        <v>17339</v>
      </c>
      <c r="M308" s="2">
        <f>Table2[[#This Row],[TOTAL SALES]]-Table2[[#This Row],[TOTAL COST PRICE]]</f>
        <v>3161</v>
      </c>
      <c r="N308" s="2">
        <f>IF(Table2[[#This Row],[Amount Paid]]&gt;0,(SUMIF(Table2[Order ID],Table2[[#This Row],[Order ID]],Table2[Amount Paid])-SUMIF(Table2[Order ID],Table2[[#This Row],[Order ID]],Table2[TOTAL SALES])),0)</f>
        <v>-6000</v>
      </c>
      <c r="O308" s="8">
        <v>42</v>
      </c>
      <c r="P308" s="8" t="s">
        <v>25</v>
      </c>
      <c r="Q308" s="8" t="s">
        <v>26</v>
      </c>
      <c r="R308" s="8" t="s">
        <v>27</v>
      </c>
      <c r="S308" s="8" t="s">
        <v>28</v>
      </c>
      <c r="T308" s="8">
        <f t="shared" si="4"/>
        <v>0</v>
      </c>
      <c r="U308" t="str" cm="1">
        <f t="array" ref="U308">_xlfn.IFNA(_xlfn.IFS(Table2[[#This Row],[DEFICIT /SURPLUS]]&lt;0,"Deficit",Table2[[#This Row],[DEFICIT /SURPLUS]]&gt;0,"surplus"),"-")</f>
        <v>Deficit</v>
      </c>
    </row>
    <row r="309" spans="1:21" ht="14.5">
      <c r="A309" s="8" t="s">
        <v>252</v>
      </c>
      <c r="B309" s="9">
        <v>45596</v>
      </c>
      <c r="C309" s="8" t="s">
        <v>2</v>
      </c>
      <c r="D309" s="8" t="s">
        <v>49</v>
      </c>
      <c r="E309" s="8" t="s">
        <v>43</v>
      </c>
      <c r="F309" s="31">
        <f>_xlfn.XLOOKUP(Table2[[#This Row],[Shoe style]],val[SHOE STYLE],val[UNIT PRICE])</f>
        <v>20500</v>
      </c>
      <c r="H309" s="11">
        <v>1</v>
      </c>
      <c r="I309" s="6">
        <f>IF(Table2[[#This Row],[Discount]]&lt;(Table2[[#This Row],[UNIT PRICE]]*Table2[[#This Row],[Quantity sold]]),Table2[[#This Row],[UNIT PRICE]]*Table2[[#This Row],[Quantity sold]]-Table2[[#This Row],[Discount]],0)</f>
        <v>20500</v>
      </c>
      <c r="J309" s="10">
        <v>540000</v>
      </c>
      <c r="K309" s="2">
        <f>_xlfn.XLOOKUP(Table2[[#This Row],[Shoe style]],val[SHOE STYLE],val[COST PRICE])</f>
        <v>17339</v>
      </c>
      <c r="L309" s="2">
        <f>(Table2[[#This Row],[COST PRICE]]*Table2[[#This Row],[Quantity sold]])</f>
        <v>17339</v>
      </c>
      <c r="M309" s="2">
        <f>Table2[[#This Row],[TOTAL SALES]]-Table2[[#This Row],[TOTAL COST PRICE]]</f>
        <v>3161</v>
      </c>
      <c r="N309" s="2">
        <f>IF(Table2[[#This Row],[Amount Paid]]&gt;0,(SUMIF(Table2[Order ID],Table2[[#This Row],[Order ID]],Table2[Amount Paid])-SUMIF(Table2[Order ID],Table2[[#This Row],[Order ID]],Table2[TOTAL SALES])),0)</f>
        <v>519500</v>
      </c>
      <c r="O309" s="8">
        <v>42</v>
      </c>
      <c r="P309" s="8" t="s">
        <v>25</v>
      </c>
      <c r="Q309" s="8" t="s">
        <v>26</v>
      </c>
      <c r="R309" s="8" t="s">
        <v>27</v>
      </c>
      <c r="S309" s="8" t="s">
        <v>28</v>
      </c>
      <c r="T309" s="8">
        <f t="shared" si="4"/>
        <v>0</v>
      </c>
      <c r="U309" t="str" cm="1">
        <f t="array" ref="U309">_xlfn.IFNA(_xlfn.IFS(Table2[[#This Row],[DEFICIT /SURPLUS]]&lt;0,"Deficit",Table2[[#This Row],[DEFICIT /SURPLUS]]&gt;0,"surplus"),"-")</f>
        <v>surplus</v>
      </c>
    </row>
    <row r="310" spans="1:21" ht="14.5">
      <c r="A310" s="8" t="s">
        <v>253</v>
      </c>
      <c r="B310" s="9">
        <v>45596</v>
      </c>
      <c r="C310" s="8" t="s">
        <v>22</v>
      </c>
      <c r="D310" s="8" t="s">
        <v>37</v>
      </c>
      <c r="E310" s="8" t="s">
        <v>235</v>
      </c>
      <c r="F310" s="31">
        <f>_xlfn.XLOOKUP(Table2[[#This Row],[Shoe style]],val[SHOE STYLE],val[UNIT PRICE])</f>
        <v>22728</v>
      </c>
      <c r="H310" s="11">
        <v>1</v>
      </c>
      <c r="I310" s="6">
        <f>IF(Table2[[#This Row],[Discount]]&lt;(Table2[[#This Row],[UNIT PRICE]]*Table2[[#This Row],[Quantity sold]]),Table2[[#This Row],[UNIT PRICE]]*Table2[[#This Row],[Quantity sold]]-Table2[[#This Row],[Discount]],0)</f>
        <v>22728</v>
      </c>
      <c r="J310" s="10">
        <v>29000</v>
      </c>
      <c r="K310" s="2">
        <f>_xlfn.XLOOKUP(Table2[[#This Row],[Shoe style]],val[SHOE STYLE],val[COST PRICE])</f>
        <v>20451</v>
      </c>
      <c r="L310" s="2">
        <f>(Table2[[#This Row],[COST PRICE]]*Table2[[#This Row],[Quantity sold]])</f>
        <v>20451</v>
      </c>
      <c r="M310" s="2">
        <f>Table2[[#This Row],[TOTAL SALES]]-Table2[[#This Row],[TOTAL COST PRICE]]</f>
        <v>2277</v>
      </c>
      <c r="N310" s="2">
        <f>IF(Table2[[#This Row],[Amount Paid]]&gt;0,(SUMIF(Table2[Order ID],Table2[[#This Row],[Order ID]],Table2[Amount Paid])-SUMIF(Table2[Order ID],Table2[[#This Row],[Order ID]],Table2[TOTAL SALES])),0)</f>
        <v>6272</v>
      </c>
      <c r="O310" s="8">
        <v>39</v>
      </c>
      <c r="P310" s="8" t="s">
        <v>25</v>
      </c>
      <c r="Q310" s="8" t="s">
        <v>26</v>
      </c>
      <c r="R310" s="8" t="s">
        <v>44</v>
      </c>
      <c r="S310" s="8" t="s">
        <v>28</v>
      </c>
      <c r="T310" s="8">
        <f t="shared" si="4"/>
        <v>0</v>
      </c>
      <c r="U310" t="str" cm="1">
        <f t="array" ref="U310">_xlfn.IFNA(_xlfn.IFS(Table2[[#This Row],[DEFICIT /SURPLUS]]&lt;0,"Deficit",Table2[[#This Row],[DEFICIT /SURPLUS]]&gt;0,"surplus"),"-")</f>
        <v>surplus</v>
      </c>
    </row>
    <row r="311" spans="1:21" ht="14.5">
      <c r="A311" s="8" t="s">
        <v>254</v>
      </c>
      <c r="B311" s="9">
        <v>45597</v>
      </c>
      <c r="C311" s="8" t="s">
        <v>22</v>
      </c>
      <c r="D311" s="8" t="s">
        <v>49</v>
      </c>
      <c r="E311" s="8" t="s">
        <v>78</v>
      </c>
      <c r="F311" s="31">
        <f>_xlfn.XLOOKUP(Table2[[#This Row],[Shoe style]],val[SHOE STYLE],val[UNIT PRICE])</f>
        <v>20500</v>
      </c>
      <c r="H311" s="11">
        <v>1</v>
      </c>
      <c r="I311" s="6">
        <f>IF(Table2[[#This Row],[Discount]]&lt;(Table2[[#This Row],[UNIT PRICE]]*Table2[[#This Row],[Quantity sold]]),Table2[[#This Row],[UNIT PRICE]]*Table2[[#This Row],[Quantity sold]]-Table2[[#This Row],[Discount]],0)</f>
        <v>20500</v>
      </c>
      <c r="J311" s="10">
        <v>58500</v>
      </c>
      <c r="K311" s="2">
        <f>_xlfn.XLOOKUP(Table2[[#This Row],[Shoe style]],val[SHOE STYLE],val[COST PRICE])</f>
        <v>17339</v>
      </c>
      <c r="L311" s="2">
        <f>(Table2[[#This Row],[COST PRICE]]*Table2[[#This Row],[Quantity sold]])</f>
        <v>17339</v>
      </c>
      <c r="M311" s="2">
        <f>Table2[[#This Row],[TOTAL SALES]]-Table2[[#This Row],[TOTAL COST PRICE]]</f>
        <v>3161</v>
      </c>
      <c r="N311" s="2">
        <f>IF(Table2[[#This Row],[Amount Paid]]&gt;0,(SUMIF(Table2[Order ID],Table2[[#This Row],[Order ID]],Table2[Amount Paid])-SUMIF(Table2[Order ID],Table2[[#This Row],[Order ID]],Table2[TOTAL SALES])),0)</f>
        <v>-6961</v>
      </c>
      <c r="O311" s="8">
        <v>40</v>
      </c>
      <c r="P311" s="8" t="s">
        <v>25</v>
      </c>
      <c r="Q311" s="8" t="s">
        <v>26</v>
      </c>
      <c r="R311" s="8" t="s">
        <v>27</v>
      </c>
      <c r="S311" s="8" t="s">
        <v>28</v>
      </c>
      <c r="T311" s="8">
        <f t="shared" si="4"/>
        <v>0</v>
      </c>
      <c r="U311" t="str" cm="1">
        <f t="array" ref="U311">_xlfn.IFNA(_xlfn.IFS(Table2[[#This Row],[DEFICIT /SURPLUS]]&lt;0,"Deficit",Table2[[#This Row],[DEFICIT /SURPLUS]]&gt;0,"surplus"),"-")</f>
        <v>Deficit</v>
      </c>
    </row>
    <row r="312" spans="1:21" ht="14.5">
      <c r="A312" s="8" t="s">
        <v>254</v>
      </c>
      <c r="B312" s="9">
        <v>45597</v>
      </c>
      <c r="C312" s="8" t="s">
        <v>22</v>
      </c>
      <c r="D312" s="8" t="s">
        <v>29</v>
      </c>
      <c r="E312" s="8" t="s">
        <v>50</v>
      </c>
      <c r="F312" s="31">
        <f>_xlfn.XLOOKUP(Table2[[#This Row],[Shoe style]],val[SHOE STYLE],val[UNIT PRICE])</f>
        <v>12395</v>
      </c>
      <c r="H312" s="11">
        <v>1</v>
      </c>
      <c r="I312" s="6">
        <f>IF(Table2[[#This Row],[Discount]]&lt;(Table2[[#This Row],[UNIT PRICE]]*Table2[[#This Row],[Quantity sold]]),Table2[[#This Row],[UNIT PRICE]]*Table2[[#This Row],[Quantity sold]]-Table2[[#This Row],[Discount]],0)</f>
        <v>12395</v>
      </c>
      <c r="K312" s="2">
        <f>_xlfn.XLOOKUP(Table2[[#This Row],[Shoe style]],val[SHOE STYLE],val[COST PRICE])</f>
        <v>7909</v>
      </c>
      <c r="L312" s="2">
        <f>(Table2[[#This Row],[COST PRICE]]*Table2[[#This Row],[Quantity sold]])</f>
        <v>7909</v>
      </c>
      <c r="M312" s="2">
        <f>Table2[[#This Row],[TOTAL SALES]]-Table2[[#This Row],[TOTAL COST PRICE]]</f>
        <v>4486</v>
      </c>
      <c r="N312" s="2">
        <f>IF(Table2[[#This Row],[Amount Paid]]&gt;0,(SUMIF(Table2[Order ID],Table2[[#This Row],[Order ID]],Table2[Amount Paid])-SUMIF(Table2[Order ID],Table2[[#This Row],[Order ID]],Table2[TOTAL SALES])),0)</f>
        <v>0</v>
      </c>
      <c r="O312" s="8">
        <v>40</v>
      </c>
      <c r="P312" s="8" t="s">
        <v>25</v>
      </c>
      <c r="Q312" s="8" t="s">
        <v>26</v>
      </c>
      <c r="R312" s="8" t="s">
        <v>27</v>
      </c>
      <c r="S312" s="8" t="s">
        <v>28</v>
      </c>
      <c r="T312" s="8">
        <f t="shared" si="4"/>
        <v>0</v>
      </c>
      <c r="U312" t="str" cm="1">
        <f t="array" ref="U312">_xlfn.IFNA(_xlfn.IFS(Table2[[#This Row],[DEFICIT /SURPLUS]]&lt;0,"Deficit",Table2[[#This Row],[DEFICIT /SURPLUS]]&gt;0,"surplus"),"-")</f>
        <v>-</v>
      </c>
    </row>
    <row r="313" spans="1:21" ht="14.5">
      <c r="A313" s="8" t="s">
        <v>254</v>
      </c>
      <c r="B313" s="9">
        <v>45597</v>
      </c>
      <c r="C313" s="8" t="s">
        <v>22</v>
      </c>
      <c r="D313" s="8" t="s">
        <v>53</v>
      </c>
      <c r="E313" s="8" t="s">
        <v>43</v>
      </c>
      <c r="F313" s="31">
        <f>_xlfn.XLOOKUP(Table2[[#This Row],[Shoe style]],val[SHOE STYLE],val[UNIT PRICE])</f>
        <v>9838</v>
      </c>
      <c r="H313" s="11">
        <v>1</v>
      </c>
      <c r="I313" s="6">
        <f>IF(Table2[[#This Row],[Discount]]&lt;(Table2[[#This Row],[UNIT PRICE]]*Table2[[#This Row],[Quantity sold]]),Table2[[#This Row],[UNIT PRICE]]*Table2[[#This Row],[Quantity sold]]-Table2[[#This Row],[Discount]],0)</f>
        <v>9838</v>
      </c>
      <c r="K313" s="2">
        <f>_xlfn.XLOOKUP(Table2[[#This Row],[Shoe style]],val[SHOE STYLE],val[COST PRICE])</f>
        <v>6687</v>
      </c>
      <c r="L313" s="2">
        <f>(Table2[[#This Row],[COST PRICE]]*Table2[[#This Row],[Quantity sold]])</f>
        <v>6687</v>
      </c>
      <c r="M313" s="2">
        <f>Table2[[#This Row],[TOTAL SALES]]-Table2[[#This Row],[TOTAL COST PRICE]]</f>
        <v>3151</v>
      </c>
      <c r="N313" s="2">
        <f>IF(Table2[[#This Row],[Amount Paid]]&gt;0,(SUMIF(Table2[Order ID],Table2[[#This Row],[Order ID]],Table2[Amount Paid])-SUMIF(Table2[Order ID],Table2[[#This Row],[Order ID]],Table2[TOTAL SALES])),0)</f>
        <v>0</v>
      </c>
      <c r="O313" s="8">
        <v>40</v>
      </c>
      <c r="P313" s="8" t="s">
        <v>25</v>
      </c>
      <c r="Q313" s="8" t="s">
        <v>26</v>
      </c>
      <c r="R313" s="8" t="s">
        <v>27</v>
      </c>
      <c r="S313" s="8" t="s">
        <v>28</v>
      </c>
      <c r="T313" s="8">
        <f t="shared" si="4"/>
        <v>0</v>
      </c>
      <c r="U313" t="str" cm="1">
        <f t="array" ref="U313">_xlfn.IFNA(_xlfn.IFS(Table2[[#This Row],[DEFICIT /SURPLUS]]&lt;0,"Deficit",Table2[[#This Row],[DEFICIT /SURPLUS]]&gt;0,"surplus"),"-")</f>
        <v>-</v>
      </c>
    </row>
    <row r="314" spans="1:21" ht="14.5">
      <c r="A314" s="8" t="s">
        <v>254</v>
      </c>
      <c r="B314" s="9">
        <v>45597</v>
      </c>
      <c r="C314" s="8" t="s">
        <v>22</v>
      </c>
      <c r="D314" s="8" t="s">
        <v>37</v>
      </c>
      <c r="E314" s="8" t="s">
        <v>176</v>
      </c>
      <c r="F314" s="31">
        <f>_xlfn.XLOOKUP(Table2[[#This Row],[Shoe style]],val[SHOE STYLE],val[UNIT PRICE])</f>
        <v>22728</v>
      </c>
      <c r="H314" s="11">
        <v>1</v>
      </c>
      <c r="I314" s="6">
        <f>IF(Table2[[#This Row],[Discount]]&lt;(Table2[[#This Row],[UNIT PRICE]]*Table2[[#This Row],[Quantity sold]]),Table2[[#This Row],[UNIT PRICE]]*Table2[[#This Row],[Quantity sold]]-Table2[[#This Row],[Discount]],0)</f>
        <v>22728</v>
      </c>
      <c r="K314" s="2">
        <f>_xlfn.XLOOKUP(Table2[[#This Row],[Shoe style]],val[SHOE STYLE],val[COST PRICE])</f>
        <v>20451</v>
      </c>
      <c r="L314" s="2">
        <f>(Table2[[#This Row],[COST PRICE]]*Table2[[#This Row],[Quantity sold]])</f>
        <v>20451</v>
      </c>
      <c r="M314" s="2">
        <f>Table2[[#This Row],[TOTAL SALES]]-Table2[[#This Row],[TOTAL COST PRICE]]</f>
        <v>2277</v>
      </c>
      <c r="N314" s="2">
        <f>IF(Table2[[#This Row],[Amount Paid]]&gt;0,(SUMIF(Table2[Order ID],Table2[[#This Row],[Order ID]],Table2[Amount Paid])-SUMIF(Table2[Order ID],Table2[[#This Row],[Order ID]],Table2[TOTAL SALES])),0)</f>
        <v>0</v>
      </c>
      <c r="O314" s="8">
        <v>40</v>
      </c>
      <c r="P314" s="8" t="s">
        <v>25</v>
      </c>
      <c r="Q314" s="8" t="s">
        <v>26</v>
      </c>
      <c r="R314" s="8" t="s">
        <v>27</v>
      </c>
      <c r="S314" s="8" t="s">
        <v>28</v>
      </c>
      <c r="T314" s="8">
        <f t="shared" si="4"/>
        <v>0</v>
      </c>
      <c r="U314" t="str" cm="1">
        <f t="array" ref="U314">_xlfn.IFNA(_xlfn.IFS(Table2[[#This Row],[DEFICIT /SURPLUS]]&lt;0,"Deficit",Table2[[#This Row],[DEFICIT /SURPLUS]]&gt;0,"surplus"),"-")</f>
        <v>-</v>
      </c>
    </row>
    <row r="315" spans="1:21" ht="14.5">
      <c r="A315" s="8" t="s">
        <v>255</v>
      </c>
      <c r="B315" s="9">
        <v>45597</v>
      </c>
      <c r="C315" s="8" t="s">
        <v>22</v>
      </c>
      <c r="D315" s="8" t="s">
        <v>37</v>
      </c>
      <c r="E315" s="8" t="s">
        <v>24</v>
      </c>
      <c r="F315" s="31">
        <f>_xlfn.XLOOKUP(Table2[[#This Row],[Shoe style]],val[SHOE STYLE],val[UNIT PRICE])</f>
        <v>22728</v>
      </c>
      <c r="H315" s="11">
        <v>1</v>
      </c>
      <c r="I315" s="6">
        <f>IF(Table2[[#This Row],[Discount]]&lt;(Table2[[#This Row],[UNIT PRICE]]*Table2[[#This Row],[Quantity sold]]),Table2[[#This Row],[UNIT PRICE]]*Table2[[#This Row],[Quantity sold]]-Table2[[#This Row],[Discount]],0)</f>
        <v>22728</v>
      </c>
      <c r="J315" s="10">
        <v>28500</v>
      </c>
      <c r="K315" s="2">
        <f>_xlfn.XLOOKUP(Table2[[#This Row],[Shoe style]],val[SHOE STYLE],val[COST PRICE])</f>
        <v>20451</v>
      </c>
      <c r="L315" s="2">
        <f>(Table2[[#This Row],[COST PRICE]]*Table2[[#This Row],[Quantity sold]])</f>
        <v>20451</v>
      </c>
      <c r="M315" s="2">
        <f>Table2[[#This Row],[TOTAL SALES]]-Table2[[#This Row],[TOTAL COST PRICE]]</f>
        <v>2277</v>
      </c>
      <c r="N315" s="2">
        <f>IF(Table2[[#This Row],[Amount Paid]]&gt;0,(SUMIF(Table2[Order ID],Table2[[#This Row],[Order ID]],Table2[Amount Paid])-SUMIF(Table2[Order ID],Table2[[#This Row],[Order ID]],Table2[TOTAL SALES])),0)</f>
        <v>-6623</v>
      </c>
      <c r="O315" s="8">
        <v>42</v>
      </c>
      <c r="P315" s="8" t="s">
        <v>25</v>
      </c>
      <c r="Q315" s="8" t="s">
        <v>26</v>
      </c>
      <c r="R315" s="8" t="s">
        <v>27</v>
      </c>
      <c r="S315" s="8" t="s">
        <v>28</v>
      </c>
      <c r="T315" s="8">
        <f t="shared" si="4"/>
        <v>0</v>
      </c>
      <c r="U315" t="str" cm="1">
        <f t="array" ref="U315">_xlfn.IFNA(_xlfn.IFS(Table2[[#This Row],[DEFICIT /SURPLUS]]&lt;0,"Deficit",Table2[[#This Row],[DEFICIT /SURPLUS]]&gt;0,"surplus"),"-")</f>
        <v>Deficit</v>
      </c>
    </row>
    <row r="316" spans="1:21" ht="14.5">
      <c r="A316" s="8" t="s">
        <v>255</v>
      </c>
      <c r="B316" s="9">
        <v>45597</v>
      </c>
      <c r="C316" s="8" t="s">
        <v>22</v>
      </c>
      <c r="D316" s="8" t="s">
        <v>29</v>
      </c>
      <c r="E316" s="8" t="s">
        <v>38</v>
      </c>
      <c r="F316" s="31">
        <f>_xlfn.XLOOKUP(Table2[[#This Row],[Shoe style]],val[SHOE STYLE],val[UNIT PRICE])</f>
        <v>12395</v>
      </c>
      <c r="H316" s="11">
        <v>1</v>
      </c>
      <c r="I316" s="6">
        <f>IF(Table2[[#This Row],[Discount]]&lt;(Table2[[#This Row],[UNIT PRICE]]*Table2[[#This Row],[Quantity sold]]),Table2[[#This Row],[UNIT PRICE]]*Table2[[#This Row],[Quantity sold]]-Table2[[#This Row],[Discount]],0)</f>
        <v>12395</v>
      </c>
      <c r="K316" s="2">
        <f>_xlfn.XLOOKUP(Table2[[#This Row],[Shoe style]],val[SHOE STYLE],val[COST PRICE])</f>
        <v>7909</v>
      </c>
      <c r="L316" s="2">
        <f>(Table2[[#This Row],[COST PRICE]]*Table2[[#This Row],[Quantity sold]])</f>
        <v>7909</v>
      </c>
      <c r="M316" s="2">
        <f>Table2[[#This Row],[TOTAL SALES]]-Table2[[#This Row],[TOTAL COST PRICE]]</f>
        <v>4486</v>
      </c>
      <c r="N316" s="2">
        <f>IF(Table2[[#This Row],[Amount Paid]]&gt;0,(SUMIF(Table2[Order ID],Table2[[#This Row],[Order ID]],Table2[Amount Paid])-SUMIF(Table2[Order ID],Table2[[#This Row],[Order ID]],Table2[TOTAL SALES])),0)</f>
        <v>0</v>
      </c>
      <c r="O316" s="8">
        <v>42</v>
      </c>
      <c r="P316" s="8" t="s">
        <v>25</v>
      </c>
      <c r="Q316" s="8" t="s">
        <v>26</v>
      </c>
      <c r="R316" s="8" t="s">
        <v>27</v>
      </c>
      <c r="S316" s="8" t="s">
        <v>28</v>
      </c>
      <c r="T316" s="8">
        <f t="shared" ref="T316:T378" si="5">IF(S316="NO",1,0)</f>
        <v>0</v>
      </c>
      <c r="U316" t="str" cm="1">
        <f t="array" ref="U316">_xlfn.IFNA(_xlfn.IFS(Table2[[#This Row],[DEFICIT /SURPLUS]]&lt;0,"Deficit",Table2[[#This Row],[DEFICIT /SURPLUS]]&gt;0,"surplus"),"-")</f>
        <v>-</v>
      </c>
    </row>
    <row r="317" spans="1:21" ht="14.5">
      <c r="A317" s="8" t="s">
        <v>256</v>
      </c>
      <c r="B317" s="9">
        <v>45598</v>
      </c>
      <c r="C317" s="8" t="s">
        <v>22</v>
      </c>
      <c r="D317" s="8" t="s">
        <v>29</v>
      </c>
      <c r="E317" s="8" t="s">
        <v>61</v>
      </c>
      <c r="F317" s="31">
        <f>_xlfn.XLOOKUP(Table2[[#This Row],[Shoe style]],val[SHOE STYLE],val[UNIT PRICE])</f>
        <v>12395</v>
      </c>
      <c r="H317" s="11">
        <v>1</v>
      </c>
      <c r="I317" s="6">
        <f>IF(Table2[[#This Row],[Discount]]&lt;(Table2[[#This Row],[UNIT PRICE]]*Table2[[#This Row],[Quantity sold]]),Table2[[#This Row],[UNIT PRICE]]*Table2[[#This Row],[Quantity sold]]-Table2[[#This Row],[Discount]],0)</f>
        <v>12395</v>
      </c>
      <c r="J317" s="10">
        <v>31500</v>
      </c>
      <c r="K317" s="2">
        <f>_xlfn.XLOOKUP(Table2[[#This Row],[Shoe style]],val[SHOE STYLE],val[COST PRICE])</f>
        <v>7909</v>
      </c>
      <c r="L317" s="2">
        <f>(Table2[[#This Row],[COST PRICE]]*Table2[[#This Row],[Quantity sold]])</f>
        <v>7909</v>
      </c>
      <c r="M317" s="2">
        <f>Table2[[#This Row],[TOTAL SALES]]-Table2[[#This Row],[TOTAL COST PRICE]]</f>
        <v>4486</v>
      </c>
      <c r="N317" s="2">
        <f>IF(Table2[[#This Row],[Amount Paid]]&gt;0,(SUMIF(Table2[Order ID],Table2[[#This Row],[Order ID]],Table2[Amount Paid])-SUMIF(Table2[Order ID],Table2[[#This Row],[Order ID]],Table2[TOTAL SALES])),0)</f>
        <v>-1395</v>
      </c>
      <c r="O317" s="8">
        <v>38</v>
      </c>
      <c r="P317" s="8" t="s">
        <v>25</v>
      </c>
      <c r="Q317" s="8" t="s">
        <v>26</v>
      </c>
      <c r="R317" s="8" t="s">
        <v>27</v>
      </c>
      <c r="S317" s="8" t="s">
        <v>28</v>
      </c>
      <c r="T317" s="8">
        <f t="shared" si="5"/>
        <v>0</v>
      </c>
      <c r="U317" t="str" cm="1">
        <f t="array" ref="U317">_xlfn.IFNA(_xlfn.IFS(Table2[[#This Row],[DEFICIT /SURPLUS]]&lt;0,"Deficit",Table2[[#This Row],[DEFICIT /SURPLUS]]&gt;0,"surplus"),"-")</f>
        <v>Deficit</v>
      </c>
    </row>
    <row r="318" spans="1:21" ht="14.5">
      <c r="A318" s="8" t="s">
        <v>256</v>
      </c>
      <c r="B318" s="9">
        <v>45598</v>
      </c>
      <c r="C318" s="8" t="s">
        <v>22</v>
      </c>
      <c r="D318" s="8" t="s">
        <v>49</v>
      </c>
      <c r="E318" s="8" t="s">
        <v>87</v>
      </c>
      <c r="F318" s="31">
        <f>_xlfn.XLOOKUP(Table2[[#This Row],[Shoe style]],val[SHOE STYLE],val[UNIT PRICE])</f>
        <v>20500</v>
      </c>
      <c r="H318" s="11">
        <v>1</v>
      </c>
      <c r="I318" s="6">
        <f>IF(Table2[[#This Row],[Discount]]&lt;(Table2[[#This Row],[UNIT PRICE]]*Table2[[#This Row],[Quantity sold]]),Table2[[#This Row],[UNIT PRICE]]*Table2[[#This Row],[Quantity sold]]-Table2[[#This Row],[Discount]],0)</f>
        <v>20500</v>
      </c>
      <c r="K318" s="2">
        <f>_xlfn.XLOOKUP(Table2[[#This Row],[Shoe style]],val[SHOE STYLE],val[COST PRICE])</f>
        <v>17339</v>
      </c>
      <c r="L318" s="2">
        <f>(Table2[[#This Row],[COST PRICE]]*Table2[[#This Row],[Quantity sold]])</f>
        <v>17339</v>
      </c>
      <c r="M318" s="2">
        <f>Table2[[#This Row],[TOTAL SALES]]-Table2[[#This Row],[TOTAL COST PRICE]]</f>
        <v>3161</v>
      </c>
      <c r="N318" s="2">
        <f>IF(Table2[[#This Row],[Amount Paid]]&gt;0,(SUMIF(Table2[Order ID],Table2[[#This Row],[Order ID]],Table2[Amount Paid])-SUMIF(Table2[Order ID],Table2[[#This Row],[Order ID]],Table2[TOTAL SALES])),0)</f>
        <v>0</v>
      </c>
      <c r="O318" s="8">
        <v>38</v>
      </c>
      <c r="P318" s="8" t="s">
        <v>25</v>
      </c>
      <c r="Q318" s="8" t="s">
        <v>26</v>
      </c>
      <c r="R318" s="8" t="s">
        <v>27</v>
      </c>
      <c r="S318" s="8" t="s">
        <v>28</v>
      </c>
      <c r="T318" s="8">
        <f t="shared" si="5"/>
        <v>0</v>
      </c>
      <c r="U318" t="str" cm="1">
        <f t="array" ref="U318">_xlfn.IFNA(_xlfn.IFS(Table2[[#This Row],[DEFICIT /SURPLUS]]&lt;0,"Deficit",Table2[[#This Row],[DEFICIT /SURPLUS]]&gt;0,"surplus"),"-")</f>
        <v>-</v>
      </c>
    </row>
    <row r="319" spans="1:21" ht="14.5">
      <c r="A319" s="8" t="s">
        <v>257</v>
      </c>
      <c r="B319" s="9">
        <v>45598</v>
      </c>
      <c r="C319" s="8" t="s">
        <v>22</v>
      </c>
      <c r="D319" s="8" t="s">
        <v>232</v>
      </c>
      <c r="E319" s="8" t="s">
        <v>40</v>
      </c>
      <c r="F319" s="31">
        <f>_xlfn.XLOOKUP(Table2[[#This Row],[Shoe style]],val[SHOE STYLE],val[UNIT PRICE])</f>
        <v>14097</v>
      </c>
      <c r="H319" s="11">
        <v>1</v>
      </c>
      <c r="I319" s="6">
        <f>IF(Table2[[#This Row],[Discount]]&lt;(Table2[[#This Row],[UNIT PRICE]]*Table2[[#This Row],[Quantity sold]]),Table2[[#This Row],[UNIT PRICE]]*Table2[[#This Row],[Quantity sold]]-Table2[[#This Row],[Discount]],0)</f>
        <v>14097</v>
      </c>
      <c r="J319" s="10">
        <v>15000</v>
      </c>
      <c r="K319" s="2">
        <f>_xlfn.XLOOKUP(Table2[[#This Row],[Shoe style]],val[SHOE STYLE],val[COST PRICE])</f>
        <v>9386</v>
      </c>
      <c r="L319" s="2">
        <f>(Table2[[#This Row],[COST PRICE]]*Table2[[#This Row],[Quantity sold]])</f>
        <v>9386</v>
      </c>
      <c r="M319" s="2">
        <f>Table2[[#This Row],[TOTAL SALES]]-Table2[[#This Row],[TOTAL COST PRICE]]</f>
        <v>4711</v>
      </c>
      <c r="N319" s="2">
        <f>IF(Table2[[#This Row],[Amount Paid]]&gt;0,(SUMIF(Table2[Order ID],Table2[[#This Row],[Order ID]],Table2[Amount Paid])-SUMIF(Table2[Order ID],Table2[[#This Row],[Order ID]],Table2[TOTAL SALES])),0)</f>
        <v>903</v>
      </c>
      <c r="O319" s="8">
        <v>39</v>
      </c>
      <c r="P319" s="8" t="s">
        <v>25</v>
      </c>
      <c r="Q319" s="8" t="s">
        <v>26</v>
      </c>
      <c r="R319" s="8" t="s">
        <v>44</v>
      </c>
      <c r="S319" s="8" t="s">
        <v>28</v>
      </c>
      <c r="T319" s="8">
        <f t="shared" si="5"/>
        <v>0</v>
      </c>
      <c r="U319" t="str" cm="1">
        <f t="array" ref="U319">_xlfn.IFNA(_xlfn.IFS(Table2[[#This Row],[DEFICIT /SURPLUS]]&lt;0,"Deficit",Table2[[#This Row],[DEFICIT /SURPLUS]]&gt;0,"surplus"),"-")</f>
        <v>surplus</v>
      </c>
    </row>
    <row r="320" spans="1:21" ht="14.5">
      <c r="A320" s="8" t="s">
        <v>258</v>
      </c>
      <c r="B320" s="9">
        <v>45598</v>
      </c>
      <c r="C320" s="8" t="s">
        <v>22</v>
      </c>
      <c r="D320" s="8" t="s">
        <v>124</v>
      </c>
      <c r="E320" s="8" t="s">
        <v>24</v>
      </c>
      <c r="F320" s="31">
        <f>_xlfn.XLOOKUP(Table2[[#This Row],[Shoe style]],val[SHOE STYLE],val[UNIT PRICE])</f>
        <v>15204</v>
      </c>
      <c r="H320" s="11">
        <v>1</v>
      </c>
      <c r="I320" s="6">
        <f>IF(Table2[[#This Row],[Discount]]&lt;(Table2[[#This Row],[UNIT PRICE]]*Table2[[#This Row],[Quantity sold]]),Table2[[#This Row],[UNIT PRICE]]*Table2[[#This Row],[Quantity sold]]-Table2[[#This Row],[Discount]],0)</f>
        <v>15204</v>
      </c>
      <c r="J320" s="10">
        <v>33500</v>
      </c>
      <c r="K320" s="2">
        <f>_xlfn.XLOOKUP(Table2[[#This Row],[Shoe style]],val[SHOE STYLE],val[COST PRICE])</f>
        <v>12537</v>
      </c>
      <c r="L320" s="2">
        <f>(Table2[[#This Row],[COST PRICE]]*Table2[[#This Row],[Quantity sold]])</f>
        <v>12537</v>
      </c>
      <c r="M320" s="2">
        <f>Table2[[#This Row],[TOTAL SALES]]-Table2[[#This Row],[TOTAL COST PRICE]]</f>
        <v>2667</v>
      </c>
      <c r="N320" s="2">
        <f>IF(Table2[[#This Row],[Amount Paid]]&gt;0,(SUMIF(Table2[Order ID],Table2[[#This Row],[Order ID]],Table2[Amount Paid])-SUMIF(Table2[Order ID],Table2[[#This Row],[Order ID]],Table2[TOTAL SALES])),0)</f>
        <v>18296</v>
      </c>
      <c r="O320" s="8">
        <v>42</v>
      </c>
      <c r="P320" s="8" t="s">
        <v>25</v>
      </c>
      <c r="Q320" s="8" t="s">
        <v>26</v>
      </c>
      <c r="R320" s="8" t="s">
        <v>44</v>
      </c>
      <c r="S320" s="8" t="s">
        <v>28</v>
      </c>
      <c r="T320" s="8">
        <f t="shared" si="5"/>
        <v>0</v>
      </c>
      <c r="U320" t="str" cm="1">
        <f t="array" ref="U320">_xlfn.IFNA(_xlfn.IFS(Table2[[#This Row],[DEFICIT /SURPLUS]]&lt;0,"Deficit",Table2[[#This Row],[DEFICIT /SURPLUS]]&gt;0,"surplus"),"-")</f>
        <v>surplus</v>
      </c>
    </row>
    <row r="321" spans="1:21" ht="14.5">
      <c r="A321" s="8" t="s">
        <v>259</v>
      </c>
      <c r="B321" s="9">
        <v>45598</v>
      </c>
      <c r="C321" s="8" t="s">
        <v>22</v>
      </c>
      <c r="D321" s="8" t="s">
        <v>209</v>
      </c>
      <c r="E321" s="8" t="s">
        <v>50</v>
      </c>
      <c r="F321" s="31">
        <f>_xlfn.XLOOKUP(Table2[[#This Row],[Shoe style]],val[SHOE STYLE],val[UNIT PRICE])</f>
        <v>21405</v>
      </c>
      <c r="H321" s="11">
        <v>1</v>
      </c>
      <c r="I321" s="6">
        <f>IF(Table2[[#This Row],[Discount]]&lt;(Table2[[#This Row],[UNIT PRICE]]*Table2[[#This Row],[Quantity sold]]),Table2[[#This Row],[UNIT PRICE]]*Table2[[#This Row],[Quantity sold]]-Table2[[#This Row],[Discount]],0)</f>
        <v>21405</v>
      </c>
      <c r="J321" s="10">
        <v>33500</v>
      </c>
      <c r="K321" s="2">
        <f>_xlfn.XLOOKUP(Table2[[#This Row],[Shoe style]],val[SHOE STYLE],val[COST PRICE])</f>
        <v>17426</v>
      </c>
      <c r="L321" s="2">
        <f>(Table2[[#This Row],[COST PRICE]]*Table2[[#This Row],[Quantity sold]])</f>
        <v>17426</v>
      </c>
      <c r="M321" s="2">
        <f>Table2[[#This Row],[TOTAL SALES]]-Table2[[#This Row],[TOTAL COST PRICE]]</f>
        <v>3979</v>
      </c>
      <c r="N321" s="2">
        <f>IF(Table2[[#This Row],[Amount Paid]]&gt;0,(SUMIF(Table2[Order ID],Table2[[#This Row],[Order ID]],Table2[Amount Paid])-SUMIF(Table2[Order ID],Table2[[#This Row],[Order ID]],Table2[TOTAL SALES])),0)</f>
        <v>12095</v>
      </c>
      <c r="O321" s="8">
        <v>42</v>
      </c>
      <c r="P321" s="8" t="s">
        <v>25</v>
      </c>
      <c r="Q321" s="8" t="s">
        <v>26</v>
      </c>
      <c r="R321" s="8" t="s">
        <v>44</v>
      </c>
      <c r="S321" s="8" t="s">
        <v>28</v>
      </c>
      <c r="T321" s="8">
        <f t="shared" si="5"/>
        <v>0</v>
      </c>
      <c r="U321" t="str" cm="1">
        <f t="array" ref="U321">_xlfn.IFNA(_xlfn.IFS(Table2[[#This Row],[DEFICIT /SURPLUS]]&lt;0,"Deficit",Table2[[#This Row],[DEFICIT /SURPLUS]]&gt;0,"surplus"),"-")</f>
        <v>surplus</v>
      </c>
    </row>
    <row r="322" spans="1:21" ht="14.5">
      <c r="A322" s="8" t="s">
        <v>260</v>
      </c>
      <c r="B322" s="9">
        <v>45598</v>
      </c>
      <c r="C322" s="8" t="s">
        <v>22</v>
      </c>
      <c r="D322" s="8" t="s">
        <v>29</v>
      </c>
      <c r="E322" s="8" t="s">
        <v>61</v>
      </c>
      <c r="F322" s="31">
        <f>_xlfn.XLOOKUP(Table2[[#This Row],[Shoe style]],val[SHOE STYLE],val[UNIT PRICE])</f>
        <v>12395</v>
      </c>
      <c r="H322" s="11">
        <v>1</v>
      </c>
      <c r="I322" s="6">
        <f>IF(Table2[[#This Row],[Discount]]&lt;(Table2[[#This Row],[UNIT PRICE]]*Table2[[#This Row],[Quantity sold]]),Table2[[#This Row],[UNIT PRICE]]*Table2[[#This Row],[Quantity sold]]-Table2[[#This Row],[Discount]],0)</f>
        <v>12395</v>
      </c>
      <c r="J322" s="10">
        <v>178500</v>
      </c>
      <c r="K322" s="2">
        <f>_xlfn.XLOOKUP(Table2[[#This Row],[Shoe style]],val[SHOE STYLE],val[COST PRICE])</f>
        <v>7909</v>
      </c>
      <c r="L322" s="2">
        <f>(Table2[[#This Row],[COST PRICE]]*Table2[[#This Row],[Quantity sold]])</f>
        <v>7909</v>
      </c>
      <c r="M322" s="2">
        <f>Table2[[#This Row],[TOTAL SALES]]-Table2[[#This Row],[TOTAL COST PRICE]]</f>
        <v>4486</v>
      </c>
      <c r="N322" s="2">
        <f>IF(Table2[[#This Row],[Amount Paid]]&gt;0,(SUMIF(Table2[Order ID],Table2[[#This Row],[Order ID]],Table2[Amount Paid])-SUMIF(Table2[Order ID],Table2[[#This Row],[Order ID]],Table2[TOTAL SALES])),0)</f>
        <v>17365</v>
      </c>
      <c r="O322" s="8">
        <v>41</v>
      </c>
      <c r="P322" s="8" t="s">
        <v>25</v>
      </c>
      <c r="Q322" s="8" t="s">
        <v>26</v>
      </c>
      <c r="R322" s="8" t="s">
        <v>44</v>
      </c>
      <c r="S322" s="8" t="s">
        <v>28</v>
      </c>
      <c r="T322" s="8">
        <f t="shared" si="5"/>
        <v>0</v>
      </c>
      <c r="U322" t="str" cm="1">
        <f t="array" ref="U322">_xlfn.IFNA(_xlfn.IFS(Table2[[#This Row],[DEFICIT /SURPLUS]]&lt;0,"Deficit",Table2[[#This Row],[DEFICIT /SURPLUS]]&gt;0,"surplus"),"-")</f>
        <v>surplus</v>
      </c>
    </row>
    <row r="323" spans="1:21" ht="14.5">
      <c r="A323" s="8" t="s">
        <v>260</v>
      </c>
      <c r="B323" s="9">
        <v>45598</v>
      </c>
      <c r="C323" s="8" t="s">
        <v>22</v>
      </c>
      <c r="D323" s="8" t="s">
        <v>29</v>
      </c>
      <c r="E323" s="8" t="s">
        <v>63</v>
      </c>
      <c r="F323" s="31">
        <f>_xlfn.XLOOKUP(Table2[[#This Row],[Shoe style]],val[SHOE STYLE],val[UNIT PRICE])</f>
        <v>12395</v>
      </c>
      <c r="H323" s="11">
        <v>1</v>
      </c>
      <c r="I323" s="6">
        <f>IF(Table2[[#This Row],[Discount]]&lt;(Table2[[#This Row],[UNIT PRICE]]*Table2[[#This Row],[Quantity sold]]),Table2[[#This Row],[UNIT PRICE]]*Table2[[#This Row],[Quantity sold]]-Table2[[#This Row],[Discount]],0)</f>
        <v>12395</v>
      </c>
      <c r="K323" s="2">
        <f>_xlfn.XLOOKUP(Table2[[#This Row],[Shoe style]],val[SHOE STYLE],val[COST PRICE])</f>
        <v>7909</v>
      </c>
      <c r="L323" s="2">
        <f>(Table2[[#This Row],[COST PRICE]]*Table2[[#This Row],[Quantity sold]])</f>
        <v>7909</v>
      </c>
      <c r="M323" s="2">
        <f>Table2[[#This Row],[TOTAL SALES]]-Table2[[#This Row],[TOTAL COST PRICE]]</f>
        <v>4486</v>
      </c>
      <c r="N323" s="2">
        <f>IF(Table2[[#This Row],[Amount Paid]]&gt;0,(SUMIF(Table2[Order ID],Table2[[#This Row],[Order ID]],Table2[Amount Paid])-SUMIF(Table2[Order ID],Table2[[#This Row],[Order ID]],Table2[TOTAL SALES])),0)</f>
        <v>0</v>
      </c>
      <c r="O323" s="8">
        <v>41</v>
      </c>
      <c r="P323" s="8" t="s">
        <v>25</v>
      </c>
      <c r="Q323" s="8" t="s">
        <v>26</v>
      </c>
      <c r="R323" s="8" t="s">
        <v>44</v>
      </c>
      <c r="S323" s="8" t="s">
        <v>28</v>
      </c>
      <c r="T323" s="8">
        <f t="shared" si="5"/>
        <v>0</v>
      </c>
      <c r="U323" t="str" cm="1">
        <f t="array" ref="U323">_xlfn.IFNA(_xlfn.IFS(Table2[[#This Row],[DEFICIT /SURPLUS]]&lt;0,"Deficit",Table2[[#This Row],[DEFICIT /SURPLUS]]&gt;0,"surplus"),"-")</f>
        <v>-</v>
      </c>
    </row>
    <row r="324" spans="1:21" ht="14.5">
      <c r="A324" s="8" t="s">
        <v>260</v>
      </c>
      <c r="B324" s="9">
        <v>45598</v>
      </c>
      <c r="C324" s="8" t="s">
        <v>22</v>
      </c>
      <c r="D324" s="8" t="s">
        <v>29</v>
      </c>
      <c r="E324" s="8" t="s">
        <v>237</v>
      </c>
      <c r="F324" s="31">
        <f>_xlfn.XLOOKUP(Table2[[#This Row],[Shoe style]],val[SHOE STYLE],val[UNIT PRICE])</f>
        <v>12395</v>
      </c>
      <c r="H324" s="11">
        <v>1</v>
      </c>
      <c r="I324" s="6">
        <f>IF(Table2[[#This Row],[Discount]]&lt;(Table2[[#This Row],[UNIT PRICE]]*Table2[[#This Row],[Quantity sold]]),Table2[[#This Row],[UNIT PRICE]]*Table2[[#This Row],[Quantity sold]]-Table2[[#This Row],[Discount]],0)</f>
        <v>12395</v>
      </c>
      <c r="K324" s="2">
        <f>_xlfn.XLOOKUP(Table2[[#This Row],[Shoe style]],val[SHOE STYLE],val[COST PRICE])</f>
        <v>7909</v>
      </c>
      <c r="L324" s="2">
        <f>(Table2[[#This Row],[COST PRICE]]*Table2[[#This Row],[Quantity sold]])</f>
        <v>7909</v>
      </c>
      <c r="M324" s="2">
        <f>Table2[[#This Row],[TOTAL SALES]]-Table2[[#This Row],[TOTAL COST PRICE]]</f>
        <v>4486</v>
      </c>
      <c r="N324" s="2">
        <f>IF(Table2[[#This Row],[Amount Paid]]&gt;0,(SUMIF(Table2[Order ID],Table2[[#This Row],[Order ID]],Table2[Amount Paid])-SUMIF(Table2[Order ID],Table2[[#This Row],[Order ID]],Table2[TOTAL SALES])),0)</f>
        <v>0</v>
      </c>
      <c r="O324" s="8">
        <v>41</v>
      </c>
      <c r="P324" s="8" t="s">
        <v>25</v>
      </c>
      <c r="Q324" s="8" t="s">
        <v>26</v>
      </c>
      <c r="R324" s="8" t="s">
        <v>44</v>
      </c>
      <c r="S324" s="8" t="s">
        <v>28</v>
      </c>
      <c r="T324" s="8">
        <f t="shared" si="5"/>
        <v>0</v>
      </c>
      <c r="U324" t="str" cm="1">
        <f t="array" ref="U324">_xlfn.IFNA(_xlfn.IFS(Table2[[#This Row],[DEFICIT /SURPLUS]]&lt;0,"Deficit",Table2[[#This Row],[DEFICIT /SURPLUS]]&gt;0,"surplus"),"-")</f>
        <v>-</v>
      </c>
    </row>
    <row r="325" spans="1:21" ht="14.5">
      <c r="A325" s="8" t="s">
        <v>260</v>
      </c>
      <c r="B325" s="9">
        <v>45598</v>
      </c>
      <c r="C325" s="8" t="s">
        <v>22</v>
      </c>
      <c r="D325" s="8" t="s">
        <v>29</v>
      </c>
      <c r="E325" s="8" t="s">
        <v>261</v>
      </c>
      <c r="F325" s="31">
        <f>_xlfn.XLOOKUP(Table2[[#This Row],[Shoe style]],val[SHOE STYLE],val[UNIT PRICE])</f>
        <v>12395</v>
      </c>
      <c r="H325" s="11">
        <v>1</v>
      </c>
      <c r="I325" s="6">
        <f>IF(Table2[[#This Row],[Discount]]&lt;(Table2[[#This Row],[UNIT PRICE]]*Table2[[#This Row],[Quantity sold]]),Table2[[#This Row],[UNIT PRICE]]*Table2[[#This Row],[Quantity sold]]-Table2[[#This Row],[Discount]],0)</f>
        <v>12395</v>
      </c>
      <c r="K325" s="2">
        <f>_xlfn.XLOOKUP(Table2[[#This Row],[Shoe style]],val[SHOE STYLE],val[COST PRICE])</f>
        <v>7909</v>
      </c>
      <c r="L325" s="2">
        <f>(Table2[[#This Row],[COST PRICE]]*Table2[[#This Row],[Quantity sold]])</f>
        <v>7909</v>
      </c>
      <c r="M325" s="2">
        <f>Table2[[#This Row],[TOTAL SALES]]-Table2[[#This Row],[TOTAL COST PRICE]]</f>
        <v>4486</v>
      </c>
      <c r="N325" s="2">
        <f>IF(Table2[[#This Row],[Amount Paid]]&gt;0,(SUMIF(Table2[Order ID],Table2[[#This Row],[Order ID]],Table2[Amount Paid])-SUMIF(Table2[Order ID],Table2[[#This Row],[Order ID]],Table2[TOTAL SALES])),0)</f>
        <v>0</v>
      </c>
      <c r="O325" s="8">
        <v>41</v>
      </c>
      <c r="P325" s="8" t="s">
        <v>25</v>
      </c>
      <c r="Q325" s="8" t="s">
        <v>26</v>
      </c>
      <c r="R325" s="8" t="s">
        <v>44</v>
      </c>
      <c r="S325" s="8" t="s">
        <v>28</v>
      </c>
      <c r="T325" s="8">
        <f t="shared" si="5"/>
        <v>0</v>
      </c>
      <c r="U325" t="str" cm="1">
        <f t="array" ref="U325">_xlfn.IFNA(_xlfn.IFS(Table2[[#This Row],[DEFICIT /SURPLUS]]&lt;0,"Deficit",Table2[[#This Row],[DEFICIT /SURPLUS]]&gt;0,"surplus"),"-")</f>
        <v>-</v>
      </c>
    </row>
    <row r="326" spans="1:21" ht="14.5">
      <c r="A326" s="8" t="s">
        <v>260</v>
      </c>
      <c r="B326" s="9">
        <v>45598</v>
      </c>
      <c r="C326" s="8" t="s">
        <v>22</v>
      </c>
      <c r="D326" s="8" t="s">
        <v>29</v>
      </c>
      <c r="E326" s="8" t="s">
        <v>40</v>
      </c>
      <c r="F326" s="31">
        <f>_xlfn.XLOOKUP(Table2[[#This Row],[Shoe style]],val[SHOE STYLE],val[UNIT PRICE])</f>
        <v>12395</v>
      </c>
      <c r="H326" s="11">
        <v>1</v>
      </c>
      <c r="I326" s="6">
        <f>IF(Table2[[#This Row],[Discount]]&lt;(Table2[[#This Row],[UNIT PRICE]]*Table2[[#This Row],[Quantity sold]]),Table2[[#This Row],[UNIT PRICE]]*Table2[[#This Row],[Quantity sold]]-Table2[[#This Row],[Discount]],0)</f>
        <v>12395</v>
      </c>
      <c r="K326" s="2">
        <f>_xlfn.XLOOKUP(Table2[[#This Row],[Shoe style]],val[SHOE STYLE],val[COST PRICE])</f>
        <v>7909</v>
      </c>
      <c r="L326" s="2">
        <f>(Table2[[#This Row],[COST PRICE]]*Table2[[#This Row],[Quantity sold]])</f>
        <v>7909</v>
      </c>
      <c r="M326" s="2">
        <f>Table2[[#This Row],[TOTAL SALES]]-Table2[[#This Row],[TOTAL COST PRICE]]</f>
        <v>4486</v>
      </c>
      <c r="N326" s="2">
        <f>IF(Table2[[#This Row],[Amount Paid]]&gt;0,(SUMIF(Table2[Order ID],Table2[[#This Row],[Order ID]],Table2[Amount Paid])-SUMIF(Table2[Order ID],Table2[[#This Row],[Order ID]],Table2[TOTAL SALES])),0)</f>
        <v>0</v>
      </c>
      <c r="O326" s="8">
        <v>41</v>
      </c>
      <c r="P326" s="8" t="s">
        <v>25</v>
      </c>
      <c r="Q326" s="8" t="s">
        <v>26</v>
      </c>
      <c r="R326" s="8" t="s">
        <v>44</v>
      </c>
      <c r="S326" s="8" t="s">
        <v>28</v>
      </c>
      <c r="T326" s="8">
        <f t="shared" si="5"/>
        <v>0</v>
      </c>
      <c r="U326" t="str" cm="1">
        <f t="array" ref="U326">_xlfn.IFNA(_xlfn.IFS(Table2[[#This Row],[DEFICIT /SURPLUS]]&lt;0,"Deficit",Table2[[#This Row],[DEFICIT /SURPLUS]]&gt;0,"surplus"),"-")</f>
        <v>-</v>
      </c>
    </row>
    <row r="327" spans="1:21" ht="14.5">
      <c r="A327" s="8" t="s">
        <v>260</v>
      </c>
      <c r="B327" s="9">
        <v>45598</v>
      </c>
      <c r="C327" s="8" t="s">
        <v>22</v>
      </c>
      <c r="D327" s="8" t="s">
        <v>29</v>
      </c>
      <c r="E327" s="8" t="s">
        <v>55</v>
      </c>
      <c r="F327" s="31">
        <f>_xlfn.XLOOKUP(Table2[[#This Row],[Shoe style]],val[SHOE STYLE],val[UNIT PRICE])</f>
        <v>12395</v>
      </c>
      <c r="H327" s="11">
        <v>1</v>
      </c>
      <c r="I327" s="6">
        <f>IF(Table2[[#This Row],[Discount]]&lt;(Table2[[#This Row],[UNIT PRICE]]*Table2[[#This Row],[Quantity sold]]),Table2[[#This Row],[UNIT PRICE]]*Table2[[#This Row],[Quantity sold]]-Table2[[#This Row],[Discount]],0)</f>
        <v>12395</v>
      </c>
      <c r="K327" s="2">
        <f>_xlfn.XLOOKUP(Table2[[#This Row],[Shoe style]],val[SHOE STYLE],val[COST PRICE])</f>
        <v>7909</v>
      </c>
      <c r="L327" s="2">
        <f>(Table2[[#This Row],[COST PRICE]]*Table2[[#This Row],[Quantity sold]])</f>
        <v>7909</v>
      </c>
      <c r="M327" s="2">
        <f>Table2[[#This Row],[TOTAL SALES]]-Table2[[#This Row],[TOTAL COST PRICE]]</f>
        <v>4486</v>
      </c>
      <c r="N327" s="2">
        <f>IF(Table2[[#This Row],[Amount Paid]]&gt;0,(SUMIF(Table2[Order ID],Table2[[#This Row],[Order ID]],Table2[Amount Paid])-SUMIF(Table2[Order ID],Table2[[#This Row],[Order ID]],Table2[TOTAL SALES])),0)</f>
        <v>0</v>
      </c>
      <c r="O327" s="8">
        <v>41</v>
      </c>
      <c r="P327" s="8" t="s">
        <v>25</v>
      </c>
      <c r="Q327" s="8" t="s">
        <v>26</v>
      </c>
      <c r="R327" s="8" t="s">
        <v>44</v>
      </c>
      <c r="S327" s="8" t="s">
        <v>28</v>
      </c>
      <c r="T327" s="8">
        <f t="shared" si="5"/>
        <v>0</v>
      </c>
      <c r="U327" t="str" cm="1">
        <f t="array" ref="U327">_xlfn.IFNA(_xlfn.IFS(Table2[[#This Row],[DEFICIT /SURPLUS]]&lt;0,"Deficit",Table2[[#This Row],[DEFICIT /SURPLUS]]&gt;0,"surplus"),"-")</f>
        <v>-</v>
      </c>
    </row>
    <row r="328" spans="1:21" ht="14.5">
      <c r="A328" s="8" t="s">
        <v>260</v>
      </c>
      <c r="B328" s="9">
        <v>45598</v>
      </c>
      <c r="C328" s="8" t="s">
        <v>22</v>
      </c>
      <c r="D328" s="8" t="s">
        <v>29</v>
      </c>
      <c r="E328" s="8" t="s">
        <v>38</v>
      </c>
      <c r="F328" s="31">
        <f>_xlfn.XLOOKUP(Table2[[#This Row],[Shoe style]],val[SHOE STYLE],val[UNIT PRICE])</f>
        <v>12395</v>
      </c>
      <c r="H328" s="11">
        <v>1</v>
      </c>
      <c r="I328" s="6">
        <f>IF(Table2[[#This Row],[Discount]]&lt;(Table2[[#This Row],[UNIT PRICE]]*Table2[[#This Row],[Quantity sold]]),Table2[[#This Row],[UNIT PRICE]]*Table2[[#This Row],[Quantity sold]]-Table2[[#This Row],[Discount]],0)</f>
        <v>12395</v>
      </c>
      <c r="K328" s="2">
        <f>_xlfn.XLOOKUP(Table2[[#This Row],[Shoe style]],val[SHOE STYLE],val[COST PRICE])</f>
        <v>7909</v>
      </c>
      <c r="L328" s="2">
        <f>(Table2[[#This Row],[COST PRICE]]*Table2[[#This Row],[Quantity sold]])</f>
        <v>7909</v>
      </c>
      <c r="M328" s="2">
        <f>Table2[[#This Row],[TOTAL SALES]]-Table2[[#This Row],[TOTAL COST PRICE]]</f>
        <v>4486</v>
      </c>
      <c r="N328" s="2">
        <f>IF(Table2[[#This Row],[Amount Paid]]&gt;0,(SUMIF(Table2[Order ID],Table2[[#This Row],[Order ID]],Table2[Amount Paid])-SUMIF(Table2[Order ID],Table2[[#This Row],[Order ID]],Table2[TOTAL SALES])),0)</f>
        <v>0</v>
      </c>
      <c r="O328" s="8">
        <v>41</v>
      </c>
      <c r="P328" s="8" t="s">
        <v>25</v>
      </c>
      <c r="Q328" s="8" t="s">
        <v>26</v>
      </c>
      <c r="R328" s="8" t="s">
        <v>44</v>
      </c>
      <c r="S328" s="8" t="s">
        <v>28</v>
      </c>
      <c r="T328" s="8">
        <f t="shared" si="5"/>
        <v>0</v>
      </c>
      <c r="U328" t="str" cm="1">
        <f t="array" ref="U328">_xlfn.IFNA(_xlfn.IFS(Table2[[#This Row],[DEFICIT /SURPLUS]]&lt;0,"Deficit",Table2[[#This Row],[DEFICIT /SURPLUS]]&gt;0,"surplus"),"-")</f>
        <v>-</v>
      </c>
    </row>
    <row r="329" spans="1:21" ht="14.5">
      <c r="A329" s="8" t="s">
        <v>260</v>
      </c>
      <c r="B329" s="9">
        <v>45598</v>
      </c>
      <c r="C329" s="8" t="s">
        <v>22</v>
      </c>
      <c r="D329" s="8" t="s">
        <v>29</v>
      </c>
      <c r="E329" s="8" t="s">
        <v>122</v>
      </c>
      <c r="F329" s="31">
        <f>_xlfn.XLOOKUP(Table2[[#This Row],[Shoe style]],val[SHOE STYLE],val[UNIT PRICE])</f>
        <v>12395</v>
      </c>
      <c r="H329" s="11">
        <v>1</v>
      </c>
      <c r="I329" s="6">
        <f>IF(Table2[[#This Row],[Discount]]&lt;(Table2[[#This Row],[UNIT PRICE]]*Table2[[#This Row],[Quantity sold]]),Table2[[#This Row],[UNIT PRICE]]*Table2[[#This Row],[Quantity sold]]-Table2[[#This Row],[Discount]],0)</f>
        <v>12395</v>
      </c>
      <c r="K329" s="2">
        <f>_xlfn.XLOOKUP(Table2[[#This Row],[Shoe style]],val[SHOE STYLE],val[COST PRICE])</f>
        <v>7909</v>
      </c>
      <c r="L329" s="2">
        <f>(Table2[[#This Row],[COST PRICE]]*Table2[[#This Row],[Quantity sold]])</f>
        <v>7909</v>
      </c>
      <c r="M329" s="2">
        <f>Table2[[#This Row],[TOTAL SALES]]-Table2[[#This Row],[TOTAL COST PRICE]]</f>
        <v>4486</v>
      </c>
      <c r="N329" s="2">
        <f>IF(Table2[[#This Row],[Amount Paid]]&gt;0,(SUMIF(Table2[Order ID],Table2[[#This Row],[Order ID]],Table2[Amount Paid])-SUMIF(Table2[Order ID],Table2[[#This Row],[Order ID]],Table2[TOTAL SALES])),0)</f>
        <v>0</v>
      </c>
      <c r="O329" s="8">
        <v>41</v>
      </c>
      <c r="P329" s="8" t="s">
        <v>25</v>
      </c>
      <c r="Q329" s="8" t="s">
        <v>26</v>
      </c>
      <c r="R329" s="8" t="s">
        <v>44</v>
      </c>
      <c r="S329" s="8" t="s">
        <v>28</v>
      </c>
      <c r="T329" s="8">
        <f t="shared" si="5"/>
        <v>0</v>
      </c>
      <c r="U329" t="str" cm="1">
        <f t="array" ref="U329">_xlfn.IFNA(_xlfn.IFS(Table2[[#This Row],[DEFICIT /SURPLUS]]&lt;0,"Deficit",Table2[[#This Row],[DEFICIT /SURPLUS]]&gt;0,"surplus"),"-")</f>
        <v>-</v>
      </c>
    </row>
    <row r="330" spans="1:21" ht="14.5">
      <c r="A330" s="8" t="s">
        <v>260</v>
      </c>
      <c r="B330" s="9">
        <v>45598</v>
      </c>
      <c r="C330" s="8" t="s">
        <v>22</v>
      </c>
      <c r="D330" s="8" t="s">
        <v>29</v>
      </c>
      <c r="E330" s="8" t="s">
        <v>24</v>
      </c>
      <c r="F330" s="31">
        <f>_xlfn.XLOOKUP(Table2[[#This Row],[Shoe style]],val[SHOE STYLE],val[UNIT PRICE])</f>
        <v>12395</v>
      </c>
      <c r="H330" s="11">
        <v>1</v>
      </c>
      <c r="I330" s="6">
        <f>IF(Table2[[#This Row],[Discount]]&lt;(Table2[[#This Row],[UNIT PRICE]]*Table2[[#This Row],[Quantity sold]]),Table2[[#This Row],[UNIT PRICE]]*Table2[[#This Row],[Quantity sold]]-Table2[[#This Row],[Discount]],0)</f>
        <v>12395</v>
      </c>
      <c r="K330" s="2">
        <f>_xlfn.XLOOKUP(Table2[[#This Row],[Shoe style]],val[SHOE STYLE],val[COST PRICE])</f>
        <v>7909</v>
      </c>
      <c r="L330" s="2">
        <f>(Table2[[#This Row],[COST PRICE]]*Table2[[#This Row],[Quantity sold]])</f>
        <v>7909</v>
      </c>
      <c r="M330" s="2">
        <f>Table2[[#This Row],[TOTAL SALES]]-Table2[[#This Row],[TOTAL COST PRICE]]</f>
        <v>4486</v>
      </c>
      <c r="N330" s="2">
        <f>IF(Table2[[#This Row],[Amount Paid]]&gt;0,(SUMIF(Table2[Order ID],Table2[[#This Row],[Order ID]],Table2[Amount Paid])-SUMIF(Table2[Order ID],Table2[[#This Row],[Order ID]],Table2[TOTAL SALES])),0)</f>
        <v>0</v>
      </c>
      <c r="O330" s="8">
        <v>41</v>
      </c>
      <c r="P330" s="8" t="s">
        <v>25</v>
      </c>
      <c r="Q330" s="8" t="s">
        <v>26</v>
      </c>
      <c r="R330" s="8" t="s">
        <v>44</v>
      </c>
      <c r="S330" s="8" t="s">
        <v>28</v>
      </c>
      <c r="T330" s="8">
        <f t="shared" si="5"/>
        <v>0</v>
      </c>
      <c r="U330" t="str" cm="1">
        <f t="array" ref="U330">_xlfn.IFNA(_xlfn.IFS(Table2[[#This Row],[DEFICIT /SURPLUS]]&lt;0,"Deficit",Table2[[#This Row],[DEFICIT /SURPLUS]]&gt;0,"surplus"),"-")</f>
        <v>-</v>
      </c>
    </row>
    <row r="331" spans="1:21" ht="14.5">
      <c r="A331" s="8" t="s">
        <v>260</v>
      </c>
      <c r="B331" s="9">
        <v>45598</v>
      </c>
      <c r="C331" s="8" t="s">
        <v>22</v>
      </c>
      <c r="D331" s="8" t="s">
        <v>29</v>
      </c>
      <c r="E331" s="8" t="s">
        <v>43</v>
      </c>
      <c r="F331" s="31">
        <f>_xlfn.XLOOKUP(Table2[[#This Row],[Shoe style]],val[SHOE STYLE],val[UNIT PRICE])</f>
        <v>12395</v>
      </c>
      <c r="H331" s="11">
        <v>1</v>
      </c>
      <c r="I331" s="6">
        <f>IF(Table2[[#This Row],[Discount]]&lt;(Table2[[#This Row],[UNIT PRICE]]*Table2[[#This Row],[Quantity sold]]),Table2[[#This Row],[UNIT PRICE]]*Table2[[#This Row],[Quantity sold]]-Table2[[#This Row],[Discount]],0)</f>
        <v>12395</v>
      </c>
      <c r="K331" s="2">
        <f>_xlfn.XLOOKUP(Table2[[#This Row],[Shoe style]],val[SHOE STYLE],val[COST PRICE])</f>
        <v>7909</v>
      </c>
      <c r="L331" s="2">
        <f>(Table2[[#This Row],[COST PRICE]]*Table2[[#This Row],[Quantity sold]])</f>
        <v>7909</v>
      </c>
      <c r="M331" s="2">
        <f>Table2[[#This Row],[TOTAL SALES]]-Table2[[#This Row],[TOTAL COST PRICE]]</f>
        <v>4486</v>
      </c>
      <c r="N331" s="2">
        <f>IF(Table2[[#This Row],[Amount Paid]]&gt;0,(SUMIF(Table2[Order ID],Table2[[#This Row],[Order ID]],Table2[Amount Paid])-SUMIF(Table2[Order ID],Table2[[#This Row],[Order ID]],Table2[TOTAL SALES])),0)</f>
        <v>0</v>
      </c>
      <c r="O331" s="8">
        <v>41</v>
      </c>
      <c r="P331" s="8" t="s">
        <v>25</v>
      </c>
      <c r="Q331" s="8" t="s">
        <v>26</v>
      </c>
      <c r="R331" s="8" t="s">
        <v>44</v>
      </c>
      <c r="S331" s="8" t="s">
        <v>28</v>
      </c>
      <c r="T331" s="8">
        <f t="shared" si="5"/>
        <v>0</v>
      </c>
      <c r="U331" t="str" cm="1">
        <f t="array" ref="U331">_xlfn.IFNA(_xlfn.IFS(Table2[[#This Row],[DEFICIT /SURPLUS]]&lt;0,"Deficit",Table2[[#This Row],[DEFICIT /SURPLUS]]&gt;0,"surplus"),"-")</f>
        <v>-</v>
      </c>
    </row>
    <row r="332" spans="1:21" ht="14.5">
      <c r="A332" s="8" t="s">
        <v>260</v>
      </c>
      <c r="B332" s="9">
        <v>45598</v>
      </c>
      <c r="C332" s="8" t="s">
        <v>22</v>
      </c>
      <c r="D332" s="8" t="s">
        <v>29</v>
      </c>
      <c r="E332" s="8" t="s">
        <v>61</v>
      </c>
      <c r="F332" s="31">
        <f>_xlfn.XLOOKUP(Table2[[#This Row],[Shoe style]],val[SHOE STYLE],val[UNIT PRICE])</f>
        <v>12395</v>
      </c>
      <c r="H332" s="11">
        <v>1</v>
      </c>
      <c r="I332" s="6">
        <f>IF(Table2[[#This Row],[Discount]]&lt;(Table2[[#This Row],[UNIT PRICE]]*Table2[[#This Row],[Quantity sold]]),Table2[[#This Row],[UNIT PRICE]]*Table2[[#This Row],[Quantity sold]]-Table2[[#This Row],[Discount]],0)</f>
        <v>12395</v>
      </c>
      <c r="K332" s="2">
        <f>_xlfn.XLOOKUP(Table2[[#This Row],[Shoe style]],val[SHOE STYLE],val[COST PRICE])</f>
        <v>7909</v>
      </c>
      <c r="L332" s="2">
        <f>(Table2[[#This Row],[COST PRICE]]*Table2[[#This Row],[Quantity sold]])</f>
        <v>7909</v>
      </c>
      <c r="M332" s="2">
        <f>Table2[[#This Row],[TOTAL SALES]]-Table2[[#This Row],[TOTAL COST PRICE]]</f>
        <v>4486</v>
      </c>
      <c r="N332" s="2">
        <f>IF(Table2[[#This Row],[Amount Paid]]&gt;0,(SUMIF(Table2[Order ID],Table2[[#This Row],[Order ID]],Table2[Amount Paid])-SUMIF(Table2[Order ID],Table2[[#This Row],[Order ID]],Table2[TOTAL SALES])),0)</f>
        <v>0</v>
      </c>
      <c r="O332" s="8">
        <v>41</v>
      </c>
      <c r="P332" s="8" t="s">
        <v>25</v>
      </c>
      <c r="Q332" s="8" t="s">
        <v>26</v>
      </c>
      <c r="R332" s="8" t="s">
        <v>44</v>
      </c>
      <c r="S332" s="8" t="s">
        <v>28</v>
      </c>
      <c r="T332" s="8">
        <f t="shared" si="5"/>
        <v>0</v>
      </c>
      <c r="U332" t="str" cm="1">
        <f t="array" ref="U332">_xlfn.IFNA(_xlfn.IFS(Table2[[#This Row],[DEFICIT /SURPLUS]]&lt;0,"Deficit",Table2[[#This Row],[DEFICIT /SURPLUS]]&gt;0,"surplus"),"-")</f>
        <v>-</v>
      </c>
    </row>
    <row r="333" spans="1:21" ht="14.5">
      <c r="A333" s="8" t="s">
        <v>260</v>
      </c>
      <c r="B333" s="9">
        <v>45598</v>
      </c>
      <c r="C333" s="8" t="s">
        <v>22</v>
      </c>
      <c r="D333" s="8" t="s">
        <v>29</v>
      </c>
      <c r="E333" s="8" t="s">
        <v>50</v>
      </c>
      <c r="F333" s="31">
        <f>_xlfn.XLOOKUP(Table2[[#This Row],[Shoe style]],val[SHOE STYLE],val[UNIT PRICE])</f>
        <v>12395</v>
      </c>
      <c r="H333" s="11">
        <v>1</v>
      </c>
      <c r="I333" s="6">
        <f>IF(Table2[[#This Row],[Discount]]&lt;(Table2[[#This Row],[UNIT PRICE]]*Table2[[#This Row],[Quantity sold]]),Table2[[#This Row],[UNIT PRICE]]*Table2[[#This Row],[Quantity sold]]-Table2[[#This Row],[Discount]],0)</f>
        <v>12395</v>
      </c>
      <c r="K333" s="2">
        <f>_xlfn.XLOOKUP(Table2[[#This Row],[Shoe style]],val[SHOE STYLE],val[COST PRICE])</f>
        <v>7909</v>
      </c>
      <c r="L333" s="2">
        <f>(Table2[[#This Row],[COST PRICE]]*Table2[[#This Row],[Quantity sold]])</f>
        <v>7909</v>
      </c>
      <c r="M333" s="2">
        <f>Table2[[#This Row],[TOTAL SALES]]-Table2[[#This Row],[TOTAL COST PRICE]]</f>
        <v>4486</v>
      </c>
      <c r="N333" s="2">
        <f>IF(Table2[[#This Row],[Amount Paid]]&gt;0,(SUMIF(Table2[Order ID],Table2[[#This Row],[Order ID]],Table2[Amount Paid])-SUMIF(Table2[Order ID],Table2[[#This Row],[Order ID]],Table2[TOTAL SALES])),0)</f>
        <v>0</v>
      </c>
      <c r="O333" s="8">
        <v>41</v>
      </c>
      <c r="P333" s="8" t="s">
        <v>25</v>
      </c>
      <c r="Q333" s="8" t="s">
        <v>26</v>
      </c>
      <c r="R333" s="8" t="s">
        <v>44</v>
      </c>
      <c r="S333" s="8" t="s">
        <v>28</v>
      </c>
      <c r="T333" s="8">
        <f t="shared" si="5"/>
        <v>0</v>
      </c>
      <c r="U333" t="str" cm="1">
        <f t="array" ref="U333">_xlfn.IFNA(_xlfn.IFS(Table2[[#This Row],[DEFICIT /SURPLUS]]&lt;0,"Deficit",Table2[[#This Row],[DEFICIT /SURPLUS]]&gt;0,"surplus"),"-")</f>
        <v>-</v>
      </c>
    </row>
    <row r="334" spans="1:21" ht="14.5">
      <c r="A334" s="8" t="s">
        <v>260</v>
      </c>
      <c r="B334" s="9">
        <v>45598</v>
      </c>
      <c r="C334" s="8" t="s">
        <v>22</v>
      </c>
      <c r="D334" s="8" t="s">
        <v>29</v>
      </c>
      <c r="E334" s="8" t="s">
        <v>78</v>
      </c>
      <c r="F334" s="31">
        <f>_xlfn.XLOOKUP(Table2[[#This Row],[Shoe style]],val[SHOE STYLE],val[UNIT PRICE])</f>
        <v>12395</v>
      </c>
      <c r="H334" s="11">
        <v>1</v>
      </c>
      <c r="I334" s="6">
        <f>IF(Table2[[#This Row],[Discount]]&lt;(Table2[[#This Row],[UNIT PRICE]]*Table2[[#This Row],[Quantity sold]]),Table2[[#This Row],[UNIT PRICE]]*Table2[[#This Row],[Quantity sold]]-Table2[[#This Row],[Discount]],0)</f>
        <v>12395</v>
      </c>
      <c r="K334" s="2">
        <f>_xlfn.XLOOKUP(Table2[[#This Row],[Shoe style]],val[SHOE STYLE],val[COST PRICE])</f>
        <v>7909</v>
      </c>
      <c r="L334" s="2">
        <f>(Table2[[#This Row],[COST PRICE]]*Table2[[#This Row],[Quantity sold]])</f>
        <v>7909</v>
      </c>
      <c r="M334" s="2">
        <f>Table2[[#This Row],[TOTAL SALES]]-Table2[[#This Row],[TOTAL COST PRICE]]</f>
        <v>4486</v>
      </c>
      <c r="N334" s="2">
        <f>IF(Table2[[#This Row],[Amount Paid]]&gt;0,(SUMIF(Table2[Order ID],Table2[[#This Row],[Order ID]],Table2[Amount Paid])-SUMIF(Table2[Order ID],Table2[[#This Row],[Order ID]],Table2[TOTAL SALES])),0)</f>
        <v>0</v>
      </c>
      <c r="O334" s="8">
        <v>41</v>
      </c>
      <c r="P334" s="8" t="s">
        <v>25</v>
      </c>
      <c r="Q334" s="8" t="s">
        <v>26</v>
      </c>
      <c r="R334" s="8" t="s">
        <v>44</v>
      </c>
      <c r="S334" s="8" t="s">
        <v>28</v>
      </c>
      <c r="T334" s="8">
        <f t="shared" si="5"/>
        <v>0</v>
      </c>
      <c r="U334" t="str" cm="1">
        <f t="array" ref="U334">_xlfn.IFNA(_xlfn.IFS(Table2[[#This Row],[DEFICIT /SURPLUS]]&lt;0,"Deficit",Table2[[#This Row],[DEFICIT /SURPLUS]]&gt;0,"surplus"),"-")</f>
        <v>-</v>
      </c>
    </row>
    <row r="335" spans="1:21" ht="14.5">
      <c r="A335" s="8" t="s">
        <v>262</v>
      </c>
      <c r="B335" s="9">
        <v>45599</v>
      </c>
      <c r="C335" s="8" t="s">
        <v>22</v>
      </c>
      <c r="D335" s="8" t="s">
        <v>29</v>
      </c>
      <c r="E335" s="8" t="s">
        <v>30</v>
      </c>
      <c r="F335" s="31">
        <f>_xlfn.XLOOKUP(Table2[[#This Row],[Shoe style]],val[SHOE STYLE],val[UNIT PRICE])</f>
        <v>12395</v>
      </c>
      <c r="H335" s="11">
        <v>1</v>
      </c>
      <c r="I335" s="6">
        <f>IF(Table2[[#This Row],[Discount]]&lt;(Table2[[#This Row],[UNIT PRICE]]*Table2[[#This Row],[Quantity sold]]),Table2[[#This Row],[UNIT PRICE]]*Table2[[#This Row],[Quantity sold]]-Table2[[#This Row],[Discount]],0)</f>
        <v>12395</v>
      </c>
      <c r="J335" s="10">
        <v>19500</v>
      </c>
      <c r="K335" s="2">
        <f>_xlfn.XLOOKUP(Table2[[#This Row],[Shoe style]],val[SHOE STYLE],val[COST PRICE])</f>
        <v>7909</v>
      </c>
      <c r="L335" s="2">
        <f>(Table2[[#This Row],[COST PRICE]]*Table2[[#This Row],[Quantity sold]])</f>
        <v>7909</v>
      </c>
      <c r="M335" s="2">
        <f>Table2[[#This Row],[TOTAL SALES]]-Table2[[#This Row],[TOTAL COST PRICE]]</f>
        <v>4486</v>
      </c>
      <c r="N335" s="2">
        <f>IF(Table2[[#This Row],[Amount Paid]]&gt;0,(SUMIF(Table2[Order ID],Table2[[#This Row],[Order ID]],Table2[Amount Paid])-SUMIF(Table2[Order ID],Table2[[#This Row],[Order ID]],Table2[TOTAL SALES])),0)</f>
        <v>7105</v>
      </c>
      <c r="O335" s="8">
        <v>41</v>
      </c>
      <c r="P335" s="8" t="s">
        <v>25</v>
      </c>
      <c r="Q335" s="8" t="s">
        <v>26</v>
      </c>
      <c r="R335" s="8" t="s">
        <v>44</v>
      </c>
      <c r="S335" s="8" t="s">
        <v>28</v>
      </c>
      <c r="T335" s="8">
        <f t="shared" si="5"/>
        <v>0</v>
      </c>
      <c r="U335" t="str" cm="1">
        <f t="array" ref="U335">_xlfn.IFNA(_xlfn.IFS(Table2[[#This Row],[DEFICIT /SURPLUS]]&lt;0,"Deficit",Table2[[#This Row],[DEFICIT /SURPLUS]]&gt;0,"surplus"),"-")</f>
        <v>surplus</v>
      </c>
    </row>
    <row r="336" spans="1:21" ht="14.5">
      <c r="A336" s="8" t="s">
        <v>263</v>
      </c>
      <c r="B336" s="9">
        <v>45599</v>
      </c>
      <c r="C336" s="8" t="s">
        <v>104</v>
      </c>
      <c r="D336" s="8" t="s">
        <v>49</v>
      </c>
      <c r="E336" s="8" t="s">
        <v>43</v>
      </c>
      <c r="F336" s="31">
        <f>_xlfn.XLOOKUP(Table2[[#This Row],[Shoe style]],val[SHOE STYLE],val[UNIT PRICE])</f>
        <v>20500</v>
      </c>
      <c r="H336" s="11">
        <v>1</v>
      </c>
      <c r="I336" s="6">
        <f>IF(Table2[[#This Row],[Discount]]&lt;(Table2[[#This Row],[UNIT PRICE]]*Table2[[#This Row],[Quantity sold]]),Table2[[#This Row],[UNIT PRICE]]*Table2[[#This Row],[Quantity sold]]-Table2[[#This Row],[Discount]],0)</f>
        <v>20500</v>
      </c>
      <c r="J336" s="10">
        <v>31500</v>
      </c>
      <c r="K336" s="2">
        <f>_xlfn.XLOOKUP(Table2[[#This Row],[Shoe style]],val[SHOE STYLE],val[COST PRICE])</f>
        <v>17339</v>
      </c>
      <c r="L336" s="2">
        <f>(Table2[[#This Row],[COST PRICE]]*Table2[[#This Row],[Quantity sold]])</f>
        <v>17339</v>
      </c>
      <c r="M336" s="2">
        <f>Table2[[#This Row],[TOTAL SALES]]-Table2[[#This Row],[TOTAL COST PRICE]]</f>
        <v>3161</v>
      </c>
      <c r="N336" s="2">
        <f>IF(Table2[[#This Row],[Amount Paid]]&gt;0,(SUMIF(Table2[Order ID],Table2[[#This Row],[Order ID]],Table2[Amount Paid])-SUMIF(Table2[Order ID],Table2[[#This Row],[Order ID]],Table2[TOTAL SALES])),0)</f>
        <v>-7</v>
      </c>
      <c r="O336" s="8">
        <v>41</v>
      </c>
      <c r="P336" s="8" t="s">
        <v>25</v>
      </c>
      <c r="Q336" s="8" t="s">
        <v>26</v>
      </c>
      <c r="R336" s="8" t="s">
        <v>44</v>
      </c>
      <c r="S336" s="8" t="s">
        <v>28</v>
      </c>
      <c r="T336" s="8">
        <f t="shared" si="5"/>
        <v>0</v>
      </c>
      <c r="U336" t="str" cm="1">
        <f t="array" ref="U336">_xlfn.IFNA(_xlfn.IFS(Table2[[#This Row],[DEFICIT /SURPLUS]]&lt;0,"Deficit",Table2[[#This Row],[DEFICIT /SURPLUS]]&gt;0,"surplus"),"-")</f>
        <v>Deficit</v>
      </c>
    </row>
    <row r="337" spans="1:21" ht="14.5">
      <c r="A337" s="8" t="s">
        <v>263</v>
      </c>
      <c r="B337" s="9">
        <v>45599</v>
      </c>
      <c r="C337" s="8" t="s">
        <v>104</v>
      </c>
      <c r="D337" s="8" t="s">
        <v>51</v>
      </c>
      <c r="E337" s="8" t="s">
        <v>43</v>
      </c>
      <c r="F337" s="31">
        <f>_xlfn.XLOOKUP(Table2[[#This Row],[Shoe style]],val[SHOE STYLE],val[UNIT PRICE])</f>
        <v>11007</v>
      </c>
      <c r="H337" s="11">
        <v>1</v>
      </c>
      <c r="I337" s="6">
        <f>IF(Table2[[#This Row],[Discount]]&lt;(Table2[[#This Row],[UNIT PRICE]]*Table2[[#This Row],[Quantity sold]]),Table2[[#This Row],[UNIT PRICE]]*Table2[[#This Row],[Quantity sold]]-Table2[[#This Row],[Discount]],0)</f>
        <v>11007</v>
      </c>
      <c r="K337" s="2">
        <f>_xlfn.XLOOKUP(Table2[[#This Row],[Shoe style]],val[SHOE STYLE],val[COST PRICE])</f>
        <v>8327</v>
      </c>
      <c r="L337" s="2">
        <f>(Table2[[#This Row],[COST PRICE]]*Table2[[#This Row],[Quantity sold]])</f>
        <v>8327</v>
      </c>
      <c r="M337" s="2">
        <f>Table2[[#This Row],[TOTAL SALES]]-Table2[[#This Row],[TOTAL COST PRICE]]</f>
        <v>2680</v>
      </c>
      <c r="N337" s="2">
        <f>IF(Table2[[#This Row],[Amount Paid]]&gt;0,(SUMIF(Table2[Order ID],Table2[[#This Row],[Order ID]],Table2[Amount Paid])-SUMIF(Table2[Order ID],Table2[[#This Row],[Order ID]],Table2[TOTAL SALES])),0)</f>
        <v>0</v>
      </c>
      <c r="O337" s="8">
        <v>41</v>
      </c>
      <c r="P337" s="8" t="s">
        <v>25</v>
      </c>
      <c r="Q337" s="8" t="s">
        <v>26</v>
      </c>
      <c r="R337" s="8" t="s">
        <v>44</v>
      </c>
      <c r="S337" s="8" t="s">
        <v>28</v>
      </c>
      <c r="T337" s="8">
        <f t="shared" si="5"/>
        <v>0</v>
      </c>
      <c r="U337" t="str" cm="1">
        <f t="array" ref="U337">_xlfn.IFNA(_xlfn.IFS(Table2[[#This Row],[DEFICIT /SURPLUS]]&lt;0,"Deficit",Table2[[#This Row],[DEFICIT /SURPLUS]]&gt;0,"surplus"),"-")</f>
        <v>-</v>
      </c>
    </row>
    <row r="338" spans="1:21" ht="14.5">
      <c r="A338" s="8" t="s">
        <v>264</v>
      </c>
      <c r="B338" s="9">
        <v>45600</v>
      </c>
      <c r="C338" s="8" t="s">
        <v>139</v>
      </c>
      <c r="D338" s="8" t="s">
        <v>86</v>
      </c>
      <c r="E338" s="8" t="s">
        <v>24</v>
      </c>
      <c r="F338" s="31">
        <f>_xlfn.XLOOKUP(Table2[[#This Row],[Shoe style]],val[SHOE STYLE],val[UNIT PRICE])</f>
        <v>18539</v>
      </c>
      <c r="H338" s="11">
        <v>1</v>
      </c>
      <c r="I338" s="6">
        <f>IF(Table2[[#This Row],[Discount]]&lt;(Table2[[#This Row],[UNIT PRICE]]*Table2[[#This Row],[Quantity sold]]),Table2[[#This Row],[UNIT PRICE]]*Table2[[#This Row],[Quantity sold]]-Table2[[#This Row],[Discount]],0)</f>
        <v>18539</v>
      </c>
      <c r="J338" s="10">
        <v>35500</v>
      </c>
      <c r="K338" s="2">
        <f>_xlfn.XLOOKUP(Table2[[#This Row],[Shoe style]],val[SHOE STYLE],val[COST PRICE])</f>
        <v>15497</v>
      </c>
      <c r="L338" s="2">
        <f>(Table2[[#This Row],[COST PRICE]]*Table2[[#This Row],[Quantity sold]])</f>
        <v>15497</v>
      </c>
      <c r="M338" s="2">
        <f>Table2[[#This Row],[TOTAL SALES]]-Table2[[#This Row],[TOTAL COST PRICE]]</f>
        <v>3042</v>
      </c>
      <c r="N338" s="2">
        <f>IF(Table2[[#This Row],[Amount Paid]]&gt;0,(SUMIF(Table2[Order ID],Table2[[#This Row],[Order ID]],Table2[Amount Paid])-SUMIF(Table2[Order ID],Table2[[#This Row],[Order ID]],Table2[TOTAL SALES])),0)</f>
        <v>-1578</v>
      </c>
      <c r="O338" s="8">
        <v>38</v>
      </c>
      <c r="P338" s="8" t="s">
        <v>25</v>
      </c>
      <c r="Q338" s="8" t="s">
        <v>26</v>
      </c>
      <c r="R338" s="8" t="s">
        <v>44</v>
      </c>
      <c r="S338" s="8" t="s">
        <v>28</v>
      </c>
      <c r="T338" s="8">
        <f t="shared" si="5"/>
        <v>0</v>
      </c>
      <c r="U338" t="str" cm="1">
        <f t="array" ref="U338">_xlfn.IFNA(_xlfn.IFS(Table2[[#This Row],[DEFICIT /SURPLUS]]&lt;0,"Deficit",Table2[[#This Row],[DEFICIT /SURPLUS]]&gt;0,"surplus"),"-")</f>
        <v>Deficit</v>
      </c>
    </row>
    <row r="339" spans="1:21" ht="14.5">
      <c r="A339" s="8" t="s">
        <v>264</v>
      </c>
      <c r="B339" s="9">
        <v>45600</v>
      </c>
      <c r="C339" s="8" t="s">
        <v>139</v>
      </c>
      <c r="D339" s="8" t="s">
        <v>86</v>
      </c>
      <c r="E339" s="8" t="s">
        <v>24</v>
      </c>
      <c r="F339" s="31">
        <f>_xlfn.XLOOKUP(Table2[[#This Row],[Shoe style]],val[SHOE STYLE],val[UNIT PRICE])</f>
        <v>18539</v>
      </c>
      <c r="H339" s="11">
        <v>1</v>
      </c>
      <c r="I339" s="6">
        <f>IF(Table2[[#This Row],[Discount]]&lt;(Table2[[#This Row],[UNIT PRICE]]*Table2[[#This Row],[Quantity sold]]),Table2[[#This Row],[UNIT PRICE]]*Table2[[#This Row],[Quantity sold]]-Table2[[#This Row],[Discount]],0)</f>
        <v>18539</v>
      </c>
      <c r="K339" s="2">
        <f>_xlfn.XLOOKUP(Table2[[#This Row],[Shoe style]],val[SHOE STYLE],val[COST PRICE])</f>
        <v>15497</v>
      </c>
      <c r="L339" s="2">
        <f>(Table2[[#This Row],[COST PRICE]]*Table2[[#This Row],[Quantity sold]])</f>
        <v>15497</v>
      </c>
      <c r="M339" s="2">
        <f>Table2[[#This Row],[TOTAL SALES]]-Table2[[#This Row],[TOTAL COST PRICE]]</f>
        <v>3042</v>
      </c>
      <c r="N339" s="2">
        <f>IF(Table2[[#This Row],[Amount Paid]]&gt;0,(SUMIF(Table2[Order ID],Table2[[#This Row],[Order ID]],Table2[Amount Paid])-SUMIF(Table2[Order ID],Table2[[#This Row],[Order ID]],Table2[TOTAL SALES])),0)</f>
        <v>0</v>
      </c>
      <c r="O339" s="8">
        <v>38</v>
      </c>
      <c r="P339" s="8" t="s">
        <v>25</v>
      </c>
      <c r="Q339" s="8" t="s">
        <v>26</v>
      </c>
      <c r="R339" s="8" t="s">
        <v>44</v>
      </c>
      <c r="S339" s="8" t="s">
        <v>28</v>
      </c>
      <c r="T339" s="8">
        <f t="shared" si="5"/>
        <v>0</v>
      </c>
      <c r="U339" t="str" cm="1">
        <f t="array" ref="U339">_xlfn.IFNA(_xlfn.IFS(Table2[[#This Row],[DEFICIT /SURPLUS]]&lt;0,"Deficit",Table2[[#This Row],[DEFICIT /SURPLUS]]&gt;0,"surplus"),"-")</f>
        <v>-</v>
      </c>
    </row>
    <row r="340" spans="1:21" ht="14.5">
      <c r="A340" s="8" t="s">
        <v>265</v>
      </c>
      <c r="B340" s="9">
        <v>45601</v>
      </c>
      <c r="C340" s="8" t="s">
        <v>22</v>
      </c>
      <c r="D340" s="8" t="s">
        <v>68</v>
      </c>
      <c r="E340" s="8" t="s">
        <v>61</v>
      </c>
      <c r="F340" s="31">
        <f>_xlfn.XLOOKUP(Table2[[#This Row],[Shoe style]],val[SHOE STYLE],val[UNIT PRICE])</f>
        <v>10509</v>
      </c>
      <c r="H340" s="11">
        <v>1</v>
      </c>
      <c r="I340" s="6">
        <f>IF(Table2[[#This Row],[Discount]]&lt;(Table2[[#This Row],[UNIT PRICE]]*Table2[[#This Row],[Quantity sold]]),Table2[[#This Row],[UNIT PRICE]]*Table2[[#This Row],[Quantity sold]]-Table2[[#This Row],[Discount]],0)</f>
        <v>10509</v>
      </c>
      <c r="J340" s="10">
        <v>29000</v>
      </c>
      <c r="K340" s="2">
        <f>_xlfn.XLOOKUP(Table2[[#This Row],[Shoe style]],val[SHOE STYLE],val[COST PRICE])</f>
        <v>7573</v>
      </c>
      <c r="L340" s="2">
        <f>(Table2[[#This Row],[COST PRICE]]*Table2[[#This Row],[Quantity sold]])</f>
        <v>7573</v>
      </c>
      <c r="M340" s="2">
        <f>Table2[[#This Row],[TOTAL SALES]]-Table2[[#This Row],[TOTAL COST PRICE]]</f>
        <v>2936</v>
      </c>
      <c r="N340" s="2">
        <f>IF(Table2[[#This Row],[Amount Paid]]&gt;0,(SUMIF(Table2[Order ID],Table2[[#This Row],[Order ID]],Table2[Amount Paid])-SUMIF(Table2[Order ID],Table2[[#This Row],[Order ID]],Table2[TOTAL SALES])),0)</f>
        <v>877</v>
      </c>
      <c r="O340" s="8">
        <v>39</v>
      </c>
      <c r="P340" s="8" t="s">
        <v>25</v>
      </c>
      <c r="Q340" s="8" t="s">
        <v>26</v>
      </c>
      <c r="R340" s="8" t="s">
        <v>27</v>
      </c>
      <c r="S340" s="8" t="s">
        <v>28</v>
      </c>
      <c r="T340" s="8">
        <f t="shared" si="5"/>
        <v>0</v>
      </c>
      <c r="U340" t="str" cm="1">
        <f t="array" ref="U340">_xlfn.IFNA(_xlfn.IFS(Table2[[#This Row],[DEFICIT /SURPLUS]]&lt;0,"Deficit",Table2[[#This Row],[DEFICIT /SURPLUS]]&gt;0,"surplus"),"-")</f>
        <v>surplus</v>
      </c>
    </row>
    <row r="341" spans="1:21" ht="14.5">
      <c r="A341" s="8" t="s">
        <v>265</v>
      </c>
      <c r="B341" s="9">
        <v>45601</v>
      </c>
      <c r="C341" s="8" t="s">
        <v>22</v>
      </c>
      <c r="D341" s="8" t="s">
        <v>42</v>
      </c>
      <c r="E341" s="8" t="s">
        <v>24</v>
      </c>
      <c r="F341" s="31">
        <f>_xlfn.XLOOKUP(Table2[[#This Row],[Shoe style]],val[SHOE STYLE],val[UNIT PRICE])</f>
        <v>17614</v>
      </c>
      <c r="H341" s="11">
        <v>1</v>
      </c>
      <c r="I341" s="6">
        <f>IF(Table2[[#This Row],[Discount]]&lt;(Table2[[#This Row],[UNIT PRICE]]*Table2[[#This Row],[Quantity sold]]),Table2[[#This Row],[UNIT PRICE]]*Table2[[#This Row],[Quantity sold]]-Table2[[#This Row],[Discount]],0)</f>
        <v>17614</v>
      </c>
      <c r="K341" s="2">
        <f>_xlfn.XLOOKUP(Table2[[#This Row],[Shoe style]],val[SHOE STYLE],val[COST PRICE])</f>
        <v>14912</v>
      </c>
      <c r="L341" s="2">
        <f>(Table2[[#This Row],[COST PRICE]]*Table2[[#This Row],[Quantity sold]])</f>
        <v>14912</v>
      </c>
      <c r="M341" s="2">
        <f>Table2[[#This Row],[TOTAL SALES]]-Table2[[#This Row],[TOTAL COST PRICE]]</f>
        <v>2702</v>
      </c>
      <c r="N341" s="2">
        <f>IF(Table2[[#This Row],[Amount Paid]]&gt;0,(SUMIF(Table2[Order ID],Table2[[#This Row],[Order ID]],Table2[Amount Paid])-SUMIF(Table2[Order ID],Table2[[#This Row],[Order ID]],Table2[TOTAL SALES])),0)</f>
        <v>0</v>
      </c>
      <c r="O341" s="8">
        <v>39</v>
      </c>
      <c r="P341" s="8" t="s">
        <v>25</v>
      </c>
      <c r="Q341" s="8" t="s">
        <v>26</v>
      </c>
      <c r="R341" s="8" t="s">
        <v>27</v>
      </c>
      <c r="S341" s="8" t="s">
        <v>28</v>
      </c>
      <c r="T341" s="8">
        <f t="shared" si="5"/>
        <v>0</v>
      </c>
      <c r="U341" t="str" cm="1">
        <f t="array" ref="U341">_xlfn.IFNA(_xlfn.IFS(Table2[[#This Row],[DEFICIT /SURPLUS]]&lt;0,"Deficit",Table2[[#This Row],[DEFICIT /SURPLUS]]&gt;0,"surplus"),"-")</f>
        <v>-</v>
      </c>
    </row>
    <row r="342" spans="1:21" ht="14.5">
      <c r="A342" s="8" t="s">
        <v>266</v>
      </c>
      <c r="B342" s="9">
        <v>45606</v>
      </c>
      <c r="C342" s="8" t="s">
        <v>22</v>
      </c>
      <c r="D342" s="8" t="s">
        <v>42</v>
      </c>
      <c r="E342" s="8" t="s">
        <v>24</v>
      </c>
      <c r="F342" s="31">
        <f>_xlfn.XLOOKUP(Table2[[#This Row],[Shoe style]],val[SHOE STYLE],val[UNIT PRICE])</f>
        <v>17614</v>
      </c>
      <c r="H342" s="11">
        <v>1</v>
      </c>
      <c r="I342" s="6">
        <f>IF(Table2[[#This Row],[Discount]]&lt;(Table2[[#This Row],[UNIT PRICE]]*Table2[[#This Row],[Quantity sold]]),Table2[[#This Row],[UNIT PRICE]]*Table2[[#This Row],[Quantity sold]]-Table2[[#This Row],[Discount]],0)</f>
        <v>17614</v>
      </c>
      <c r="J342" s="10">
        <v>15000</v>
      </c>
      <c r="K342" s="2">
        <f>_xlfn.XLOOKUP(Table2[[#This Row],[Shoe style]],val[SHOE STYLE],val[COST PRICE])</f>
        <v>14912</v>
      </c>
      <c r="L342" s="2">
        <f>(Table2[[#This Row],[COST PRICE]]*Table2[[#This Row],[Quantity sold]])</f>
        <v>14912</v>
      </c>
      <c r="M342" s="2">
        <f>Table2[[#This Row],[TOTAL SALES]]-Table2[[#This Row],[TOTAL COST PRICE]]</f>
        <v>2702</v>
      </c>
      <c r="N342" s="2">
        <f>IF(Table2[[#This Row],[Amount Paid]]&gt;0,(SUMIF(Table2[Order ID],Table2[[#This Row],[Order ID]],Table2[Amount Paid])-SUMIF(Table2[Order ID],Table2[[#This Row],[Order ID]],Table2[TOTAL SALES])),0)</f>
        <v>-2614</v>
      </c>
      <c r="O342" s="8">
        <v>39</v>
      </c>
      <c r="P342" s="8" t="s">
        <v>25</v>
      </c>
      <c r="Q342" s="8" t="s">
        <v>26</v>
      </c>
      <c r="R342" s="8" t="s">
        <v>27</v>
      </c>
      <c r="S342" s="8" t="s">
        <v>28</v>
      </c>
      <c r="T342" s="8">
        <f t="shared" si="5"/>
        <v>0</v>
      </c>
      <c r="U342" t="str" cm="1">
        <f t="array" ref="U342">_xlfn.IFNA(_xlfn.IFS(Table2[[#This Row],[DEFICIT /SURPLUS]]&lt;0,"Deficit",Table2[[#This Row],[DEFICIT /SURPLUS]]&gt;0,"surplus"),"-")</f>
        <v>Deficit</v>
      </c>
    </row>
    <row r="343" spans="1:21" ht="14.5">
      <c r="A343" s="8" t="s">
        <v>267</v>
      </c>
      <c r="B343" s="9">
        <v>45606</v>
      </c>
      <c r="C343" s="8" t="s">
        <v>22</v>
      </c>
      <c r="D343" s="8" t="s">
        <v>42</v>
      </c>
      <c r="E343" s="8" t="s">
        <v>24</v>
      </c>
      <c r="F343" s="31">
        <f>_xlfn.XLOOKUP(Table2[[#This Row],[Shoe style]],val[SHOE STYLE],val[UNIT PRICE])</f>
        <v>17614</v>
      </c>
      <c r="H343" s="11">
        <v>1</v>
      </c>
      <c r="I343" s="6">
        <f>IF(Table2[[#This Row],[Discount]]&lt;(Table2[[#This Row],[UNIT PRICE]]*Table2[[#This Row],[Quantity sold]]),Table2[[#This Row],[UNIT PRICE]]*Table2[[#This Row],[Quantity sold]]-Table2[[#This Row],[Discount]],0)</f>
        <v>17614</v>
      </c>
      <c r="J343" s="10">
        <v>34000</v>
      </c>
      <c r="K343" s="2">
        <f>_xlfn.XLOOKUP(Table2[[#This Row],[Shoe style]],val[SHOE STYLE],val[COST PRICE])</f>
        <v>14912</v>
      </c>
      <c r="L343" s="2">
        <f>(Table2[[#This Row],[COST PRICE]]*Table2[[#This Row],[Quantity sold]])</f>
        <v>14912</v>
      </c>
      <c r="M343" s="2">
        <f>Table2[[#This Row],[TOTAL SALES]]-Table2[[#This Row],[TOTAL COST PRICE]]</f>
        <v>2702</v>
      </c>
      <c r="N343" s="2">
        <f>IF(Table2[[#This Row],[Amount Paid]]&gt;0,(SUMIF(Table2[Order ID],Table2[[#This Row],[Order ID]],Table2[Amount Paid])-SUMIF(Table2[Order ID],Table2[[#This Row],[Order ID]],Table2[TOTAL SALES])),0)</f>
        <v>16386</v>
      </c>
      <c r="O343" s="8">
        <v>39</v>
      </c>
      <c r="P343" s="8" t="s">
        <v>25</v>
      </c>
      <c r="Q343" s="8" t="s">
        <v>26</v>
      </c>
      <c r="R343" s="8" t="s">
        <v>27</v>
      </c>
      <c r="S343" s="8" t="s">
        <v>28</v>
      </c>
      <c r="T343" s="8">
        <f t="shared" si="5"/>
        <v>0</v>
      </c>
      <c r="U343" t="str" cm="1">
        <f t="array" ref="U343">_xlfn.IFNA(_xlfn.IFS(Table2[[#This Row],[DEFICIT /SURPLUS]]&lt;0,"Deficit",Table2[[#This Row],[DEFICIT /SURPLUS]]&gt;0,"surplus"),"-")</f>
        <v>surplus</v>
      </c>
    </row>
    <row r="344" spans="1:21" ht="14.5">
      <c r="A344" s="8" t="s">
        <v>268</v>
      </c>
      <c r="B344" s="9">
        <v>45606</v>
      </c>
      <c r="C344" s="8" t="s">
        <v>22</v>
      </c>
      <c r="D344" s="8" t="s">
        <v>42</v>
      </c>
      <c r="E344" s="8" t="s">
        <v>24</v>
      </c>
      <c r="F344" s="31">
        <f>_xlfn.XLOOKUP(Table2[[#This Row],[Shoe style]],val[SHOE STYLE],val[UNIT PRICE])</f>
        <v>17614</v>
      </c>
      <c r="H344" s="11">
        <v>1</v>
      </c>
      <c r="I344" s="6">
        <f>IF(Table2[[#This Row],[Discount]]&lt;(Table2[[#This Row],[UNIT PRICE]]*Table2[[#This Row],[Quantity sold]]),Table2[[#This Row],[UNIT PRICE]]*Table2[[#This Row],[Quantity sold]]-Table2[[#This Row],[Discount]],0)</f>
        <v>17614</v>
      </c>
      <c r="J344" s="10">
        <v>37000</v>
      </c>
      <c r="K344" s="2">
        <f>_xlfn.XLOOKUP(Table2[[#This Row],[Shoe style]],val[SHOE STYLE],val[COST PRICE])</f>
        <v>14912</v>
      </c>
      <c r="L344" s="2">
        <f>(Table2[[#This Row],[COST PRICE]]*Table2[[#This Row],[Quantity sold]])</f>
        <v>14912</v>
      </c>
      <c r="M344" s="2">
        <f>Table2[[#This Row],[TOTAL SALES]]-Table2[[#This Row],[TOTAL COST PRICE]]</f>
        <v>2702</v>
      </c>
      <c r="N344" s="2">
        <f>IF(Table2[[#This Row],[Amount Paid]]&gt;0,(SUMIF(Table2[Order ID],Table2[[#This Row],[Order ID]],Table2[Amount Paid])-SUMIF(Table2[Order ID],Table2[[#This Row],[Order ID]],Table2[TOTAL SALES])),0)</f>
        <v>19386</v>
      </c>
      <c r="O344" s="8">
        <v>39</v>
      </c>
      <c r="P344" s="8" t="s">
        <v>25</v>
      </c>
      <c r="Q344" s="8" t="s">
        <v>26</v>
      </c>
      <c r="R344" s="8" t="s">
        <v>27</v>
      </c>
      <c r="S344" s="8" t="s">
        <v>28</v>
      </c>
      <c r="T344" s="8">
        <f t="shared" si="5"/>
        <v>0</v>
      </c>
      <c r="U344" t="str" cm="1">
        <f t="array" ref="U344">_xlfn.IFNA(_xlfn.IFS(Table2[[#This Row],[DEFICIT /SURPLUS]]&lt;0,"Deficit",Table2[[#This Row],[DEFICIT /SURPLUS]]&gt;0,"surplus"),"-")</f>
        <v>surplus</v>
      </c>
    </row>
    <row r="345" spans="1:21" ht="14.5">
      <c r="A345" s="8" t="s">
        <v>269</v>
      </c>
      <c r="B345" s="9">
        <v>45606</v>
      </c>
      <c r="C345" s="8" t="s">
        <v>22</v>
      </c>
      <c r="D345" s="8" t="s">
        <v>42</v>
      </c>
      <c r="E345" s="8" t="s">
        <v>24</v>
      </c>
      <c r="F345" s="31">
        <f>_xlfn.XLOOKUP(Table2[[#This Row],[Shoe style]],val[SHOE STYLE],val[UNIT PRICE])</f>
        <v>17614</v>
      </c>
      <c r="H345" s="11">
        <v>1</v>
      </c>
      <c r="I345" s="6">
        <f>IF(Table2[[#This Row],[Discount]]&lt;(Table2[[#This Row],[UNIT PRICE]]*Table2[[#This Row],[Quantity sold]]),Table2[[#This Row],[UNIT PRICE]]*Table2[[#This Row],[Quantity sold]]-Table2[[#This Row],[Discount]],0)</f>
        <v>17614</v>
      </c>
      <c r="J345" s="10">
        <v>37000</v>
      </c>
      <c r="K345" s="2">
        <f>_xlfn.XLOOKUP(Table2[[#This Row],[Shoe style]],val[SHOE STYLE],val[COST PRICE])</f>
        <v>14912</v>
      </c>
      <c r="L345" s="2">
        <f>(Table2[[#This Row],[COST PRICE]]*Table2[[#This Row],[Quantity sold]])</f>
        <v>14912</v>
      </c>
      <c r="M345" s="2">
        <f>Table2[[#This Row],[TOTAL SALES]]-Table2[[#This Row],[TOTAL COST PRICE]]</f>
        <v>2702</v>
      </c>
      <c r="N345" s="2">
        <f>IF(Table2[[#This Row],[Amount Paid]]&gt;0,(SUMIF(Table2[Order ID],Table2[[#This Row],[Order ID]],Table2[Amount Paid])-SUMIF(Table2[Order ID],Table2[[#This Row],[Order ID]],Table2[TOTAL SALES])),0)</f>
        <v>1772</v>
      </c>
      <c r="O345" s="8">
        <v>39</v>
      </c>
      <c r="P345" s="8" t="s">
        <v>25</v>
      </c>
      <c r="Q345" s="8" t="s">
        <v>26</v>
      </c>
      <c r="R345" s="8" t="s">
        <v>27</v>
      </c>
      <c r="S345" s="8" t="s">
        <v>28</v>
      </c>
      <c r="T345" s="8">
        <f t="shared" si="5"/>
        <v>0</v>
      </c>
      <c r="U345" t="str" cm="1">
        <f t="array" ref="U345">_xlfn.IFNA(_xlfn.IFS(Table2[[#This Row],[DEFICIT /SURPLUS]]&lt;0,"Deficit",Table2[[#This Row],[DEFICIT /SURPLUS]]&gt;0,"surplus"),"-")</f>
        <v>surplus</v>
      </c>
    </row>
    <row r="346" spans="1:21" ht="14.5">
      <c r="A346" s="8" t="s">
        <v>269</v>
      </c>
      <c r="B346" s="9">
        <v>45606</v>
      </c>
      <c r="C346" s="8" t="s">
        <v>22</v>
      </c>
      <c r="D346" s="8" t="s">
        <v>42</v>
      </c>
      <c r="E346" s="8" t="s">
        <v>24</v>
      </c>
      <c r="F346" s="31">
        <f>_xlfn.XLOOKUP(Table2[[#This Row],[Shoe style]],val[SHOE STYLE],val[UNIT PRICE])</f>
        <v>17614</v>
      </c>
      <c r="H346" s="11">
        <v>1</v>
      </c>
      <c r="I346" s="6">
        <f>IF(Table2[[#This Row],[Discount]]&lt;(Table2[[#This Row],[UNIT PRICE]]*Table2[[#This Row],[Quantity sold]]),Table2[[#This Row],[UNIT PRICE]]*Table2[[#This Row],[Quantity sold]]-Table2[[#This Row],[Discount]],0)</f>
        <v>17614</v>
      </c>
      <c r="K346" s="2">
        <f>_xlfn.XLOOKUP(Table2[[#This Row],[Shoe style]],val[SHOE STYLE],val[COST PRICE])</f>
        <v>14912</v>
      </c>
      <c r="L346" s="2">
        <f>(Table2[[#This Row],[COST PRICE]]*Table2[[#This Row],[Quantity sold]])</f>
        <v>14912</v>
      </c>
      <c r="M346" s="2">
        <f>Table2[[#This Row],[TOTAL SALES]]-Table2[[#This Row],[TOTAL COST PRICE]]</f>
        <v>2702</v>
      </c>
      <c r="N346" s="2">
        <f>IF(Table2[[#This Row],[Amount Paid]]&gt;0,(SUMIF(Table2[Order ID],Table2[[#This Row],[Order ID]],Table2[Amount Paid])-SUMIF(Table2[Order ID],Table2[[#This Row],[Order ID]],Table2[TOTAL SALES])),0)</f>
        <v>0</v>
      </c>
      <c r="O346" s="8">
        <v>39</v>
      </c>
      <c r="P346" s="8" t="s">
        <v>25</v>
      </c>
      <c r="Q346" s="8" t="s">
        <v>26</v>
      </c>
      <c r="R346" s="8" t="s">
        <v>27</v>
      </c>
      <c r="S346" s="8" t="s">
        <v>28</v>
      </c>
      <c r="T346" s="8">
        <f t="shared" si="5"/>
        <v>0</v>
      </c>
      <c r="U346" t="str" cm="1">
        <f t="array" ref="U346">_xlfn.IFNA(_xlfn.IFS(Table2[[#This Row],[DEFICIT /SURPLUS]]&lt;0,"Deficit",Table2[[#This Row],[DEFICIT /SURPLUS]]&gt;0,"surplus"),"-")</f>
        <v>-</v>
      </c>
    </row>
    <row r="347" spans="1:21" ht="14.5">
      <c r="A347" s="8" t="s">
        <v>270</v>
      </c>
      <c r="B347" s="9">
        <v>45606</v>
      </c>
      <c r="C347" s="8" t="s">
        <v>22</v>
      </c>
      <c r="D347" s="8" t="s">
        <v>42</v>
      </c>
      <c r="E347" s="8" t="s">
        <v>24</v>
      </c>
      <c r="F347" s="31">
        <f>_xlfn.XLOOKUP(Table2[[#This Row],[Shoe style]],val[SHOE STYLE],val[UNIT PRICE])</f>
        <v>17614</v>
      </c>
      <c r="H347" s="11">
        <v>1</v>
      </c>
      <c r="I347" s="6">
        <f>IF(Table2[[#This Row],[Discount]]&lt;(Table2[[#This Row],[UNIT PRICE]]*Table2[[#This Row],[Quantity sold]]),Table2[[#This Row],[UNIT PRICE]]*Table2[[#This Row],[Quantity sold]]-Table2[[#This Row],[Discount]],0)</f>
        <v>17614</v>
      </c>
      <c r="J347" s="10">
        <v>85000</v>
      </c>
      <c r="K347" s="2">
        <f>_xlfn.XLOOKUP(Table2[[#This Row],[Shoe style]],val[SHOE STYLE],val[COST PRICE])</f>
        <v>14912</v>
      </c>
      <c r="L347" s="2">
        <f>(Table2[[#This Row],[COST PRICE]]*Table2[[#This Row],[Quantity sold]])</f>
        <v>14912</v>
      </c>
      <c r="M347" s="2">
        <f>Table2[[#This Row],[TOTAL SALES]]-Table2[[#This Row],[TOTAL COST PRICE]]</f>
        <v>2702</v>
      </c>
      <c r="N347" s="2">
        <f>IF(Table2[[#This Row],[Amount Paid]]&gt;0,(SUMIF(Table2[Order ID],Table2[[#This Row],[Order ID]],Table2[Amount Paid])-SUMIF(Table2[Order ID],Table2[[#This Row],[Order ID]],Table2[TOTAL SALES])),0)</f>
        <v>67386</v>
      </c>
      <c r="O347" s="8">
        <v>39</v>
      </c>
      <c r="P347" s="8" t="s">
        <v>25</v>
      </c>
      <c r="Q347" s="8" t="s">
        <v>26</v>
      </c>
      <c r="R347" s="8" t="s">
        <v>27</v>
      </c>
      <c r="S347" s="8" t="s">
        <v>28</v>
      </c>
      <c r="T347" s="8">
        <f t="shared" si="5"/>
        <v>0</v>
      </c>
      <c r="U347" t="str" cm="1">
        <f t="array" ref="U347">_xlfn.IFNA(_xlfn.IFS(Table2[[#This Row],[DEFICIT /SURPLUS]]&lt;0,"Deficit",Table2[[#This Row],[DEFICIT /SURPLUS]]&gt;0,"surplus"),"-")</f>
        <v>surplus</v>
      </c>
    </row>
    <row r="348" spans="1:21" ht="14.5">
      <c r="A348" s="8" t="s">
        <v>271</v>
      </c>
      <c r="B348" s="9">
        <v>45606</v>
      </c>
      <c r="C348" s="8" t="s">
        <v>22</v>
      </c>
      <c r="D348" s="8" t="s">
        <v>42</v>
      </c>
      <c r="E348" s="8" t="s">
        <v>24</v>
      </c>
      <c r="F348" s="31">
        <f>_xlfn.XLOOKUP(Table2[[#This Row],[Shoe style]],val[SHOE STYLE],val[UNIT PRICE])</f>
        <v>17614</v>
      </c>
      <c r="H348" s="11">
        <v>1</v>
      </c>
      <c r="I348" s="6">
        <f>IF(Table2[[#This Row],[Discount]]&lt;(Table2[[#This Row],[UNIT PRICE]]*Table2[[#This Row],[Quantity sold]]),Table2[[#This Row],[UNIT PRICE]]*Table2[[#This Row],[Quantity sold]]-Table2[[#This Row],[Discount]],0)</f>
        <v>17614</v>
      </c>
      <c r="J348" s="10">
        <v>9000</v>
      </c>
      <c r="K348" s="2">
        <f>_xlfn.XLOOKUP(Table2[[#This Row],[Shoe style]],val[SHOE STYLE],val[COST PRICE])</f>
        <v>14912</v>
      </c>
      <c r="L348" s="2">
        <f>(Table2[[#This Row],[COST PRICE]]*Table2[[#This Row],[Quantity sold]])</f>
        <v>14912</v>
      </c>
      <c r="M348" s="2">
        <f>Table2[[#This Row],[TOTAL SALES]]-Table2[[#This Row],[TOTAL COST PRICE]]</f>
        <v>2702</v>
      </c>
      <c r="N348" s="2">
        <f>IF(Table2[[#This Row],[Amount Paid]]&gt;0,(SUMIF(Table2[Order ID],Table2[[#This Row],[Order ID]],Table2[Amount Paid])-SUMIF(Table2[Order ID],Table2[[#This Row],[Order ID]],Table2[TOTAL SALES])),0)</f>
        <v>-8614</v>
      </c>
      <c r="O348" s="8">
        <v>39</v>
      </c>
      <c r="P348" s="8" t="s">
        <v>25</v>
      </c>
      <c r="Q348" s="8" t="s">
        <v>26</v>
      </c>
      <c r="R348" s="8" t="s">
        <v>27</v>
      </c>
      <c r="S348" s="8" t="s">
        <v>28</v>
      </c>
      <c r="T348" s="8">
        <f t="shared" si="5"/>
        <v>0</v>
      </c>
      <c r="U348" t="str" cm="1">
        <f t="array" ref="U348">_xlfn.IFNA(_xlfn.IFS(Table2[[#This Row],[DEFICIT /SURPLUS]]&lt;0,"Deficit",Table2[[#This Row],[DEFICIT /SURPLUS]]&gt;0,"surplus"),"-")</f>
        <v>Deficit</v>
      </c>
    </row>
    <row r="349" spans="1:21" ht="14.5">
      <c r="A349" s="8" t="s">
        <v>272</v>
      </c>
      <c r="B349" s="9">
        <v>45604</v>
      </c>
      <c r="C349" s="8" t="s">
        <v>112</v>
      </c>
      <c r="D349" s="8" t="s">
        <v>53</v>
      </c>
      <c r="E349" s="8" t="s">
        <v>78</v>
      </c>
      <c r="F349" s="31">
        <f>_xlfn.XLOOKUP(Table2[[#This Row],[Shoe style]],val[SHOE STYLE],val[UNIT PRICE])</f>
        <v>9838</v>
      </c>
      <c r="H349" s="11">
        <v>1</v>
      </c>
      <c r="I349" s="6">
        <f>IF(Table2[[#This Row],[Discount]]&lt;(Table2[[#This Row],[UNIT PRICE]]*Table2[[#This Row],[Quantity sold]]),Table2[[#This Row],[UNIT PRICE]]*Table2[[#This Row],[Quantity sold]]-Table2[[#This Row],[Discount]],0)</f>
        <v>9838</v>
      </c>
      <c r="J349" s="10">
        <v>14000</v>
      </c>
      <c r="K349" s="2">
        <f>_xlfn.XLOOKUP(Table2[[#This Row],[Shoe style]],val[SHOE STYLE],val[COST PRICE])</f>
        <v>6687</v>
      </c>
      <c r="L349" s="2">
        <f>(Table2[[#This Row],[COST PRICE]]*Table2[[#This Row],[Quantity sold]])</f>
        <v>6687</v>
      </c>
      <c r="M349" s="2">
        <f>Table2[[#This Row],[TOTAL SALES]]-Table2[[#This Row],[TOTAL COST PRICE]]</f>
        <v>3151</v>
      </c>
      <c r="N349" s="2">
        <f>IF(Table2[[#This Row],[Amount Paid]]&gt;0,(SUMIF(Table2[Order ID],Table2[[#This Row],[Order ID]],Table2[Amount Paid])-SUMIF(Table2[Order ID],Table2[[#This Row],[Order ID]],Table2[TOTAL SALES])),0)</f>
        <v>4162</v>
      </c>
      <c r="O349" s="8">
        <v>39</v>
      </c>
      <c r="P349" s="8" t="s">
        <v>25</v>
      </c>
      <c r="Q349" s="8" t="s">
        <v>26</v>
      </c>
      <c r="R349" s="8" t="s">
        <v>27</v>
      </c>
      <c r="S349" s="8" t="s">
        <v>28</v>
      </c>
      <c r="T349" s="8">
        <f t="shared" si="5"/>
        <v>0</v>
      </c>
      <c r="U349" t="str" cm="1">
        <f t="array" ref="U349">_xlfn.IFNA(_xlfn.IFS(Table2[[#This Row],[DEFICIT /SURPLUS]]&lt;0,"Deficit",Table2[[#This Row],[DEFICIT /SURPLUS]]&gt;0,"surplus"),"-")</f>
        <v>surplus</v>
      </c>
    </row>
    <row r="350" spans="1:21" ht="14.5">
      <c r="A350" s="8" t="s">
        <v>273</v>
      </c>
      <c r="B350" s="9">
        <v>45608</v>
      </c>
      <c r="C350" s="8" t="s">
        <v>22</v>
      </c>
      <c r="D350" s="8" t="s">
        <v>232</v>
      </c>
      <c r="E350" s="8" t="s">
        <v>50</v>
      </c>
      <c r="F350" s="31">
        <f>_xlfn.XLOOKUP(Table2[[#This Row],[Shoe style]],val[SHOE STYLE],val[UNIT PRICE])</f>
        <v>14097</v>
      </c>
      <c r="H350" s="11">
        <v>1</v>
      </c>
      <c r="I350" s="6">
        <f>IF(Table2[[#This Row],[Discount]]&lt;(Table2[[#This Row],[UNIT PRICE]]*Table2[[#This Row],[Quantity sold]]),Table2[[#This Row],[UNIT PRICE]]*Table2[[#This Row],[Quantity sold]]-Table2[[#This Row],[Discount]],0)</f>
        <v>14097</v>
      </c>
      <c r="J350" s="10">
        <v>21500</v>
      </c>
      <c r="K350" s="2">
        <f>_xlfn.XLOOKUP(Table2[[#This Row],[Shoe style]],val[SHOE STYLE],val[COST PRICE])</f>
        <v>9386</v>
      </c>
      <c r="L350" s="2">
        <f>(Table2[[#This Row],[COST PRICE]]*Table2[[#This Row],[Quantity sold]])</f>
        <v>9386</v>
      </c>
      <c r="M350" s="2">
        <f>Table2[[#This Row],[TOTAL SALES]]-Table2[[#This Row],[TOTAL COST PRICE]]</f>
        <v>4711</v>
      </c>
      <c r="N350" s="2">
        <f>IF(Table2[[#This Row],[Amount Paid]]&gt;0,(SUMIF(Table2[Order ID],Table2[[#This Row],[Order ID]],Table2[Amount Paid])-SUMIF(Table2[Order ID],Table2[[#This Row],[Order ID]],Table2[TOTAL SALES])),0)</f>
        <v>7403</v>
      </c>
      <c r="O350" s="8">
        <v>43</v>
      </c>
      <c r="P350" s="8" t="s">
        <v>25</v>
      </c>
      <c r="Q350" s="8" t="s">
        <v>26</v>
      </c>
      <c r="R350" s="8" t="s">
        <v>27</v>
      </c>
      <c r="S350" s="8" t="s">
        <v>28</v>
      </c>
      <c r="T350" s="8">
        <f t="shared" si="5"/>
        <v>0</v>
      </c>
      <c r="U350" t="str" cm="1">
        <f t="array" ref="U350">_xlfn.IFNA(_xlfn.IFS(Table2[[#This Row],[DEFICIT /SURPLUS]]&lt;0,"Deficit",Table2[[#This Row],[DEFICIT /SURPLUS]]&gt;0,"surplus"),"-")</f>
        <v>surplus</v>
      </c>
    </row>
    <row r="351" spans="1:21" ht="14.5">
      <c r="A351" s="8" t="s">
        <v>274</v>
      </c>
      <c r="B351" s="9">
        <v>45598</v>
      </c>
      <c r="C351" s="8" t="s">
        <v>22</v>
      </c>
      <c r="D351" s="8" t="s">
        <v>29</v>
      </c>
      <c r="E351" s="8" t="s">
        <v>61</v>
      </c>
      <c r="F351" s="31">
        <f>_xlfn.XLOOKUP(Table2[[#This Row],[Shoe style]],val[SHOE STYLE],val[UNIT PRICE])</f>
        <v>12395</v>
      </c>
      <c r="H351" s="11">
        <v>1</v>
      </c>
      <c r="I351" s="6">
        <f>IF(Table2[[#This Row],[Discount]]&lt;(Table2[[#This Row],[UNIT PRICE]]*Table2[[#This Row],[Quantity sold]]),Table2[[#This Row],[UNIT PRICE]]*Table2[[#This Row],[Quantity sold]]-Table2[[#This Row],[Discount]],0)</f>
        <v>12395</v>
      </c>
      <c r="J351" s="10">
        <v>31500</v>
      </c>
      <c r="K351" s="2">
        <f>_xlfn.XLOOKUP(Table2[[#This Row],[Shoe style]],val[SHOE STYLE],val[COST PRICE])</f>
        <v>7909</v>
      </c>
      <c r="L351" s="2">
        <f>(Table2[[#This Row],[COST PRICE]]*Table2[[#This Row],[Quantity sold]])</f>
        <v>7909</v>
      </c>
      <c r="M351" s="2">
        <f>Table2[[#This Row],[TOTAL SALES]]-Table2[[#This Row],[TOTAL COST PRICE]]</f>
        <v>4486</v>
      </c>
      <c r="N351" s="2">
        <f>IF(Table2[[#This Row],[Amount Paid]]&gt;0,(SUMIF(Table2[Order ID],Table2[[#This Row],[Order ID]],Table2[Amount Paid])-SUMIF(Table2[Order ID],Table2[[#This Row],[Order ID]],Table2[TOTAL SALES])),0)</f>
        <v>-1395</v>
      </c>
      <c r="O351" s="8">
        <v>38</v>
      </c>
      <c r="P351" s="8" t="s">
        <v>25</v>
      </c>
      <c r="Q351" s="8" t="s">
        <v>26</v>
      </c>
      <c r="R351" s="8" t="s">
        <v>27</v>
      </c>
      <c r="S351" s="8" t="s">
        <v>28</v>
      </c>
      <c r="T351" s="8">
        <f t="shared" si="5"/>
        <v>0</v>
      </c>
      <c r="U351" t="str" cm="1">
        <f t="array" ref="U351">_xlfn.IFNA(_xlfn.IFS(Table2[[#This Row],[DEFICIT /SURPLUS]]&lt;0,"Deficit",Table2[[#This Row],[DEFICIT /SURPLUS]]&gt;0,"surplus"),"-")</f>
        <v>Deficit</v>
      </c>
    </row>
    <row r="352" spans="1:21" ht="14.5">
      <c r="A352" s="8" t="s">
        <v>274</v>
      </c>
      <c r="B352" s="9">
        <v>45598</v>
      </c>
      <c r="C352" s="8" t="s">
        <v>22</v>
      </c>
      <c r="D352" s="8" t="s">
        <v>49</v>
      </c>
      <c r="E352" s="8" t="s">
        <v>87</v>
      </c>
      <c r="F352" s="31">
        <f>_xlfn.XLOOKUP(Table2[[#This Row],[Shoe style]],val[SHOE STYLE],val[UNIT PRICE])</f>
        <v>20500</v>
      </c>
      <c r="H352" s="11">
        <v>1</v>
      </c>
      <c r="I352" s="6">
        <f>IF(Table2[[#This Row],[Discount]]&lt;(Table2[[#This Row],[UNIT PRICE]]*Table2[[#This Row],[Quantity sold]]),Table2[[#This Row],[UNIT PRICE]]*Table2[[#This Row],[Quantity sold]]-Table2[[#This Row],[Discount]],0)</f>
        <v>20500</v>
      </c>
      <c r="K352" s="2">
        <f>_xlfn.XLOOKUP(Table2[[#This Row],[Shoe style]],val[SHOE STYLE],val[COST PRICE])</f>
        <v>17339</v>
      </c>
      <c r="L352" s="2">
        <f>(Table2[[#This Row],[COST PRICE]]*Table2[[#This Row],[Quantity sold]])</f>
        <v>17339</v>
      </c>
      <c r="M352" s="2">
        <f>Table2[[#This Row],[TOTAL SALES]]-Table2[[#This Row],[TOTAL COST PRICE]]</f>
        <v>3161</v>
      </c>
      <c r="N352" s="2">
        <f>IF(Table2[[#This Row],[Amount Paid]]&gt;0,(SUMIF(Table2[Order ID],Table2[[#This Row],[Order ID]],Table2[Amount Paid])-SUMIF(Table2[Order ID],Table2[[#This Row],[Order ID]],Table2[TOTAL SALES])),0)</f>
        <v>0</v>
      </c>
      <c r="O352" s="8">
        <v>38</v>
      </c>
      <c r="P352" s="8" t="s">
        <v>25</v>
      </c>
      <c r="Q352" s="8" t="s">
        <v>26</v>
      </c>
      <c r="R352" s="8" t="s">
        <v>27</v>
      </c>
      <c r="S352" s="8" t="s">
        <v>28</v>
      </c>
      <c r="T352" s="8">
        <f t="shared" si="5"/>
        <v>0</v>
      </c>
      <c r="U352" t="str" cm="1">
        <f t="array" ref="U352">_xlfn.IFNA(_xlfn.IFS(Table2[[#This Row],[DEFICIT /SURPLUS]]&lt;0,"Deficit",Table2[[#This Row],[DEFICIT /SURPLUS]]&gt;0,"surplus"),"-")</f>
        <v>-</v>
      </c>
    </row>
    <row r="353" spans="1:21" ht="14.5">
      <c r="A353" s="8" t="s">
        <v>275</v>
      </c>
      <c r="B353" s="9">
        <v>45609</v>
      </c>
      <c r="C353" s="8" t="s">
        <v>22</v>
      </c>
      <c r="D353" s="8" t="s">
        <v>42</v>
      </c>
      <c r="E353" s="8" t="s">
        <v>38</v>
      </c>
      <c r="F353" s="31">
        <f>_xlfn.XLOOKUP(Table2[[#This Row],[Shoe style]],val[SHOE STYLE],val[UNIT PRICE])</f>
        <v>17614</v>
      </c>
      <c r="H353" s="11">
        <v>1</v>
      </c>
      <c r="I353" s="6">
        <f>IF(Table2[[#This Row],[Discount]]&lt;(Table2[[#This Row],[UNIT PRICE]]*Table2[[#This Row],[Quantity sold]]),Table2[[#This Row],[UNIT PRICE]]*Table2[[#This Row],[Quantity sold]]-Table2[[#This Row],[Discount]],0)</f>
        <v>17614</v>
      </c>
      <c r="J353" s="10">
        <v>39775</v>
      </c>
      <c r="K353" s="2">
        <f>_xlfn.XLOOKUP(Table2[[#This Row],[Shoe style]],val[SHOE STYLE],val[COST PRICE])</f>
        <v>14912</v>
      </c>
      <c r="L353" s="2">
        <f>(Table2[[#This Row],[COST PRICE]]*Table2[[#This Row],[Quantity sold]])</f>
        <v>14912</v>
      </c>
      <c r="M353" s="2">
        <f>Table2[[#This Row],[TOTAL SALES]]-Table2[[#This Row],[TOTAL COST PRICE]]</f>
        <v>2702</v>
      </c>
      <c r="N353" s="2">
        <f>IF(Table2[[#This Row],[Amount Paid]]&gt;0,(SUMIF(Table2[Order ID],Table2[[#This Row],[Order ID]],Table2[Amount Paid])-SUMIF(Table2[Order ID],Table2[[#This Row],[Order ID]],Table2[TOTAL SALES])),0)</f>
        <v>22161</v>
      </c>
      <c r="O353" s="8">
        <v>39</v>
      </c>
      <c r="P353" s="8" t="s">
        <v>25</v>
      </c>
      <c r="Q353" s="8" t="s">
        <v>26</v>
      </c>
      <c r="R353" s="8" t="s">
        <v>27</v>
      </c>
      <c r="S353" s="8" t="s">
        <v>28</v>
      </c>
      <c r="T353" s="8">
        <f t="shared" si="5"/>
        <v>0</v>
      </c>
      <c r="U353" t="str" cm="1">
        <f t="array" ref="U353">_xlfn.IFNA(_xlfn.IFS(Table2[[#This Row],[DEFICIT /SURPLUS]]&lt;0,"Deficit",Table2[[#This Row],[DEFICIT /SURPLUS]]&gt;0,"surplus"),"-")</f>
        <v>surplus</v>
      </c>
    </row>
    <row r="354" spans="1:21" ht="14.5">
      <c r="A354" s="8" t="s">
        <v>276</v>
      </c>
      <c r="B354" s="9">
        <v>45609</v>
      </c>
      <c r="C354" s="8" t="s">
        <v>22</v>
      </c>
      <c r="D354" s="8" t="s">
        <v>42</v>
      </c>
      <c r="E354" s="8" t="s">
        <v>38</v>
      </c>
      <c r="F354" s="31">
        <f>_xlfn.XLOOKUP(Table2[[#This Row],[Shoe style]],val[SHOE STYLE],val[UNIT PRICE])</f>
        <v>17614</v>
      </c>
      <c r="H354" s="11">
        <v>1</v>
      </c>
      <c r="I354" s="6">
        <f>IF(Table2[[#This Row],[Discount]]&lt;(Table2[[#This Row],[UNIT PRICE]]*Table2[[#This Row],[Quantity sold]]),Table2[[#This Row],[UNIT PRICE]]*Table2[[#This Row],[Quantity sold]]-Table2[[#This Row],[Discount]],0)</f>
        <v>17614</v>
      </c>
      <c r="J354" s="10">
        <v>39775</v>
      </c>
      <c r="K354" s="2">
        <f>_xlfn.XLOOKUP(Table2[[#This Row],[Shoe style]],val[SHOE STYLE],val[COST PRICE])</f>
        <v>14912</v>
      </c>
      <c r="L354" s="2">
        <f>(Table2[[#This Row],[COST PRICE]]*Table2[[#This Row],[Quantity sold]])</f>
        <v>14912</v>
      </c>
      <c r="M354" s="2">
        <f>Table2[[#This Row],[TOTAL SALES]]-Table2[[#This Row],[TOTAL COST PRICE]]</f>
        <v>2702</v>
      </c>
      <c r="N354" s="2">
        <f>IF(Table2[[#This Row],[Amount Paid]]&gt;0,(SUMIF(Table2[Order ID],Table2[[#This Row],[Order ID]],Table2[Amount Paid])-SUMIF(Table2[Order ID],Table2[[#This Row],[Order ID]],Table2[TOTAL SALES])),0)</f>
        <v>22161</v>
      </c>
      <c r="O354" s="8">
        <v>39</v>
      </c>
      <c r="P354" s="8" t="s">
        <v>25</v>
      </c>
      <c r="Q354" s="8" t="s">
        <v>26</v>
      </c>
      <c r="R354" s="8" t="s">
        <v>27</v>
      </c>
      <c r="S354" s="8" t="s">
        <v>28</v>
      </c>
      <c r="T354" s="8">
        <f t="shared" si="5"/>
        <v>0</v>
      </c>
      <c r="U354" t="str" cm="1">
        <f t="array" ref="U354">_xlfn.IFNA(_xlfn.IFS(Table2[[#This Row],[DEFICIT /SURPLUS]]&lt;0,"Deficit",Table2[[#This Row],[DEFICIT /SURPLUS]]&gt;0,"surplus"),"-")</f>
        <v>surplus</v>
      </c>
    </row>
    <row r="355" spans="1:21" ht="14.5">
      <c r="A355" s="8" t="s">
        <v>277</v>
      </c>
      <c r="B355" s="9">
        <v>45610</v>
      </c>
      <c r="C355" s="8" t="s">
        <v>22</v>
      </c>
      <c r="D355" s="8" t="s">
        <v>29</v>
      </c>
      <c r="E355" s="8" t="s">
        <v>24</v>
      </c>
      <c r="F355" s="31">
        <f>_xlfn.XLOOKUP(Table2[[#This Row],[Shoe style]],val[SHOE STYLE],val[UNIT PRICE])</f>
        <v>12395</v>
      </c>
      <c r="H355" s="11">
        <v>1</v>
      </c>
      <c r="I355" s="6">
        <f>IF(Table2[[#This Row],[Discount]]&lt;(Table2[[#This Row],[UNIT PRICE]]*Table2[[#This Row],[Quantity sold]]),Table2[[#This Row],[UNIT PRICE]]*Table2[[#This Row],[Quantity sold]]-Table2[[#This Row],[Discount]],0)</f>
        <v>12395</v>
      </c>
      <c r="J355" s="10">
        <v>62162</v>
      </c>
      <c r="K355" s="2">
        <f>_xlfn.XLOOKUP(Table2[[#This Row],[Shoe style]],val[SHOE STYLE],val[COST PRICE])</f>
        <v>7909</v>
      </c>
      <c r="L355" s="2">
        <f>(Table2[[#This Row],[COST PRICE]]*Table2[[#This Row],[Quantity sold]])</f>
        <v>7909</v>
      </c>
      <c r="M355" s="2">
        <f>Table2[[#This Row],[TOTAL SALES]]-Table2[[#This Row],[TOTAL COST PRICE]]</f>
        <v>4486</v>
      </c>
      <c r="N355" s="2">
        <f>IF(Table2[[#This Row],[Amount Paid]]&gt;0,(SUMIF(Table2[Order ID],Table2[[#This Row],[Order ID]],Table2[Amount Paid])-SUMIF(Table2[Order ID],Table2[[#This Row],[Order ID]],Table2[TOTAL SALES])),0)</f>
        <v>20634</v>
      </c>
      <c r="O355" s="8">
        <v>43</v>
      </c>
      <c r="P355" s="8" t="s">
        <v>25</v>
      </c>
      <c r="Q355" s="8" t="s">
        <v>26</v>
      </c>
      <c r="R355" s="8" t="s">
        <v>27</v>
      </c>
      <c r="S355" s="8" t="s">
        <v>28</v>
      </c>
      <c r="T355" s="8">
        <f t="shared" si="5"/>
        <v>0</v>
      </c>
      <c r="U355" t="str" cm="1">
        <f t="array" ref="U355">_xlfn.IFNA(_xlfn.IFS(Table2[[#This Row],[DEFICIT /SURPLUS]]&lt;0,"Deficit",Table2[[#This Row],[DEFICIT /SURPLUS]]&gt;0,"surplus"),"-")</f>
        <v>surplus</v>
      </c>
    </row>
    <row r="356" spans="1:21" ht="14.5">
      <c r="A356" s="8" t="s">
        <v>277</v>
      </c>
      <c r="B356" s="9">
        <v>45610</v>
      </c>
      <c r="C356" s="8" t="s">
        <v>22</v>
      </c>
      <c r="D356" s="8" t="s">
        <v>53</v>
      </c>
      <c r="E356" s="8" t="s">
        <v>24</v>
      </c>
      <c r="F356" s="31">
        <f>_xlfn.XLOOKUP(Table2[[#This Row],[Shoe style]],val[SHOE STYLE],val[UNIT PRICE])</f>
        <v>9838</v>
      </c>
      <c r="H356" s="11">
        <v>1</v>
      </c>
      <c r="I356" s="6">
        <f>IF(Table2[[#This Row],[Discount]]&lt;(Table2[[#This Row],[UNIT PRICE]]*Table2[[#This Row],[Quantity sold]]),Table2[[#This Row],[UNIT PRICE]]*Table2[[#This Row],[Quantity sold]]-Table2[[#This Row],[Discount]],0)</f>
        <v>9838</v>
      </c>
      <c r="K356" s="2">
        <f>_xlfn.XLOOKUP(Table2[[#This Row],[Shoe style]],val[SHOE STYLE],val[COST PRICE])</f>
        <v>6687</v>
      </c>
      <c r="L356" s="2">
        <f>(Table2[[#This Row],[COST PRICE]]*Table2[[#This Row],[Quantity sold]])</f>
        <v>6687</v>
      </c>
      <c r="M356" s="2">
        <f>Table2[[#This Row],[TOTAL SALES]]-Table2[[#This Row],[TOTAL COST PRICE]]</f>
        <v>3151</v>
      </c>
      <c r="N356" s="2">
        <f>IF(Table2[[#This Row],[Amount Paid]]&gt;0,(SUMIF(Table2[Order ID],Table2[[#This Row],[Order ID]],Table2[Amount Paid])-SUMIF(Table2[Order ID],Table2[[#This Row],[Order ID]],Table2[TOTAL SALES])),0)</f>
        <v>0</v>
      </c>
      <c r="O356" s="8">
        <v>43</v>
      </c>
      <c r="P356" s="8" t="s">
        <v>25</v>
      </c>
      <c r="Q356" s="8" t="s">
        <v>26</v>
      </c>
      <c r="R356" s="8" t="s">
        <v>27</v>
      </c>
      <c r="S356" s="8" t="s">
        <v>28</v>
      </c>
      <c r="T356" s="8">
        <f t="shared" si="5"/>
        <v>0</v>
      </c>
      <c r="U356" t="str" cm="1">
        <f t="array" ref="U356">_xlfn.IFNA(_xlfn.IFS(Table2[[#This Row],[DEFICIT /SURPLUS]]&lt;0,"Deficit",Table2[[#This Row],[DEFICIT /SURPLUS]]&gt;0,"surplus"),"-")</f>
        <v>-</v>
      </c>
    </row>
    <row r="357" spans="1:21" ht="14.5">
      <c r="A357" s="8" t="s">
        <v>277</v>
      </c>
      <c r="B357" s="9">
        <v>45610</v>
      </c>
      <c r="C357" s="8" t="s">
        <v>22</v>
      </c>
      <c r="D357" s="8" t="s">
        <v>32</v>
      </c>
      <c r="E357" s="8" t="s">
        <v>61</v>
      </c>
      <c r="F357" s="31">
        <f>_xlfn.XLOOKUP(Table2[[#This Row],[Shoe style]],val[SHOE STYLE],val[UNIT PRICE])</f>
        <v>19295</v>
      </c>
      <c r="H357" s="11">
        <v>1</v>
      </c>
      <c r="I357" s="6">
        <f>IF(Table2[[#This Row],[Discount]]&lt;(Table2[[#This Row],[UNIT PRICE]]*Table2[[#This Row],[Quantity sold]]),Table2[[#This Row],[UNIT PRICE]]*Table2[[#This Row],[Quantity sold]]-Table2[[#This Row],[Discount]],0)</f>
        <v>19295</v>
      </c>
      <c r="K357" s="2">
        <f>_xlfn.XLOOKUP(Table2[[#This Row],[Shoe style]],val[SHOE STYLE],val[COST PRICE])</f>
        <v>16705</v>
      </c>
      <c r="L357" s="2">
        <f>(Table2[[#This Row],[COST PRICE]]*Table2[[#This Row],[Quantity sold]])</f>
        <v>16705</v>
      </c>
      <c r="M357" s="2">
        <f>Table2[[#This Row],[TOTAL SALES]]-Table2[[#This Row],[TOTAL COST PRICE]]</f>
        <v>2590</v>
      </c>
      <c r="N357" s="2">
        <f>IF(Table2[[#This Row],[Amount Paid]]&gt;0,(SUMIF(Table2[Order ID],Table2[[#This Row],[Order ID]],Table2[Amount Paid])-SUMIF(Table2[Order ID],Table2[[#This Row],[Order ID]],Table2[TOTAL SALES])),0)</f>
        <v>0</v>
      </c>
      <c r="O357" s="8">
        <v>43</v>
      </c>
      <c r="P357" s="8" t="s">
        <v>25</v>
      </c>
      <c r="Q357" s="8" t="s">
        <v>26</v>
      </c>
      <c r="R357" s="8" t="s">
        <v>27</v>
      </c>
      <c r="S357" s="8" t="s">
        <v>28</v>
      </c>
      <c r="T357" s="8">
        <f t="shared" si="5"/>
        <v>0</v>
      </c>
      <c r="U357" t="str" cm="1">
        <f t="array" ref="U357">_xlfn.IFNA(_xlfn.IFS(Table2[[#This Row],[DEFICIT /SURPLUS]]&lt;0,"Deficit",Table2[[#This Row],[DEFICIT /SURPLUS]]&gt;0,"surplus"),"-")</f>
        <v>-</v>
      </c>
    </row>
    <row r="358" spans="1:21" ht="14.5">
      <c r="A358" s="8" t="s">
        <v>278</v>
      </c>
      <c r="B358" s="9">
        <v>45612</v>
      </c>
      <c r="C358" s="8" t="s">
        <v>22</v>
      </c>
      <c r="D358" s="8" t="s">
        <v>35</v>
      </c>
      <c r="E358" s="8" t="s">
        <v>24</v>
      </c>
      <c r="F358" s="31">
        <f>_xlfn.XLOOKUP(Table2[[#This Row],[Shoe style]],val[SHOE STYLE],val[UNIT PRICE])</f>
        <v>16646</v>
      </c>
      <c r="H358" s="11">
        <v>1</v>
      </c>
      <c r="I358" s="6">
        <f>IF(Table2[[#This Row],[Discount]]&lt;(Table2[[#This Row],[UNIT PRICE]]*Table2[[#This Row],[Quantity sold]]),Table2[[#This Row],[UNIT PRICE]]*Table2[[#This Row],[Quantity sold]]-Table2[[#This Row],[Discount]],0)</f>
        <v>16646</v>
      </c>
      <c r="J358" s="10">
        <v>22500</v>
      </c>
      <c r="K358" s="2">
        <f>_xlfn.XLOOKUP(Table2[[#This Row],[Shoe style]],val[SHOE STYLE],val[COST PRICE])</f>
        <v>13546</v>
      </c>
      <c r="L358" s="2">
        <f>(Table2[[#This Row],[COST PRICE]]*Table2[[#This Row],[Quantity sold]])</f>
        <v>13546</v>
      </c>
      <c r="M358" s="2">
        <f>Table2[[#This Row],[TOTAL SALES]]-Table2[[#This Row],[TOTAL COST PRICE]]</f>
        <v>3100</v>
      </c>
      <c r="N358" s="2">
        <f>IF(Table2[[#This Row],[Amount Paid]]&gt;0,(SUMIF(Table2[Order ID],Table2[[#This Row],[Order ID]],Table2[Amount Paid])-SUMIF(Table2[Order ID],Table2[[#This Row],[Order ID]],Table2[TOTAL SALES])),0)</f>
        <v>5854</v>
      </c>
      <c r="O358" s="8">
        <v>40</v>
      </c>
      <c r="P358" s="8" t="s">
        <v>25</v>
      </c>
      <c r="Q358" s="8" t="s">
        <v>26</v>
      </c>
      <c r="R358" s="8" t="s">
        <v>27</v>
      </c>
      <c r="S358" s="8" t="s">
        <v>28</v>
      </c>
      <c r="T358" s="8">
        <f t="shared" si="5"/>
        <v>0</v>
      </c>
      <c r="U358" t="str" cm="1">
        <f t="array" ref="U358">_xlfn.IFNA(_xlfn.IFS(Table2[[#This Row],[DEFICIT /SURPLUS]]&lt;0,"Deficit",Table2[[#This Row],[DEFICIT /SURPLUS]]&gt;0,"surplus"),"-")</f>
        <v>surplus</v>
      </c>
    </row>
    <row r="359" spans="1:21" ht="14.5">
      <c r="A359" s="8" t="s">
        <v>279</v>
      </c>
      <c r="B359" s="9">
        <v>45612</v>
      </c>
      <c r="C359" s="8" t="s">
        <v>22</v>
      </c>
      <c r="D359" s="8" t="s">
        <v>37</v>
      </c>
      <c r="E359" s="8" t="s">
        <v>55</v>
      </c>
      <c r="F359" s="31">
        <f>_xlfn.XLOOKUP(Table2[[#This Row],[Shoe style]],val[SHOE STYLE],val[UNIT PRICE])</f>
        <v>22728</v>
      </c>
      <c r="H359" s="11">
        <v>1</v>
      </c>
      <c r="I359" s="6">
        <f>IF(Table2[[#This Row],[Discount]]&lt;(Table2[[#This Row],[UNIT PRICE]]*Table2[[#This Row],[Quantity sold]]),Table2[[#This Row],[UNIT PRICE]]*Table2[[#This Row],[Quantity sold]]-Table2[[#This Row],[Discount]],0)</f>
        <v>22728</v>
      </c>
      <c r="J359" s="10">
        <v>14500</v>
      </c>
      <c r="K359" s="2">
        <f>_xlfn.XLOOKUP(Table2[[#This Row],[Shoe style]],val[SHOE STYLE],val[COST PRICE])</f>
        <v>20451</v>
      </c>
      <c r="L359" s="2">
        <f>(Table2[[#This Row],[COST PRICE]]*Table2[[#This Row],[Quantity sold]])</f>
        <v>20451</v>
      </c>
      <c r="M359" s="2">
        <f>Table2[[#This Row],[TOTAL SALES]]-Table2[[#This Row],[TOTAL COST PRICE]]</f>
        <v>2277</v>
      </c>
      <c r="N359" s="2">
        <f>IF(Table2[[#This Row],[Amount Paid]]&gt;0,(SUMIF(Table2[Order ID],Table2[[#This Row],[Order ID]],Table2[Amount Paid])-SUMIF(Table2[Order ID],Table2[[#This Row],[Order ID]],Table2[TOTAL SALES])),0)</f>
        <v>-8228</v>
      </c>
      <c r="O359" s="8">
        <v>40</v>
      </c>
      <c r="P359" s="8" t="s">
        <v>25</v>
      </c>
      <c r="Q359" s="8" t="s">
        <v>26</v>
      </c>
      <c r="R359" s="8" t="s">
        <v>44</v>
      </c>
      <c r="S359" s="8" t="s">
        <v>28</v>
      </c>
      <c r="T359" s="8">
        <f t="shared" si="5"/>
        <v>0</v>
      </c>
      <c r="U359" t="str" cm="1">
        <f t="array" ref="U359">_xlfn.IFNA(_xlfn.IFS(Table2[[#This Row],[DEFICIT /SURPLUS]]&lt;0,"Deficit",Table2[[#This Row],[DEFICIT /SURPLUS]]&gt;0,"surplus"),"-")</f>
        <v>Deficit</v>
      </c>
    </row>
    <row r="360" spans="1:21" ht="14.5">
      <c r="A360" s="8" t="s">
        <v>280</v>
      </c>
      <c r="B360" s="9">
        <v>45607</v>
      </c>
      <c r="C360" s="8" t="s">
        <v>22</v>
      </c>
      <c r="D360" s="8" t="s">
        <v>29</v>
      </c>
      <c r="E360" s="8" t="s">
        <v>109</v>
      </c>
      <c r="F360" s="31">
        <f>_xlfn.XLOOKUP(Table2[[#This Row],[Shoe style]],val[SHOE STYLE],val[UNIT PRICE])</f>
        <v>12395</v>
      </c>
      <c r="H360" s="11">
        <v>1</v>
      </c>
      <c r="I360" s="6">
        <f>IF(Table2[[#This Row],[Discount]]&lt;(Table2[[#This Row],[UNIT PRICE]]*Table2[[#This Row],[Quantity sold]]),Table2[[#This Row],[UNIT PRICE]]*Table2[[#This Row],[Quantity sold]]-Table2[[#This Row],[Discount]],0)</f>
        <v>12395</v>
      </c>
      <c r="J360" s="10">
        <v>14500</v>
      </c>
      <c r="K360" s="2">
        <f>_xlfn.XLOOKUP(Table2[[#This Row],[Shoe style]],val[SHOE STYLE],val[COST PRICE])</f>
        <v>7909</v>
      </c>
      <c r="L360" s="2">
        <f>(Table2[[#This Row],[COST PRICE]]*Table2[[#This Row],[Quantity sold]])</f>
        <v>7909</v>
      </c>
      <c r="M360" s="2">
        <f>Table2[[#This Row],[TOTAL SALES]]-Table2[[#This Row],[TOTAL COST PRICE]]</f>
        <v>4486</v>
      </c>
      <c r="N360" s="2">
        <f>IF(Table2[[#This Row],[Amount Paid]]&gt;0,(SUMIF(Table2[Order ID],Table2[[#This Row],[Order ID]],Table2[Amount Paid])-SUMIF(Table2[Order ID],Table2[[#This Row],[Order ID]],Table2[TOTAL SALES])),0)</f>
        <v>2105</v>
      </c>
      <c r="O360" s="8">
        <v>41</v>
      </c>
      <c r="P360" s="8" t="s">
        <v>25</v>
      </c>
      <c r="Q360" s="8" t="s">
        <v>26</v>
      </c>
      <c r="R360" s="8" t="s">
        <v>44</v>
      </c>
      <c r="S360" s="8" t="s">
        <v>28</v>
      </c>
      <c r="T360" s="8">
        <f t="shared" si="5"/>
        <v>0</v>
      </c>
      <c r="U360" t="str" cm="1">
        <f t="array" ref="U360">_xlfn.IFNA(_xlfn.IFS(Table2[[#This Row],[DEFICIT /SURPLUS]]&lt;0,"Deficit",Table2[[#This Row],[DEFICIT /SURPLUS]]&gt;0,"surplus"),"-")</f>
        <v>surplus</v>
      </c>
    </row>
    <row r="361" spans="1:21" ht="14.5">
      <c r="A361" s="8" t="s">
        <v>281</v>
      </c>
      <c r="B361" s="9">
        <v>45611</v>
      </c>
      <c r="C361" s="8" t="s">
        <v>22</v>
      </c>
      <c r="D361" s="8" t="s">
        <v>53</v>
      </c>
      <c r="E361" s="8" t="s">
        <v>24</v>
      </c>
      <c r="F361" s="31">
        <f>_xlfn.XLOOKUP(Table2[[#This Row],[Shoe style]],val[SHOE STYLE],val[UNIT PRICE])</f>
        <v>9838</v>
      </c>
      <c r="H361" s="11">
        <v>1</v>
      </c>
      <c r="I361" s="6">
        <f>IF(Table2[[#This Row],[Discount]]&lt;(Table2[[#This Row],[UNIT PRICE]]*Table2[[#This Row],[Quantity sold]]),Table2[[#This Row],[UNIT PRICE]]*Table2[[#This Row],[Quantity sold]]-Table2[[#This Row],[Discount]],0)</f>
        <v>9838</v>
      </c>
      <c r="J361" s="10">
        <v>22100</v>
      </c>
      <c r="K361" s="2">
        <f>_xlfn.XLOOKUP(Table2[[#This Row],[Shoe style]],val[SHOE STYLE],val[COST PRICE])</f>
        <v>6687</v>
      </c>
      <c r="L361" s="2">
        <f>(Table2[[#This Row],[COST PRICE]]*Table2[[#This Row],[Quantity sold]])</f>
        <v>6687</v>
      </c>
      <c r="M361" s="2">
        <f>Table2[[#This Row],[TOTAL SALES]]-Table2[[#This Row],[TOTAL COST PRICE]]</f>
        <v>3151</v>
      </c>
      <c r="N361" s="2">
        <f>IF(Table2[[#This Row],[Amount Paid]]&gt;0,(SUMIF(Table2[Order ID],Table2[[#This Row],[Order ID]],Table2[Amount Paid])-SUMIF(Table2[Order ID],Table2[[#This Row],[Order ID]],Table2[TOTAL SALES])),0)</f>
        <v>12262</v>
      </c>
      <c r="O361" s="8">
        <v>38</v>
      </c>
      <c r="P361" s="8" t="s">
        <v>25</v>
      </c>
      <c r="Q361" s="8" t="s">
        <v>26</v>
      </c>
      <c r="R361" s="8" t="s">
        <v>44</v>
      </c>
      <c r="S361" s="8" t="s">
        <v>28</v>
      </c>
      <c r="T361" s="8">
        <f t="shared" si="5"/>
        <v>0</v>
      </c>
      <c r="U361" t="str" cm="1">
        <f t="array" ref="U361">_xlfn.IFNA(_xlfn.IFS(Table2[[#This Row],[DEFICIT /SURPLUS]]&lt;0,"Deficit",Table2[[#This Row],[DEFICIT /SURPLUS]]&gt;0,"surplus"),"-")</f>
        <v>surplus</v>
      </c>
    </row>
    <row r="362" spans="1:21" ht="14.5">
      <c r="A362" s="8" t="s">
        <v>282</v>
      </c>
      <c r="B362" s="9">
        <v>45611</v>
      </c>
      <c r="C362" s="8" t="s">
        <v>22</v>
      </c>
      <c r="D362" s="8" t="s">
        <v>92</v>
      </c>
      <c r="E362" s="8" t="s">
        <v>43</v>
      </c>
      <c r="F362" s="31">
        <f>_xlfn.XLOOKUP(Table2[[#This Row],[Shoe style]],val[SHOE STYLE],val[UNIT PRICE])</f>
        <v>12107</v>
      </c>
      <c r="H362" s="11">
        <v>1</v>
      </c>
      <c r="I362" s="6">
        <f>IF(Table2[[#This Row],[Discount]]&lt;(Table2[[#This Row],[UNIT PRICE]]*Table2[[#This Row],[Quantity sold]]),Table2[[#This Row],[UNIT PRICE]]*Table2[[#This Row],[Quantity sold]]-Table2[[#This Row],[Discount]],0)</f>
        <v>12107</v>
      </c>
      <c r="J362" s="10">
        <v>76500</v>
      </c>
      <c r="K362" s="2">
        <f>_xlfn.XLOOKUP(Table2[[#This Row],[Shoe style]],val[SHOE STYLE],val[COST PRICE])</f>
        <v>9752</v>
      </c>
      <c r="L362" s="2">
        <f>(Table2[[#This Row],[COST PRICE]]*Table2[[#This Row],[Quantity sold]])</f>
        <v>9752</v>
      </c>
      <c r="M362" s="2">
        <f>Table2[[#This Row],[TOTAL SALES]]-Table2[[#This Row],[TOTAL COST PRICE]]</f>
        <v>2355</v>
      </c>
      <c r="N362" s="2">
        <f>IF(Table2[[#This Row],[Amount Paid]]&gt;0,(SUMIF(Table2[Order ID],Table2[[#This Row],[Order ID]],Table2[Amount Paid])-SUMIF(Table2[Order ID],Table2[[#This Row],[Order ID]],Table2[TOTAL SALES])),0)</f>
        <v>13555</v>
      </c>
      <c r="O362" s="8">
        <v>40</v>
      </c>
      <c r="P362" s="8" t="s">
        <v>25</v>
      </c>
      <c r="Q362" s="8" t="s">
        <v>26</v>
      </c>
      <c r="R362" s="8" t="s">
        <v>27</v>
      </c>
      <c r="S362" s="8" t="s">
        <v>28</v>
      </c>
      <c r="T362" s="8">
        <f t="shared" si="5"/>
        <v>0</v>
      </c>
      <c r="U362" t="str" cm="1">
        <f t="array" ref="U362">_xlfn.IFNA(_xlfn.IFS(Table2[[#This Row],[DEFICIT /SURPLUS]]&lt;0,"Deficit",Table2[[#This Row],[DEFICIT /SURPLUS]]&gt;0,"surplus"),"-")</f>
        <v>surplus</v>
      </c>
    </row>
    <row r="363" spans="1:21" ht="14.5">
      <c r="A363" s="8" t="s">
        <v>282</v>
      </c>
      <c r="B363" s="9">
        <v>45611</v>
      </c>
      <c r="C363" s="8" t="s">
        <v>22</v>
      </c>
      <c r="D363" s="8" t="s">
        <v>49</v>
      </c>
      <c r="E363" s="8" t="s">
        <v>63</v>
      </c>
      <c r="F363" s="31">
        <f>_xlfn.XLOOKUP(Table2[[#This Row],[Shoe style]],val[SHOE STYLE],val[UNIT PRICE])</f>
        <v>20500</v>
      </c>
      <c r="H363" s="11">
        <v>1</v>
      </c>
      <c r="I363" s="6">
        <f>IF(Table2[[#This Row],[Discount]]&lt;(Table2[[#This Row],[UNIT PRICE]]*Table2[[#This Row],[Quantity sold]]),Table2[[#This Row],[UNIT PRICE]]*Table2[[#This Row],[Quantity sold]]-Table2[[#This Row],[Discount]],0)</f>
        <v>20500</v>
      </c>
      <c r="K363" s="2">
        <f>_xlfn.XLOOKUP(Table2[[#This Row],[Shoe style]],val[SHOE STYLE],val[COST PRICE])</f>
        <v>17339</v>
      </c>
      <c r="L363" s="2">
        <f>(Table2[[#This Row],[COST PRICE]]*Table2[[#This Row],[Quantity sold]])</f>
        <v>17339</v>
      </c>
      <c r="M363" s="2">
        <f>Table2[[#This Row],[TOTAL SALES]]-Table2[[#This Row],[TOTAL COST PRICE]]</f>
        <v>3161</v>
      </c>
      <c r="N363" s="2">
        <f>IF(Table2[[#This Row],[Amount Paid]]&gt;0,(SUMIF(Table2[Order ID],Table2[[#This Row],[Order ID]],Table2[Amount Paid])-SUMIF(Table2[Order ID],Table2[[#This Row],[Order ID]],Table2[TOTAL SALES])),0)</f>
        <v>0</v>
      </c>
      <c r="O363" s="8">
        <v>40</v>
      </c>
      <c r="P363" s="8" t="s">
        <v>25</v>
      </c>
      <c r="Q363" s="8" t="s">
        <v>26</v>
      </c>
      <c r="R363" s="8" t="s">
        <v>27</v>
      </c>
      <c r="S363" s="8" t="s">
        <v>28</v>
      </c>
      <c r="T363" s="8">
        <f t="shared" si="5"/>
        <v>0</v>
      </c>
      <c r="U363" t="str" cm="1">
        <f t="array" ref="U363">_xlfn.IFNA(_xlfn.IFS(Table2[[#This Row],[DEFICIT /SURPLUS]]&lt;0,"Deficit",Table2[[#This Row],[DEFICIT /SURPLUS]]&gt;0,"surplus"),"-")</f>
        <v>-</v>
      </c>
    </row>
    <row r="364" spans="1:21" ht="14.5">
      <c r="A364" s="8" t="s">
        <v>282</v>
      </c>
      <c r="B364" s="9">
        <v>45611</v>
      </c>
      <c r="C364" s="8" t="s">
        <v>22</v>
      </c>
      <c r="D364" s="8" t="s">
        <v>53</v>
      </c>
      <c r="E364" s="8" t="s">
        <v>78</v>
      </c>
      <c r="F364" s="31">
        <f>_xlfn.XLOOKUP(Table2[[#This Row],[Shoe style]],val[SHOE STYLE],val[UNIT PRICE])</f>
        <v>9838</v>
      </c>
      <c r="H364" s="11">
        <v>1</v>
      </c>
      <c r="I364" s="6">
        <f>IF(Table2[[#This Row],[Discount]]&lt;(Table2[[#This Row],[UNIT PRICE]]*Table2[[#This Row],[Quantity sold]]),Table2[[#This Row],[UNIT PRICE]]*Table2[[#This Row],[Quantity sold]]-Table2[[#This Row],[Discount]],0)</f>
        <v>9838</v>
      </c>
      <c r="K364" s="2">
        <f>_xlfn.XLOOKUP(Table2[[#This Row],[Shoe style]],val[SHOE STYLE],val[COST PRICE])</f>
        <v>6687</v>
      </c>
      <c r="L364" s="2">
        <f>(Table2[[#This Row],[COST PRICE]]*Table2[[#This Row],[Quantity sold]])</f>
        <v>6687</v>
      </c>
      <c r="M364" s="2">
        <f>Table2[[#This Row],[TOTAL SALES]]-Table2[[#This Row],[TOTAL COST PRICE]]</f>
        <v>3151</v>
      </c>
      <c r="N364" s="2">
        <f>IF(Table2[[#This Row],[Amount Paid]]&gt;0,(SUMIF(Table2[Order ID],Table2[[#This Row],[Order ID]],Table2[Amount Paid])-SUMIF(Table2[Order ID],Table2[[#This Row],[Order ID]],Table2[TOTAL SALES])),0)</f>
        <v>0</v>
      </c>
      <c r="O364" s="8">
        <v>40</v>
      </c>
      <c r="P364" s="8" t="s">
        <v>25</v>
      </c>
      <c r="Q364" s="8" t="s">
        <v>26</v>
      </c>
      <c r="R364" s="8" t="s">
        <v>27</v>
      </c>
      <c r="S364" s="8" t="s">
        <v>28</v>
      </c>
      <c r="T364" s="8">
        <f t="shared" si="5"/>
        <v>0</v>
      </c>
      <c r="U364" t="str" cm="1">
        <f t="array" ref="U364">_xlfn.IFNA(_xlfn.IFS(Table2[[#This Row],[DEFICIT /SURPLUS]]&lt;0,"Deficit",Table2[[#This Row],[DEFICIT /SURPLUS]]&gt;0,"surplus"),"-")</f>
        <v>-</v>
      </c>
    </row>
    <row r="365" spans="1:21" ht="14.5">
      <c r="A365" s="8" t="s">
        <v>282</v>
      </c>
      <c r="B365" s="9">
        <v>45611</v>
      </c>
      <c r="C365" s="8" t="s">
        <v>22</v>
      </c>
      <c r="D365" s="8" t="s">
        <v>49</v>
      </c>
      <c r="E365" s="8" t="s">
        <v>63</v>
      </c>
      <c r="F365" s="31">
        <f>_xlfn.XLOOKUP(Table2[[#This Row],[Shoe style]],val[SHOE STYLE],val[UNIT PRICE])</f>
        <v>20500</v>
      </c>
      <c r="H365" s="11">
        <v>1</v>
      </c>
      <c r="I365" s="6">
        <f>IF(Table2[[#This Row],[Discount]]&lt;(Table2[[#This Row],[UNIT PRICE]]*Table2[[#This Row],[Quantity sold]]),Table2[[#This Row],[UNIT PRICE]]*Table2[[#This Row],[Quantity sold]]-Table2[[#This Row],[Discount]],0)</f>
        <v>20500</v>
      </c>
      <c r="K365" s="2">
        <f>_xlfn.XLOOKUP(Table2[[#This Row],[Shoe style]],val[SHOE STYLE],val[COST PRICE])</f>
        <v>17339</v>
      </c>
      <c r="L365" s="2">
        <f>(Table2[[#This Row],[COST PRICE]]*Table2[[#This Row],[Quantity sold]])</f>
        <v>17339</v>
      </c>
      <c r="M365" s="2">
        <f>Table2[[#This Row],[TOTAL SALES]]-Table2[[#This Row],[TOTAL COST PRICE]]</f>
        <v>3161</v>
      </c>
      <c r="N365" s="2">
        <f>IF(Table2[[#This Row],[Amount Paid]]&gt;0,(SUMIF(Table2[Order ID],Table2[[#This Row],[Order ID]],Table2[Amount Paid])-SUMIF(Table2[Order ID],Table2[[#This Row],[Order ID]],Table2[TOTAL SALES])),0)</f>
        <v>0</v>
      </c>
      <c r="O365" s="8">
        <v>40</v>
      </c>
      <c r="P365" s="8" t="s">
        <v>25</v>
      </c>
      <c r="Q365" s="8" t="s">
        <v>26</v>
      </c>
      <c r="R365" s="8" t="s">
        <v>27</v>
      </c>
      <c r="S365" s="8" t="s">
        <v>28</v>
      </c>
      <c r="T365" s="8">
        <f t="shared" si="5"/>
        <v>0</v>
      </c>
      <c r="U365" t="str" cm="1">
        <f t="array" ref="U365">_xlfn.IFNA(_xlfn.IFS(Table2[[#This Row],[DEFICIT /SURPLUS]]&lt;0,"Deficit",Table2[[#This Row],[DEFICIT /SURPLUS]]&gt;0,"surplus"),"-")</f>
        <v>-</v>
      </c>
    </row>
    <row r="366" spans="1:21" ht="14.5">
      <c r="A366" s="8" t="s">
        <v>283</v>
      </c>
      <c r="B366" s="9">
        <v>45611</v>
      </c>
      <c r="C366" s="8" t="s">
        <v>22</v>
      </c>
      <c r="D366" s="8" t="s">
        <v>51</v>
      </c>
      <c r="E366" s="8" t="s">
        <v>63</v>
      </c>
      <c r="F366" s="31">
        <f>_xlfn.XLOOKUP(Table2[[#This Row],[Shoe style]],val[SHOE STYLE],val[UNIT PRICE])</f>
        <v>11007</v>
      </c>
      <c r="H366" s="11">
        <v>1</v>
      </c>
      <c r="I366" s="6">
        <f>IF(Table2[[#This Row],[Discount]]&lt;(Table2[[#This Row],[UNIT PRICE]]*Table2[[#This Row],[Quantity sold]]),Table2[[#This Row],[UNIT PRICE]]*Table2[[#This Row],[Quantity sold]]-Table2[[#This Row],[Discount]],0)</f>
        <v>11007</v>
      </c>
      <c r="J366" s="10">
        <v>58000</v>
      </c>
      <c r="K366" s="2">
        <f>_xlfn.XLOOKUP(Table2[[#This Row],[Shoe style]],val[SHOE STYLE],val[COST PRICE])</f>
        <v>8327</v>
      </c>
      <c r="L366" s="2">
        <f>(Table2[[#This Row],[COST PRICE]]*Table2[[#This Row],[Quantity sold]])</f>
        <v>8327</v>
      </c>
      <c r="M366" s="2">
        <f>Table2[[#This Row],[TOTAL SALES]]-Table2[[#This Row],[TOTAL COST PRICE]]</f>
        <v>2680</v>
      </c>
      <c r="N366" s="2">
        <f>IF(Table2[[#This Row],[Amount Paid]]&gt;0,(SUMIF(Table2[Order ID],Table2[[#This Row],[Order ID]],Table2[Amount Paid])-SUMIF(Table2[Order ID],Table2[[#This Row],[Order ID]],Table2[TOTAL SALES])),0)</f>
        <v>29379</v>
      </c>
      <c r="O366" s="8">
        <v>42</v>
      </c>
      <c r="P366" s="8" t="s">
        <v>25</v>
      </c>
      <c r="Q366" s="8" t="s">
        <v>26</v>
      </c>
      <c r="R366" s="8" t="s">
        <v>27</v>
      </c>
      <c r="S366" s="8" t="s">
        <v>28</v>
      </c>
      <c r="T366" s="8">
        <f t="shared" si="5"/>
        <v>0</v>
      </c>
      <c r="U366" t="str" cm="1">
        <f t="array" ref="U366">_xlfn.IFNA(_xlfn.IFS(Table2[[#This Row],[DEFICIT /SURPLUS]]&lt;0,"Deficit",Table2[[#This Row],[DEFICIT /SURPLUS]]&gt;0,"surplus"),"-")</f>
        <v>surplus</v>
      </c>
    </row>
    <row r="367" spans="1:21" ht="14.5">
      <c r="A367" s="8" t="s">
        <v>283</v>
      </c>
      <c r="B367" s="9">
        <v>45611</v>
      </c>
      <c r="C367" s="8" t="s">
        <v>22</v>
      </c>
      <c r="D367" s="8" t="s">
        <v>42</v>
      </c>
      <c r="E367" s="8" t="s">
        <v>40</v>
      </c>
      <c r="F367" s="31">
        <f>_xlfn.XLOOKUP(Table2[[#This Row],[Shoe style]],val[SHOE STYLE],val[UNIT PRICE])</f>
        <v>17614</v>
      </c>
      <c r="H367" s="11">
        <v>1</v>
      </c>
      <c r="I367" s="6">
        <f>IF(Table2[[#This Row],[Discount]]&lt;(Table2[[#This Row],[UNIT PRICE]]*Table2[[#This Row],[Quantity sold]]),Table2[[#This Row],[UNIT PRICE]]*Table2[[#This Row],[Quantity sold]]-Table2[[#This Row],[Discount]],0)</f>
        <v>17614</v>
      </c>
      <c r="K367" s="2">
        <f>_xlfn.XLOOKUP(Table2[[#This Row],[Shoe style]],val[SHOE STYLE],val[COST PRICE])</f>
        <v>14912</v>
      </c>
      <c r="L367" s="2">
        <f>(Table2[[#This Row],[COST PRICE]]*Table2[[#This Row],[Quantity sold]])</f>
        <v>14912</v>
      </c>
      <c r="M367" s="2">
        <f>Table2[[#This Row],[TOTAL SALES]]-Table2[[#This Row],[TOTAL COST PRICE]]</f>
        <v>2702</v>
      </c>
      <c r="N367" s="2">
        <f>IF(Table2[[#This Row],[Amount Paid]]&gt;0,(SUMIF(Table2[Order ID],Table2[[#This Row],[Order ID]],Table2[Amount Paid])-SUMIF(Table2[Order ID],Table2[[#This Row],[Order ID]],Table2[TOTAL SALES])),0)</f>
        <v>0</v>
      </c>
      <c r="O367" s="8">
        <v>42</v>
      </c>
      <c r="P367" s="8" t="s">
        <v>25</v>
      </c>
      <c r="Q367" s="8" t="s">
        <v>26</v>
      </c>
      <c r="R367" s="8" t="s">
        <v>27</v>
      </c>
      <c r="S367" s="8" t="s">
        <v>28</v>
      </c>
      <c r="T367" s="8">
        <f t="shared" si="5"/>
        <v>0</v>
      </c>
      <c r="U367" t="str" cm="1">
        <f t="array" ref="U367">_xlfn.IFNA(_xlfn.IFS(Table2[[#This Row],[DEFICIT /SURPLUS]]&lt;0,"Deficit",Table2[[#This Row],[DEFICIT /SURPLUS]]&gt;0,"surplus"),"-")</f>
        <v>-</v>
      </c>
    </row>
    <row r="368" spans="1:21" ht="14.5">
      <c r="A368" s="8" t="s">
        <v>284</v>
      </c>
      <c r="B368" s="9">
        <v>45612</v>
      </c>
      <c r="C368" s="8" t="s">
        <v>98</v>
      </c>
      <c r="D368" s="8" t="s">
        <v>29</v>
      </c>
      <c r="E368" s="8" t="s">
        <v>78</v>
      </c>
      <c r="F368" s="31">
        <f>_xlfn.XLOOKUP(Table2[[#This Row],[Shoe style]],val[SHOE STYLE],val[UNIT PRICE])</f>
        <v>12395</v>
      </c>
      <c r="H368" s="11">
        <v>1</v>
      </c>
      <c r="I368" s="6">
        <f>IF(Table2[[#This Row],[Discount]]&lt;(Table2[[#This Row],[UNIT PRICE]]*Table2[[#This Row],[Quantity sold]]),Table2[[#This Row],[UNIT PRICE]]*Table2[[#This Row],[Quantity sold]]-Table2[[#This Row],[Discount]],0)</f>
        <v>12395</v>
      </c>
      <c r="J368" s="10">
        <v>22500</v>
      </c>
      <c r="K368" s="2">
        <f>_xlfn.XLOOKUP(Table2[[#This Row],[Shoe style]],val[SHOE STYLE],val[COST PRICE])</f>
        <v>7909</v>
      </c>
      <c r="L368" s="2">
        <f>(Table2[[#This Row],[COST PRICE]]*Table2[[#This Row],[Quantity sold]])</f>
        <v>7909</v>
      </c>
      <c r="M368" s="2">
        <f>Table2[[#This Row],[TOTAL SALES]]-Table2[[#This Row],[TOTAL COST PRICE]]</f>
        <v>4486</v>
      </c>
      <c r="N368" s="2">
        <f>IF(Table2[[#This Row],[Amount Paid]]&gt;0,(SUMIF(Table2[Order ID],Table2[[#This Row],[Order ID]],Table2[Amount Paid])-SUMIF(Table2[Order ID],Table2[[#This Row],[Order ID]],Table2[TOTAL SALES])),0)</f>
        <v>10105</v>
      </c>
      <c r="O368" s="8">
        <v>42</v>
      </c>
      <c r="P368" s="8" t="s">
        <v>25</v>
      </c>
      <c r="Q368" s="8" t="s">
        <v>26</v>
      </c>
      <c r="R368" s="8" t="s">
        <v>44</v>
      </c>
      <c r="S368" s="8" t="s">
        <v>28</v>
      </c>
      <c r="T368" s="8">
        <f t="shared" si="5"/>
        <v>0</v>
      </c>
      <c r="U368" t="str" cm="1">
        <f t="array" ref="U368">_xlfn.IFNA(_xlfn.IFS(Table2[[#This Row],[DEFICIT /SURPLUS]]&lt;0,"Deficit",Table2[[#This Row],[DEFICIT /SURPLUS]]&gt;0,"surplus"),"-")</f>
        <v>surplus</v>
      </c>
    </row>
    <row r="369" spans="1:21" ht="14.5">
      <c r="A369" s="8" t="s">
        <v>285</v>
      </c>
      <c r="B369" s="9">
        <v>45612</v>
      </c>
      <c r="C369" s="8" t="s">
        <v>98</v>
      </c>
      <c r="D369" s="8" t="s">
        <v>53</v>
      </c>
      <c r="E369" s="8" t="s">
        <v>24</v>
      </c>
      <c r="F369" s="31">
        <f>_xlfn.XLOOKUP(Table2[[#This Row],[Shoe style]],val[SHOE STYLE],val[UNIT PRICE])</f>
        <v>9838</v>
      </c>
      <c r="H369" s="11">
        <v>1</v>
      </c>
      <c r="I369" s="6">
        <f>IF(Table2[[#This Row],[Discount]]&lt;(Table2[[#This Row],[UNIT PRICE]]*Table2[[#This Row],[Quantity sold]]),Table2[[#This Row],[UNIT PRICE]]*Table2[[#This Row],[Quantity sold]]-Table2[[#This Row],[Discount]],0)</f>
        <v>9838</v>
      </c>
      <c r="J369" s="10">
        <v>22500</v>
      </c>
      <c r="K369" s="2">
        <f>_xlfn.XLOOKUP(Table2[[#This Row],[Shoe style]],val[SHOE STYLE],val[COST PRICE])</f>
        <v>6687</v>
      </c>
      <c r="L369" s="2">
        <f>(Table2[[#This Row],[COST PRICE]]*Table2[[#This Row],[Quantity sold]])</f>
        <v>6687</v>
      </c>
      <c r="M369" s="2">
        <f>Table2[[#This Row],[TOTAL SALES]]-Table2[[#This Row],[TOTAL COST PRICE]]</f>
        <v>3151</v>
      </c>
      <c r="N369" s="2">
        <f>IF(Table2[[#This Row],[Amount Paid]]&gt;0,(SUMIF(Table2[Order ID],Table2[[#This Row],[Order ID]],Table2[Amount Paid])-SUMIF(Table2[Order ID],Table2[[#This Row],[Order ID]],Table2[TOTAL SALES])),0)</f>
        <v>12662</v>
      </c>
      <c r="O369" s="8">
        <v>38</v>
      </c>
      <c r="P369" s="8" t="s">
        <v>25</v>
      </c>
      <c r="Q369" s="8" t="s">
        <v>26</v>
      </c>
      <c r="R369" s="8" t="s">
        <v>44</v>
      </c>
      <c r="S369" s="8" t="s">
        <v>28</v>
      </c>
      <c r="T369" s="8">
        <f t="shared" si="5"/>
        <v>0</v>
      </c>
      <c r="U369" t="str" cm="1">
        <f t="array" ref="U369">_xlfn.IFNA(_xlfn.IFS(Table2[[#This Row],[DEFICIT /SURPLUS]]&lt;0,"Deficit",Table2[[#This Row],[DEFICIT /SURPLUS]]&gt;0,"surplus"),"-")</f>
        <v>surplus</v>
      </c>
    </row>
    <row r="370" spans="1:21" ht="14.5">
      <c r="A370" s="8" t="s">
        <v>286</v>
      </c>
      <c r="B370" s="9">
        <v>45612</v>
      </c>
      <c r="C370" s="8" t="s">
        <v>98</v>
      </c>
      <c r="D370" s="8" t="s">
        <v>29</v>
      </c>
      <c r="E370" s="8" t="s">
        <v>261</v>
      </c>
      <c r="F370" s="31">
        <f>_xlfn.XLOOKUP(Table2[[#This Row],[Shoe style]],val[SHOE STYLE],val[UNIT PRICE])</f>
        <v>12395</v>
      </c>
      <c r="H370" s="11">
        <v>1</v>
      </c>
      <c r="I370" s="6">
        <f>IF(Table2[[#This Row],[Discount]]&lt;(Table2[[#This Row],[UNIT PRICE]]*Table2[[#This Row],[Quantity sold]]),Table2[[#This Row],[UNIT PRICE]]*Table2[[#This Row],[Quantity sold]]-Table2[[#This Row],[Discount]],0)</f>
        <v>12395</v>
      </c>
      <c r="J370" s="10">
        <v>93000</v>
      </c>
      <c r="K370" s="2">
        <f>_xlfn.XLOOKUP(Table2[[#This Row],[Shoe style]],val[SHOE STYLE],val[COST PRICE])</f>
        <v>7909</v>
      </c>
      <c r="L370" s="2">
        <f>(Table2[[#This Row],[COST PRICE]]*Table2[[#This Row],[Quantity sold]])</f>
        <v>7909</v>
      </c>
      <c r="M370" s="2">
        <f>Table2[[#This Row],[TOTAL SALES]]-Table2[[#This Row],[TOTAL COST PRICE]]</f>
        <v>4486</v>
      </c>
      <c r="N370" s="2">
        <f>IF(Table2[[#This Row],[Amount Paid]]&gt;0,(SUMIF(Table2[Order ID],Table2[[#This Row],[Order ID]],Table2[Amount Paid])-SUMIF(Table2[Order ID],Table2[[#This Row],[Order ID]],Table2[TOTAL SALES])),0)</f>
        <v>31025</v>
      </c>
      <c r="O370" s="8">
        <v>37</v>
      </c>
      <c r="P370" s="8" t="s">
        <v>25</v>
      </c>
      <c r="Q370" s="8" t="s">
        <v>26</v>
      </c>
      <c r="R370" s="8" t="s">
        <v>44</v>
      </c>
      <c r="S370" s="8" t="s">
        <v>28</v>
      </c>
      <c r="T370" s="8">
        <f t="shared" si="5"/>
        <v>0</v>
      </c>
      <c r="U370" t="str" cm="1">
        <f t="array" ref="U370">_xlfn.IFNA(_xlfn.IFS(Table2[[#This Row],[DEFICIT /SURPLUS]]&lt;0,"Deficit",Table2[[#This Row],[DEFICIT /SURPLUS]]&gt;0,"surplus"),"-")</f>
        <v>surplus</v>
      </c>
    </row>
    <row r="371" spans="1:21" ht="14.5">
      <c r="A371" s="8" t="s">
        <v>286</v>
      </c>
      <c r="B371" s="9">
        <v>45612</v>
      </c>
      <c r="C371" s="8" t="s">
        <v>98</v>
      </c>
      <c r="D371" s="8" t="s">
        <v>29</v>
      </c>
      <c r="E371" s="8" t="s">
        <v>261</v>
      </c>
      <c r="F371" s="31">
        <f>_xlfn.XLOOKUP(Table2[[#This Row],[Shoe style]],val[SHOE STYLE],val[UNIT PRICE])</f>
        <v>12395</v>
      </c>
      <c r="H371" s="11">
        <v>1</v>
      </c>
      <c r="I371" s="6">
        <f>IF(Table2[[#This Row],[Discount]]&lt;(Table2[[#This Row],[UNIT PRICE]]*Table2[[#This Row],[Quantity sold]]),Table2[[#This Row],[UNIT PRICE]]*Table2[[#This Row],[Quantity sold]]-Table2[[#This Row],[Discount]],0)</f>
        <v>12395</v>
      </c>
      <c r="K371" s="2">
        <f>_xlfn.XLOOKUP(Table2[[#This Row],[Shoe style]],val[SHOE STYLE],val[COST PRICE])</f>
        <v>7909</v>
      </c>
      <c r="L371" s="2">
        <f>(Table2[[#This Row],[COST PRICE]]*Table2[[#This Row],[Quantity sold]])</f>
        <v>7909</v>
      </c>
      <c r="M371" s="2">
        <f>Table2[[#This Row],[TOTAL SALES]]-Table2[[#This Row],[TOTAL COST PRICE]]</f>
        <v>4486</v>
      </c>
      <c r="N371" s="2">
        <f>IF(Table2[[#This Row],[Amount Paid]]&gt;0,(SUMIF(Table2[Order ID],Table2[[#This Row],[Order ID]],Table2[Amount Paid])-SUMIF(Table2[Order ID],Table2[[#This Row],[Order ID]],Table2[TOTAL SALES])),0)</f>
        <v>0</v>
      </c>
      <c r="O371" s="8">
        <v>37</v>
      </c>
      <c r="P371" s="8" t="s">
        <v>25</v>
      </c>
      <c r="Q371" s="8" t="s">
        <v>26</v>
      </c>
      <c r="R371" s="8" t="s">
        <v>44</v>
      </c>
      <c r="S371" s="8" t="s">
        <v>28</v>
      </c>
      <c r="T371" s="8">
        <f t="shared" si="5"/>
        <v>0</v>
      </c>
      <c r="U371" t="str" cm="1">
        <f t="array" ref="U371">_xlfn.IFNA(_xlfn.IFS(Table2[[#This Row],[DEFICIT /SURPLUS]]&lt;0,"Deficit",Table2[[#This Row],[DEFICIT /SURPLUS]]&gt;0,"surplus"),"-")</f>
        <v>-</v>
      </c>
    </row>
    <row r="372" spans="1:21" ht="14.5">
      <c r="A372" s="8" t="s">
        <v>286</v>
      </c>
      <c r="B372" s="9">
        <v>45612</v>
      </c>
      <c r="C372" s="8" t="s">
        <v>98</v>
      </c>
      <c r="D372" s="8" t="s">
        <v>29</v>
      </c>
      <c r="E372" s="8" t="s">
        <v>261</v>
      </c>
      <c r="F372" s="31">
        <f>_xlfn.XLOOKUP(Table2[[#This Row],[Shoe style]],val[SHOE STYLE],val[UNIT PRICE])</f>
        <v>12395</v>
      </c>
      <c r="H372" s="11">
        <v>1</v>
      </c>
      <c r="I372" s="6">
        <f>IF(Table2[[#This Row],[Discount]]&lt;(Table2[[#This Row],[UNIT PRICE]]*Table2[[#This Row],[Quantity sold]]),Table2[[#This Row],[UNIT PRICE]]*Table2[[#This Row],[Quantity sold]]-Table2[[#This Row],[Discount]],0)</f>
        <v>12395</v>
      </c>
      <c r="K372" s="2">
        <f>_xlfn.XLOOKUP(Table2[[#This Row],[Shoe style]],val[SHOE STYLE],val[COST PRICE])</f>
        <v>7909</v>
      </c>
      <c r="L372" s="2">
        <f>(Table2[[#This Row],[COST PRICE]]*Table2[[#This Row],[Quantity sold]])</f>
        <v>7909</v>
      </c>
      <c r="M372" s="2">
        <f>Table2[[#This Row],[TOTAL SALES]]-Table2[[#This Row],[TOTAL COST PRICE]]</f>
        <v>4486</v>
      </c>
      <c r="N372" s="2">
        <f>IF(Table2[[#This Row],[Amount Paid]]&gt;0,(SUMIF(Table2[Order ID],Table2[[#This Row],[Order ID]],Table2[Amount Paid])-SUMIF(Table2[Order ID],Table2[[#This Row],[Order ID]],Table2[TOTAL SALES])),0)</f>
        <v>0</v>
      </c>
      <c r="O372" s="8">
        <v>37</v>
      </c>
      <c r="P372" s="8" t="s">
        <v>25</v>
      </c>
      <c r="Q372" s="8" t="s">
        <v>26</v>
      </c>
      <c r="R372" s="8" t="s">
        <v>44</v>
      </c>
      <c r="S372" s="8" t="s">
        <v>28</v>
      </c>
      <c r="T372" s="8">
        <f t="shared" si="5"/>
        <v>0</v>
      </c>
      <c r="U372" t="str" cm="1">
        <f t="array" ref="U372">_xlfn.IFNA(_xlfn.IFS(Table2[[#This Row],[DEFICIT /SURPLUS]]&lt;0,"Deficit",Table2[[#This Row],[DEFICIT /SURPLUS]]&gt;0,"surplus"),"-")</f>
        <v>-</v>
      </c>
    </row>
    <row r="373" spans="1:21" ht="14.5">
      <c r="A373" s="8" t="s">
        <v>286</v>
      </c>
      <c r="B373" s="9">
        <v>45612</v>
      </c>
      <c r="C373" s="8" t="s">
        <v>98</v>
      </c>
      <c r="D373" s="8" t="s">
        <v>29</v>
      </c>
      <c r="E373" s="8" t="s">
        <v>261</v>
      </c>
      <c r="F373" s="31">
        <f>_xlfn.XLOOKUP(Table2[[#This Row],[Shoe style]],val[SHOE STYLE],val[UNIT PRICE])</f>
        <v>12395</v>
      </c>
      <c r="H373" s="11">
        <v>1</v>
      </c>
      <c r="I373" s="6">
        <f>IF(Table2[[#This Row],[Discount]]&lt;(Table2[[#This Row],[UNIT PRICE]]*Table2[[#This Row],[Quantity sold]]),Table2[[#This Row],[UNIT PRICE]]*Table2[[#This Row],[Quantity sold]]-Table2[[#This Row],[Discount]],0)</f>
        <v>12395</v>
      </c>
      <c r="K373" s="2">
        <f>_xlfn.XLOOKUP(Table2[[#This Row],[Shoe style]],val[SHOE STYLE],val[COST PRICE])</f>
        <v>7909</v>
      </c>
      <c r="L373" s="2">
        <f>(Table2[[#This Row],[COST PRICE]]*Table2[[#This Row],[Quantity sold]])</f>
        <v>7909</v>
      </c>
      <c r="M373" s="2">
        <f>Table2[[#This Row],[TOTAL SALES]]-Table2[[#This Row],[TOTAL COST PRICE]]</f>
        <v>4486</v>
      </c>
      <c r="N373" s="2">
        <f>IF(Table2[[#This Row],[Amount Paid]]&gt;0,(SUMIF(Table2[Order ID],Table2[[#This Row],[Order ID]],Table2[Amount Paid])-SUMIF(Table2[Order ID],Table2[[#This Row],[Order ID]],Table2[TOTAL SALES])),0)</f>
        <v>0</v>
      </c>
      <c r="O373" s="8">
        <v>37</v>
      </c>
      <c r="P373" s="8" t="s">
        <v>25</v>
      </c>
      <c r="Q373" s="8" t="s">
        <v>26</v>
      </c>
      <c r="R373" s="8" t="s">
        <v>44</v>
      </c>
      <c r="S373" s="8" t="s">
        <v>28</v>
      </c>
      <c r="T373" s="8">
        <f t="shared" si="5"/>
        <v>0</v>
      </c>
      <c r="U373" t="str" cm="1">
        <f t="array" ref="U373">_xlfn.IFNA(_xlfn.IFS(Table2[[#This Row],[DEFICIT /SURPLUS]]&lt;0,"Deficit",Table2[[#This Row],[DEFICIT /SURPLUS]]&gt;0,"surplus"),"-")</f>
        <v>-</v>
      </c>
    </row>
    <row r="374" spans="1:21" ht="14.5">
      <c r="A374" s="8" t="s">
        <v>286</v>
      </c>
      <c r="B374" s="9">
        <v>45614</v>
      </c>
      <c r="C374" s="8" t="s">
        <v>98</v>
      </c>
      <c r="D374" s="8" t="s">
        <v>29</v>
      </c>
      <c r="E374" s="8" t="s">
        <v>261</v>
      </c>
      <c r="F374" s="31">
        <f>_xlfn.XLOOKUP(Table2[[#This Row],[Shoe style]],val[SHOE STYLE],val[UNIT PRICE])</f>
        <v>12395</v>
      </c>
      <c r="H374" s="11">
        <v>1</v>
      </c>
      <c r="I374" s="6">
        <f>IF(Table2[[#This Row],[Discount]]&lt;(Table2[[#This Row],[UNIT PRICE]]*Table2[[#This Row],[Quantity sold]]),Table2[[#This Row],[UNIT PRICE]]*Table2[[#This Row],[Quantity sold]]-Table2[[#This Row],[Discount]],0)</f>
        <v>12395</v>
      </c>
      <c r="K374" s="2">
        <f>_xlfn.XLOOKUP(Table2[[#This Row],[Shoe style]],val[SHOE STYLE],val[COST PRICE])</f>
        <v>7909</v>
      </c>
      <c r="L374" s="2">
        <f>(Table2[[#This Row],[COST PRICE]]*Table2[[#This Row],[Quantity sold]])</f>
        <v>7909</v>
      </c>
      <c r="M374" s="2">
        <f>Table2[[#This Row],[TOTAL SALES]]-Table2[[#This Row],[TOTAL COST PRICE]]</f>
        <v>4486</v>
      </c>
      <c r="N374" s="2">
        <f>IF(Table2[[#This Row],[Amount Paid]]&gt;0,(SUMIF(Table2[Order ID],Table2[[#This Row],[Order ID]],Table2[Amount Paid])-SUMIF(Table2[Order ID],Table2[[#This Row],[Order ID]],Table2[TOTAL SALES])),0)</f>
        <v>0</v>
      </c>
      <c r="O374" s="8">
        <v>37</v>
      </c>
      <c r="P374" s="8" t="s">
        <v>25</v>
      </c>
      <c r="Q374" s="8" t="s">
        <v>26</v>
      </c>
      <c r="R374" s="8" t="s">
        <v>44</v>
      </c>
      <c r="S374" s="8" t="s">
        <v>28</v>
      </c>
      <c r="T374" s="8">
        <f t="shared" si="5"/>
        <v>0</v>
      </c>
      <c r="U374" t="str" cm="1">
        <f t="array" ref="U374">_xlfn.IFNA(_xlfn.IFS(Table2[[#This Row],[DEFICIT /SURPLUS]]&lt;0,"Deficit",Table2[[#This Row],[DEFICIT /SURPLUS]]&gt;0,"surplus"),"-")</f>
        <v>-</v>
      </c>
    </row>
    <row r="375" spans="1:21" ht="14.5">
      <c r="A375" s="8" t="s">
        <v>287</v>
      </c>
      <c r="B375" s="9">
        <v>45615</v>
      </c>
      <c r="C375" s="8" t="s">
        <v>22</v>
      </c>
      <c r="D375" s="8" t="s">
        <v>51</v>
      </c>
      <c r="E375" s="8" t="s">
        <v>50</v>
      </c>
      <c r="F375" s="31">
        <f>_xlfn.XLOOKUP(Table2[[#This Row],[Shoe style]],val[SHOE STYLE],val[UNIT PRICE])</f>
        <v>11007</v>
      </c>
      <c r="H375" s="11">
        <v>1</v>
      </c>
      <c r="I375" s="6">
        <f>IF(Table2[[#This Row],[Discount]]&lt;(Table2[[#This Row],[UNIT PRICE]]*Table2[[#This Row],[Quantity sold]]),Table2[[#This Row],[UNIT PRICE]]*Table2[[#This Row],[Quantity sold]]-Table2[[#This Row],[Discount]],0)</f>
        <v>11007</v>
      </c>
      <c r="J375" s="10">
        <v>18000</v>
      </c>
      <c r="K375" s="2">
        <f>_xlfn.XLOOKUP(Table2[[#This Row],[Shoe style]],val[SHOE STYLE],val[COST PRICE])</f>
        <v>8327</v>
      </c>
      <c r="L375" s="2">
        <f>(Table2[[#This Row],[COST PRICE]]*Table2[[#This Row],[Quantity sold]])</f>
        <v>8327</v>
      </c>
      <c r="M375" s="2">
        <f>Table2[[#This Row],[TOTAL SALES]]-Table2[[#This Row],[TOTAL COST PRICE]]</f>
        <v>2680</v>
      </c>
      <c r="N375" s="2">
        <f>IF(Table2[[#This Row],[Amount Paid]]&gt;0,(SUMIF(Table2[Order ID],Table2[[#This Row],[Order ID]],Table2[Amount Paid])-SUMIF(Table2[Order ID],Table2[[#This Row],[Order ID]],Table2[TOTAL SALES])),0)</f>
        <v>6993</v>
      </c>
      <c r="O375" s="8">
        <v>41</v>
      </c>
      <c r="P375" s="8" t="s">
        <v>25</v>
      </c>
      <c r="Q375" s="8" t="s">
        <v>26</v>
      </c>
      <c r="R375" s="8" t="s">
        <v>27</v>
      </c>
      <c r="S375" s="8" t="s">
        <v>28</v>
      </c>
      <c r="T375" s="8">
        <f t="shared" si="5"/>
        <v>0</v>
      </c>
      <c r="U375" t="str" cm="1">
        <f t="array" ref="U375">_xlfn.IFNA(_xlfn.IFS(Table2[[#This Row],[DEFICIT /SURPLUS]]&lt;0,"Deficit",Table2[[#This Row],[DEFICIT /SURPLUS]]&gt;0,"surplus"),"-")</f>
        <v>surplus</v>
      </c>
    </row>
    <row r="376" spans="1:21" ht="14.5">
      <c r="A376" s="8" t="s">
        <v>288</v>
      </c>
      <c r="B376" s="9">
        <v>45616</v>
      </c>
      <c r="C376" s="8" t="s">
        <v>22</v>
      </c>
      <c r="D376" s="8" t="s">
        <v>68</v>
      </c>
      <c r="E376" s="8" t="s">
        <v>109</v>
      </c>
      <c r="F376" s="31">
        <f>_xlfn.XLOOKUP(Table2[[#This Row],[Shoe style]],val[SHOE STYLE],val[UNIT PRICE])</f>
        <v>10509</v>
      </c>
      <c r="H376" s="11">
        <v>1</v>
      </c>
      <c r="I376" s="6">
        <f>IF(Table2[[#This Row],[Discount]]&lt;(Table2[[#This Row],[UNIT PRICE]]*Table2[[#This Row],[Quantity sold]]),Table2[[#This Row],[UNIT PRICE]]*Table2[[#This Row],[Quantity sold]]-Table2[[#This Row],[Discount]],0)</f>
        <v>10509</v>
      </c>
      <c r="J376" s="10">
        <v>42000</v>
      </c>
      <c r="K376" s="2">
        <f>_xlfn.XLOOKUP(Table2[[#This Row],[Shoe style]],val[SHOE STYLE],val[COST PRICE])</f>
        <v>7573</v>
      </c>
      <c r="L376" s="2">
        <f>(Table2[[#This Row],[COST PRICE]]*Table2[[#This Row],[Quantity sold]])</f>
        <v>7573</v>
      </c>
      <c r="M376" s="2">
        <f>Table2[[#This Row],[TOTAL SALES]]-Table2[[#This Row],[TOTAL COST PRICE]]</f>
        <v>2936</v>
      </c>
      <c r="N376" s="2">
        <f>IF(Table2[[#This Row],[Amount Paid]]&gt;0,(SUMIF(Table2[Order ID],Table2[[#This Row],[Order ID]],Table2[Amount Paid])-SUMIF(Table2[Order ID],Table2[[#This Row],[Order ID]],Table2[TOTAL SALES])),0)</f>
        <v>10991</v>
      </c>
      <c r="O376" s="8">
        <v>41</v>
      </c>
      <c r="P376" s="8" t="s">
        <v>25</v>
      </c>
      <c r="Q376" s="8" t="s">
        <v>26</v>
      </c>
      <c r="R376" s="8" t="s">
        <v>27</v>
      </c>
      <c r="S376" s="8" t="s">
        <v>28</v>
      </c>
      <c r="T376" s="8">
        <f t="shared" si="5"/>
        <v>0</v>
      </c>
      <c r="U376" t="str" cm="1">
        <f t="array" ref="U376">_xlfn.IFNA(_xlfn.IFS(Table2[[#This Row],[DEFICIT /SURPLUS]]&lt;0,"Deficit",Table2[[#This Row],[DEFICIT /SURPLUS]]&gt;0,"surplus"),"-")</f>
        <v>surplus</v>
      </c>
    </row>
    <row r="377" spans="1:21" ht="14.5">
      <c r="A377" s="8" t="s">
        <v>288</v>
      </c>
      <c r="B377" s="9">
        <v>45617</v>
      </c>
      <c r="C377" s="8" t="s">
        <v>22</v>
      </c>
      <c r="D377" s="8" t="s">
        <v>49</v>
      </c>
      <c r="E377" s="8" t="s">
        <v>43</v>
      </c>
      <c r="F377" s="31">
        <f>_xlfn.XLOOKUP(Table2[[#This Row],[Shoe style]],val[SHOE STYLE],val[UNIT PRICE])</f>
        <v>20500</v>
      </c>
      <c r="H377" s="11">
        <v>1</v>
      </c>
      <c r="I377" s="6">
        <f>IF(Table2[[#This Row],[Discount]]&lt;(Table2[[#This Row],[UNIT PRICE]]*Table2[[#This Row],[Quantity sold]]),Table2[[#This Row],[UNIT PRICE]]*Table2[[#This Row],[Quantity sold]]-Table2[[#This Row],[Discount]],0)</f>
        <v>20500</v>
      </c>
      <c r="K377" s="2">
        <f>_xlfn.XLOOKUP(Table2[[#This Row],[Shoe style]],val[SHOE STYLE],val[COST PRICE])</f>
        <v>17339</v>
      </c>
      <c r="L377" s="2">
        <f>(Table2[[#This Row],[COST PRICE]]*Table2[[#This Row],[Quantity sold]])</f>
        <v>17339</v>
      </c>
      <c r="M377" s="2">
        <f>Table2[[#This Row],[TOTAL SALES]]-Table2[[#This Row],[TOTAL COST PRICE]]</f>
        <v>3161</v>
      </c>
      <c r="N377" s="2">
        <f>IF(Table2[[#This Row],[Amount Paid]]&gt;0,(SUMIF(Table2[Order ID],Table2[[#This Row],[Order ID]],Table2[Amount Paid])-SUMIF(Table2[Order ID],Table2[[#This Row],[Order ID]],Table2[TOTAL SALES])),0)</f>
        <v>0</v>
      </c>
      <c r="O377" s="8">
        <v>41</v>
      </c>
      <c r="P377" s="8" t="s">
        <v>25</v>
      </c>
      <c r="Q377" s="8" t="s">
        <v>26</v>
      </c>
      <c r="R377" s="8" t="s">
        <v>27</v>
      </c>
      <c r="S377" s="8" t="s">
        <v>492</v>
      </c>
      <c r="T377" s="8">
        <f t="shared" si="5"/>
        <v>1</v>
      </c>
      <c r="U377" t="str" cm="1">
        <f t="array" ref="U377">_xlfn.IFNA(_xlfn.IFS(Table2[[#This Row],[DEFICIT /SURPLUS]]&lt;0,"Deficit",Table2[[#This Row],[DEFICIT /SURPLUS]]&gt;0,"surplus"),"-")</f>
        <v>-</v>
      </c>
    </row>
    <row r="378" spans="1:21" ht="14.5">
      <c r="A378" s="8" t="s">
        <v>289</v>
      </c>
      <c r="B378" s="9">
        <v>45621</v>
      </c>
      <c r="C378" s="8" t="s">
        <v>22</v>
      </c>
      <c r="D378" s="8" t="s">
        <v>35</v>
      </c>
      <c r="E378" s="8" t="s">
        <v>24</v>
      </c>
      <c r="F378" s="31">
        <f>_xlfn.XLOOKUP(Table2[[#This Row],[Shoe style]],val[SHOE STYLE],val[UNIT PRICE])</f>
        <v>16646</v>
      </c>
      <c r="H378" s="11">
        <v>1</v>
      </c>
      <c r="I378" s="6">
        <f>IF(Table2[[#This Row],[Discount]]&lt;(Table2[[#This Row],[UNIT PRICE]]*Table2[[#This Row],[Quantity sold]]),Table2[[#This Row],[UNIT PRICE]]*Table2[[#This Row],[Quantity sold]]-Table2[[#This Row],[Discount]],0)</f>
        <v>16646</v>
      </c>
      <c r="J378" s="10">
        <v>32623</v>
      </c>
      <c r="K378" s="2">
        <f>_xlfn.XLOOKUP(Table2[[#This Row],[Shoe style]],val[SHOE STYLE],val[COST PRICE])</f>
        <v>13546</v>
      </c>
      <c r="L378" s="2">
        <f>(Table2[[#This Row],[COST PRICE]]*Table2[[#This Row],[Quantity sold]])</f>
        <v>13546</v>
      </c>
      <c r="M378" s="2">
        <f>Table2[[#This Row],[TOTAL SALES]]-Table2[[#This Row],[TOTAL COST PRICE]]</f>
        <v>3100</v>
      </c>
      <c r="N378" s="2">
        <f>IF(Table2[[#This Row],[Amount Paid]]&gt;0,(SUMIF(Table2[Order ID],Table2[[#This Row],[Order ID]],Table2[Amount Paid])-SUMIF(Table2[Order ID],Table2[[#This Row],[Order ID]],Table2[TOTAL SALES])),0)</f>
        <v>5468</v>
      </c>
      <c r="O378" s="8">
        <v>41</v>
      </c>
      <c r="P378" s="8" t="s">
        <v>25</v>
      </c>
      <c r="Q378" s="8" t="s">
        <v>26</v>
      </c>
      <c r="R378" s="8" t="s">
        <v>27</v>
      </c>
      <c r="S378" s="8" t="s">
        <v>28</v>
      </c>
      <c r="T378" s="8">
        <f t="shared" si="5"/>
        <v>0</v>
      </c>
      <c r="U378" t="str" cm="1">
        <f t="array" ref="U378">_xlfn.IFNA(_xlfn.IFS(Table2[[#This Row],[DEFICIT /SURPLUS]]&lt;0,"Deficit",Table2[[#This Row],[DEFICIT /SURPLUS]]&gt;0,"surplus"),"-")</f>
        <v>surplus</v>
      </c>
    </row>
    <row r="379" spans="1:21" ht="14.5">
      <c r="A379" s="8" t="s">
        <v>289</v>
      </c>
      <c r="B379" s="9">
        <v>45621</v>
      </c>
      <c r="C379" s="8" t="s">
        <v>22</v>
      </c>
      <c r="D379" s="8" t="s">
        <v>68</v>
      </c>
      <c r="E379" s="8" t="s">
        <v>109</v>
      </c>
      <c r="F379" s="31">
        <f>_xlfn.XLOOKUP(Table2[[#This Row],[Shoe style]],val[SHOE STYLE],val[UNIT PRICE])</f>
        <v>10509</v>
      </c>
      <c r="H379" s="11">
        <v>1</v>
      </c>
      <c r="I379" s="6">
        <f>IF(Table2[[#This Row],[Discount]]&lt;(Table2[[#This Row],[UNIT PRICE]]*Table2[[#This Row],[Quantity sold]]),Table2[[#This Row],[UNIT PRICE]]*Table2[[#This Row],[Quantity sold]]-Table2[[#This Row],[Discount]],0)</f>
        <v>10509</v>
      </c>
      <c r="K379" s="2">
        <f>_xlfn.XLOOKUP(Table2[[#This Row],[Shoe style]],val[SHOE STYLE],val[COST PRICE])</f>
        <v>7573</v>
      </c>
      <c r="L379" s="2">
        <f>(Table2[[#This Row],[COST PRICE]]*Table2[[#This Row],[Quantity sold]])</f>
        <v>7573</v>
      </c>
      <c r="M379" s="2">
        <f>Table2[[#This Row],[TOTAL SALES]]-Table2[[#This Row],[TOTAL COST PRICE]]</f>
        <v>2936</v>
      </c>
      <c r="N379" s="2">
        <f>IF(Table2[[#This Row],[Amount Paid]]&gt;0,(SUMIF(Table2[Order ID],Table2[[#This Row],[Order ID]],Table2[Amount Paid])-SUMIF(Table2[Order ID],Table2[[#This Row],[Order ID]],Table2[TOTAL SALES])),0)</f>
        <v>0</v>
      </c>
      <c r="O379" s="8">
        <v>41</v>
      </c>
      <c r="P379" s="8" t="s">
        <v>25</v>
      </c>
      <c r="Q379" s="8" t="s">
        <v>26</v>
      </c>
      <c r="R379" s="8" t="s">
        <v>27</v>
      </c>
      <c r="S379" s="8" t="s">
        <v>28</v>
      </c>
      <c r="T379" s="8">
        <f t="shared" ref="T379:T440" si="6">IF(S379="NO",1,0)</f>
        <v>0</v>
      </c>
      <c r="U379" t="str" cm="1">
        <f t="array" ref="U379">_xlfn.IFNA(_xlfn.IFS(Table2[[#This Row],[DEFICIT /SURPLUS]]&lt;0,"Deficit",Table2[[#This Row],[DEFICIT /SURPLUS]]&gt;0,"surplus"),"-")</f>
        <v>-</v>
      </c>
    </row>
    <row r="380" spans="1:21" ht="14.5">
      <c r="A380" s="8" t="s">
        <v>290</v>
      </c>
      <c r="B380" s="9">
        <v>45618</v>
      </c>
      <c r="C380" s="8" t="s">
        <v>22</v>
      </c>
      <c r="D380" s="8" t="s">
        <v>29</v>
      </c>
      <c r="E380" s="8" t="s">
        <v>109</v>
      </c>
      <c r="F380" s="31">
        <f>_xlfn.XLOOKUP(Table2[[#This Row],[Shoe style]],val[SHOE STYLE],val[UNIT PRICE])</f>
        <v>12395</v>
      </c>
      <c r="H380" s="11">
        <v>1</v>
      </c>
      <c r="I380" s="6">
        <f>IF(Table2[[#This Row],[Discount]]&lt;(Table2[[#This Row],[UNIT PRICE]]*Table2[[#This Row],[Quantity sold]]),Table2[[#This Row],[UNIT PRICE]]*Table2[[#This Row],[Quantity sold]]-Table2[[#This Row],[Discount]],0)</f>
        <v>12395</v>
      </c>
      <c r="K380" s="2">
        <f>_xlfn.XLOOKUP(Table2[[#This Row],[Shoe style]],val[SHOE STYLE],val[COST PRICE])</f>
        <v>7909</v>
      </c>
      <c r="L380" s="2">
        <f>(Table2[[#This Row],[COST PRICE]]*Table2[[#This Row],[Quantity sold]])</f>
        <v>7909</v>
      </c>
      <c r="M380" s="2">
        <f>Table2[[#This Row],[TOTAL SALES]]-Table2[[#This Row],[TOTAL COST PRICE]]</f>
        <v>4486</v>
      </c>
      <c r="N380" s="2">
        <f>IF(Table2[[#This Row],[Amount Paid]]&gt;0,(SUMIF(Table2[Order ID],Table2[[#This Row],[Order ID]],Table2[Amount Paid])-SUMIF(Table2[Order ID],Table2[[#This Row],[Order ID]],Table2[TOTAL SALES])),0)</f>
        <v>0</v>
      </c>
      <c r="O380" s="8">
        <v>38</v>
      </c>
      <c r="P380" s="8" t="s">
        <v>25</v>
      </c>
      <c r="Q380" s="8" t="s">
        <v>26</v>
      </c>
      <c r="R380" s="8" t="s">
        <v>27</v>
      </c>
      <c r="S380" s="8" t="s">
        <v>28</v>
      </c>
      <c r="T380" s="8">
        <f t="shared" si="6"/>
        <v>0</v>
      </c>
      <c r="U380" t="str" cm="1">
        <f t="array" ref="U380">_xlfn.IFNA(_xlfn.IFS(Table2[[#This Row],[DEFICIT /SURPLUS]]&lt;0,"Deficit",Table2[[#This Row],[DEFICIT /SURPLUS]]&gt;0,"surplus"),"-")</f>
        <v>-</v>
      </c>
    </row>
    <row r="381" spans="1:21" ht="14.5">
      <c r="A381" s="8" t="s">
        <v>290</v>
      </c>
      <c r="B381" s="9">
        <v>45618</v>
      </c>
      <c r="C381" s="8" t="s">
        <v>22</v>
      </c>
      <c r="D381" s="8" t="s">
        <v>53</v>
      </c>
      <c r="E381" s="8" t="s">
        <v>78</v>
      </c>
      <c r="F381" s="31">
        <f>_xlfn.XLOOKUP(Table2[[#This Row],[Shoe style]],val[SHOE STYLE],val[UNIT PRICE])</f>
        <v>9838</v>
      </c>
      <c r="H381" s="11">
        <v>1</v>
      </c>
      <c r="I381" s="6">
        <f>IF(Table2[[#This Row],[Discount]]&lt;(Table2[[#This Row],[UNIT PRICE]]*Table2[[#This Row],[Quantity sold]]),Table2[[#This Row],[UNIT PRICE]]*Table2[[#This Row],[Quantity sold]]-Table2[[#This Row],[Discount]],0)</f>
        <v>9838</v>
      </c>
      <c r="K381" s="2">
        <f>_xlfn.XLOOKUP(Table2[[#This Row],[Shoe style]],val[SHOE STYLE],val[COST PRICE])</f>
        <v>6687</v>
      </c>
      <c r="L381" s="2">
        <f>(Table2[[#This Row],[COST PRICE]]*Table2[[#This Row],[Quantity sold]])</f>
        <v>6687</v>
      </c>
      <c r="M381" s="2">
        <f>Table2[[#This Row],[TOTAL SALES]]-Table2[[#This Row],[TOTAL COST PRICE]]</f>
        <v>3151</v>
      </c>
      <c r="N381" s="2">
        <f>IF(Table2[[#This Row],[Amount Paid]]&gt;0,(SUMIF(Table2[Order ID],Table2[[#This Row],[Order ID]],Table2[Amount Paid])-SUMIF(Table2[Order ID],Table2[[#This Row],[Order ID]],Table2[TOTAL SALES])),0)</f>
        <v>0</v>
      </c>
      <c r="O381" s="8">
        <v>38</v>
      </c>
      <c r="P381" s="8" t="s">
        <v>25</v>
      </c>
      <c r="Q381" s="8" t="s">
        <v>26</v>
      </c>
      <c r="R381" s="8" t="s">
        <v>27</v>
      </c>
      <c r="S381" s="8" t="s">
        <v>28</v>
      </c>
      <c r="T381" s="8">
        <f t="shared" si="6"/>
        <v>0</v>
      </c>
      <c r="U381" t="str" cm="1">
        <f t="array" ref="U381">_xlfn.IFNA(_xlfn.IFS(Table2[[#This Row],[DEFICIT /SURPLUS]]&lt;0,"Deficit",Table2[[#This Row],[DEFICIT /SURPLUS]]&gt;0,"surplus"),"-")</f>
        <v>-</v>
      </c>
    </row>
    <row r="382" spans="1:21" ht="14.5">
      <c r="A382" s="8" t="s">
        <v>290</v>
      </c>
      <c r="B382" s="9">
        <v>45618</v>
      </c>
      <c r="C382" s="8" t="s">
        <v>22</v>
      </c>
      <c r="D382" s="8" t="s">
        <v>53</v>
      </c>
      <c r="E382" s="8" t="s">
        <v>78</v>
      </c>
      <c r="F382" s="31">
        <f>_xlfn.XLOOKUP(Table2[[#This Row],[Shoe style]],val[SHOE STYLE],val[UNIT PRICE])</f>
        <v>9838</v>
      </c>
      <c r="H382" s="11">
        <v>1</v>
      </c>
      <c r="I382" s="6">
        <f>IF(Table2[[#This Row],[Discount]]&lt;(Table2[[#This Row],[UNIT PRICE]]*Table2[[#This Row],[Quantity sold]]),Table2[[#This Row],[UNIT PRICE]]*Table2[[#This Row],[Quantity sold]]-Table2[[#This Row],[Discount]],0)</f>
        <v>9838</v>
      </c>
      <c r="K382" s="2">
        <f>_xlfn.XLOOKUP(Table2[[#This Row],[Shoe style]],val[SHOE STYLE],val[COST PRICE])</f>
        <v>6687</v>
      </c>
      <c r="L382" s="2">
        <f>(Table2[[#This Row],[COST PRICE]]*Table2[[#This Row],[Quantity sold]])</f>
        <v>6687</v>
      </c>
      <c r="M382" s="2">
        <f>Table2[[#This Row],[TOTAL SALES]]-Table2[[#This Row],[TOTAL COST PRICE]]</f>
        <v>3151</v>
      </c>
      <c r="N382" s="2">
        <f>IF(Table2[[#This Row],[Amount Paid]]&gt;0,(SUMIF(Table2[Order ID],Table2[[#This Row],[Order ID]],Table2[Amount Paid])-SUMIF(Table2[Order ID],Table2[[#This Row],[Order ID]],Table2[TOTAL SALES])),0)</f>
        <v>0</v>
      </c>
      <c r="O382" s="8">
        <v>38</v>
      </c>
      <c r="P382" s="8" t="s">
        <v>25</v>
      </c>
      <c r="Q382" s="8" t="s">
        <v>26</v>
      </c>
      <c r="R382" s="8" t="s">
        <v>27</v>
      </c>
      <c r="S382" s="8" t="s">
        <v>28</v>
      </c>
      <c r="T382" s="8">
        <f t="shared" si="6"/>
        <v>0</v>
      </c>
      <c r="U382" t="str" cm="1">
        <f t="array" ref="U382">_xlfn.IFNA(_xlfn.IFS(Table2[[#This Row],[DEFICIT /SURPLUS]]&lt;0,"Deficit",Table2[[#This Row],[DEFICIT /SURPLUS]]&gt;0,"surplus"),"-")</f>
        <v>-</v>
      </c>
    </row>
    <row r="383" spans="1:21" ht="14.5">
      <c r="A383" s="8" t="s">
        <v>291</v>
      </c>
      <c r="B383" s="9">
        <v>45619</v>
      </c>
      <c r="C383" s="8" t="s">
        <v>22</v>
      </c>
      <c r="D383" s="8" t="s">
        <v>37</v>
      </c>
      <c r="E383" s="8" t="s">
        <v>89</v>
      </c>
      <c r="F383" s="31">
        <f>_xlfn.XLOOKUP(Table2[[#This Row],[Shoe style]],val[SHOE STYLE],val[UNIT PRICE])</f>
        <v>22728</v>
      </c>
      <c r="H383" s="11">
        <v>1</v>
      </c>
      <c r="I383" s="6">
        <f>IF(Table2[[#This Row],[Discount]]&lt;(Table2[[#This Row],[UNIT PRICE]]*Table2[[#This Row],[Quantity sold]]),Table2[[#This Row],[UNIT PRICE]]*Table2[[#This Row],[Quantity sold]]-Table2[[#This Row],[Discount]],0)</f>
        <v>22728</v>
      </c>
      <c r="J383" s="10">
        <v>37000</v>
      </c>
      <c r="K383" s="2">
        <f>_xlfn.XLOOKUP(Table2[[#This Row],[Shoe style]],val[SHOE STYLE],val[COST PRICE])</f>
        <v>20451</v>
      </c>
      <c r="L383" s="2">
        <f>(Table2[[#This Row],[COST PRICE]]*Table2[[#This Row],[Quantity sold]])</f>
        <v>20451</v>
      </c>
      <c r="M383" s="2">
        <f>Table2[[#This Row],[TOTAL SALES]]-Table2[[#This Row],[TOTAL COST PRICE]]</f>
        <v>2277</v>
      </c>
      <c r="N383" s="2">
        <f>IF(Table2[[#This Row],[Amount Paid]]&gt;0,(SUMIF(Table2[Order ID],Table2[[#This Row],[Order ID]],Table2[Amount Paid])-SUMIF(Table2[Order ID],Table2[[#This Row],[Order ID]],Table2[TOTAL SALES])),0)</f>
        <v>-15242</v>
      </c>
      <c r="O383" s="8">
        <v>38</v>
      </c>
      <c r="P383" s="8" t="s">
        <v>25</v>
      </c>
      <c r="Q383" s="8" t="s">
        <v>26</v>
      </c>
      <c r="R383" s="8" t="s">
        <v>292</v>
      </c>
      <c r="S383" s="8" t="s">
        <v>28</v>
      </c>
      <c r="T383" s="8">
        <f t="shared" si="6"/>
        <v>0</v>
      </c>
      <c r="U383" t="str" cm="1">
        <f t="array" ref="U383">_xlfn.IFNA(_xlfn.IFS(Table2[[#This Row],[DEFICIT /SURPLUS]]&lt;0,"Deficit",Table2[[#This Row],[DEFICIT /SURPLUS]]&gt;0,"surplus"),"-")</f>
        <v>Deficit</v>
      </c>
    </row>
    <row r="384" spans="1:21" ht="14.5">
      <c r="A384" s="8" t="s">
        <v>291</v>
      </c>
      <c r="B384" s="9">
        <v>45619</v>
      </c>
      <c r="C384" s="8" t="s">
        <v>22</v>
      </c>
      <c r="D384" s="8" t="s">
        <v>53</v>
      </c>
      <c r="E384" s="8" t="s">
        <v>78</v>
      </c>
      <c r="F384" s="31">
        <f>_xlfn.XLOOKUP(Table2[[#This Row],[Shoe style]],val[SHOE STYLE],val[UNIT PRICE])</f>
        <v>9838</v>
      </c>
      <c r="H384" s="11">
        <v>1</v>
      </c>
      <c r="I384" s="6">
        <f>IF(Table2[[#This Row],[Discount]]&lt;(Table2[[#This Row],[UNIT PRICE]]*Table2[[#This Row],[Quantity sold]]),Table2[[#This Row],[UNIT PRICE]]*Table2[[#This Row],[Quantity sold]]-Table2[[#This Row],[Discount]],0)</f>
        <v>9838</v>
      </c>
      <c r="K384" s="2">
        <f>_xlfn.XLOOKUP(Table2[[#This Row],[Shoe style]],val[SHOE STYLE],val[COST PRICE])</f>
        <v>6687</v>
      </c>
      <c r="L384" s="2">
        <f>(Table2[[#This Row],[COST PRICE]]*Table2[[#This Row],[Quantity sold]])</f>
        <v>6687</v>
      </c>
      <c r="M384" s="2">
        <f>Table2[[#This Row],[TOTAL SALES]]-Table2[[#This Row],[TOTAL COST PRICE]]</f>
        <v>3151</v>
      </c>
      <c r="N384" s="2">
        <f>IF(Table2[[#This Row],[Amount Paid]]&gt;0,(SUMIF(Table2[Order ID],Table2[[#This Row],[Order ID]],Table2[Amount Paid])-SUMIF(Table2[Order ID],Table2[[#This Row],[Order ID]],Table2[TOTAL SALES])),0)</f>
        <v>0</v>
      </c>
      <c r="O384" s="8">
        <v>38</v>
      </c>
      <c r="P384" s="8" t="s">
        <v>25</v>
      </c>
      <c r="Q384" s="8" t="s">
        <v>26</v>
      </c>
      <c r="R384" s="8" t="s">
        <v>292</v>
      </c>
      <c r="S384" s="8" t="s">
        <v>28</v>
      </c>
      <c r="T384" s="8">
        <f t="shared" si="6"/>
        <v>0</v>
      </c>
      <c r="U384" t="str" cm="1">
        <f t="array" ref="U384">_xlfn.IFNA(_xlfn.IFS(Table2[[#This Row],[DEFICIT /SURPLUS]]&lt;0,"Deficit",Table2[[#This Row],[DEFICIT /SURPLUS]]&gt;0,"surplus"),"-")</f>
        <v>-</v>
      </c>
    </row>
    <row r="385" spans="1:21" ht="14.5">
      <c r="A385" s="8" t="s">
        <v>291</v>
      </c>
      <c r="B385" s="9">
        <v>45619</v>
      </c>
      <c r="C385" s="8" t="s">
        <v>22</v>
      </c>
      <c r="D385" s="8" t="s">
        <v>53</v>
      </c>
      <c r="E385" s="8" t="s">
        <v>78</v>
      </c>
      <c r="F385" s="31">
        <f>_xlfn.XLOOKUP(Table2[[#This Row],[Shoe style]],val[SHOE STYLE],val[UNIT PRICE])</f>
        <v>9838</v>
      </c>
      <c r="H385" s="11">
        <v>1</v>
      </c>
      <c r="I385" s="6">
        <f>IF(Table2[[#This Row],[Discount]]&lt;(Table2[[#This Row],[UNIT PRICE]]*Table2[[#This Row],[Quantity sold]]),Table2[[#This Row],[UNIT PRICE]]*Table2[[#This Row],[Quantity sold]]-Table2[[#This Row],[Discount]],0)</f>
        <v>9838</v>
      </c>
      <c r="K385" s="2">
        <f>_xlfn.XLOOKUP(Table2[[#This Row],[Shoe style]],val[SHOE STYLE],val[COST PRICE])</f>
        <v>6687</v>
      </c>
      <c r="L385" s="2">
        <f>(Table2[[#This Row],[COST PRICE]]*Table2[[#This Row],[Quantity sold]])</f>
        <v>6687</v>
      </c>
      <c r="M385" s="2">
        <f>Table2[[#This Row],[TOTAL SALES]]-Table2[[#This Row],[TOTAL COST PRICE]]</f>
        <v>3151</v>
      </c>
      <c r="N385" s="2">
        <f>IF(Table2[[#This Row],[Amount Paid]]&gt;0,(SUMIF(Table2[Order ID],Table2[[#This Row],[Order ID]],Table2[Amount Paid])-SUMIF(Table2[Order ID],Table2[[#This Row],[Order ID]],Table2[TOTAL SALES])),0)</f>
        <v>0</v>
      </c>
      <c r="O385" s="8">
        <v>38</v>
      </c>
      <c r="P385" s="8" t="s">
        <v>25</v>
      </c>
      <c r="Q385" s="8" t="s">
        <v>26</v>
      </c>
      <c r="R385" s="8" t="s">
        <v>292</v>
      </c>
      <c r="S385" s="8" t="s">
        <v>28</v>
      </c>
      <c r="T385" s="8">
        <f t="shared" si="6"/>
        <v>0</v>
      </c>
      <c r="U385" t="str" cm="1">
        <f t="array" ref="U385">_xlfn.IFNA(_xlfn.IFS(Table2[[#This Row],[DEFICIT /SURPLUS]]&lt;0,"Deficit",Table2[[#This Row],[DEFICIT /SURPLUS]]&gt;0,"surplus"),"-")</f>
        <v>-</v>
      </c>
    </row>
    <row r="386" spans="1:21" ht="14.5">
      <c r="A386" s="8" t="s">
        <v>291</v>
      </c>
      <c r="B386" s="9">
        <v>45619</v>
      </c>
      <c r="C386" s="8" t="s">
        <v>22</v>
      </c>
      <c r="D386" s="8" t="s">
        <v>53</v>
      </c>
      <c r="E386" s="8" t="s">
        <v>78</v>
      </c>
      <c r="F386" s="31">
        <f>_xlfn.XLOOKUP(Table2[[#This Row],[Shoe style]],val[SHOE STYLE],val[UNIT PRICE])</f>
        <v>9838</v>
      </c>
      <c r="H386" s="11">
        <v>1</v>
      </c>
      <c r="I386" s="6">
        <f>IF(Table2[[#This Row],[Discount]]&lt;(Table2[[#This Row],[UNIT PRICE]]*Table2[[#This Row],[Quantity sold]]),Table2[[#This Row],[UNIT PRICE]]*Table2[[#This Row],[Quantity sold]]-Table2[[#This Row],[Discount]],0)</f>
        <v>9838</v>
      </c>
      <c r="K386" s="2">
        <f>_xlfn.XLOOKUP(Table2[[#This Row],[Shoe style]],val[SHOE STYLE],val[COST PRICE])</f>
        <v>6687</v>
      </c>
      <c r="L386" s="2">
        <f>(Table2[[#This Row],[COST PRICE]]*Table2[[#This Row],[Quantity sold]])</f>
        <v>6687</v>
      </c>
      <c r="M386" s="2">
        <f>Table2[[#This Row],[TOTAL SALES]]-Table2[[#This Row],[TOTAL COST PRICE]]</f>
        <v>3151</v>
      </c>
      <c r="N386" s="2">
        <f>IF(Table2[[#This Row],[Amount Paid]]&gt;0,(SUMIF(Table2[Order ID],Table2[[#This Row],[Order ID]],Table2[Amount Paid])-SUMIF(Table2[Order ID],Table2[[#This Row],[Order ID]],Table2[TOTAL SALES])),0)</f>
        <v>0</v>
      </c>
      <c r="O386" s="8">
        <v>38</v>
      </c>
      <c r="P386" s="8" t="s">
        <v>25</v>
      </c>
      <c r="Q386" s="8" t="s">
        <v>26</v>
      </c>
      <c r="R386" s="8" t="s">
        <v>292</v>
      </c>
      <c r="S386" s="8" t="s">
        <v>28</v>
      </c>
      <c r="T386" s="8">
        <f t="shared" si="6"/>
        <v>0</v>
      </c>
      <c r="U386" t="str" cm="1">
        <f t="array" ref="U386">_xlfn.IFNA(_xlfn.IFS(Table2[[#This Row],[DEFICIT /SURPLUS]]&lt;0,"Deficit",Table2[[#This Row],[DEFICIT /SURPLUS]]&gt;0,"surplus"),"-")</f>
        <v>-</v>
      </c>
    </row>
    <row r="387" spans="1:21" ht="14.5">
      <c r="A387" s="8" t="s">
        <v>293</v>
      </c>
      <c r="B387" s="9">
        <v>45616</v>
      </c>
      <c r="C387" s="8" t="s">
        <v>22</v>
      </c>
      <c r="D387" s="8" t="s">
        <v>53</v>
      </c>
      <c r="E387" s="8" t="s">
        <v>24</v>
      </c>
      <c r="F387" s="31">
        <f>_xlfn.XLOOKUP(Table2[[#This Row],[Shoe style]],val[SHOE STYLE],val[UNIT PRICE])</f>
        <v>9838</v>
      </c>
      <c r="H387" s="11">
        <v>1</v>
      </c>
      <c r="I387" s="6">
        <f>IF(Table2[[#This Row],[Discount]]&lt;(Table2[[#This Row],[UNIT PRICE]]*Table2[[#This Row],[Quantity sold]]),Table2[[#This Row],[UNIT PRICE]]*Table2[[#This Row],[Quantity sold]]-Table2[[#This Row],[Discount]],0)</f>
        <v>9838</v>
      </c>
      <c r="J387" s="10">
        <v>18500</v>
      </c>
      <c r="K387" s="2">
        <f>_xlfn.XLOOKUP(Table2[[#This Row],[Shoe style]],val[SHOE STYLE],val[COST PRICE])</f>
        <v>6687</v>
      </c>
      <c r="L387" s="2">
        <f>(Table2[[#This Row],[COST PRICE]]*Table2[[#This Row],[Quantity sold]])</f>
        <v>6687</v>
      </c>
      <c r="M387" s="2">
        <f>Table2[[#This Row],[TOTAL SALES]]-Table2[[#This Row],[TOTAL COST PRICE]]</f>
        <v>3151</v>
      </c>
      <c r="N387" s="2">
        <f>IF(Table2[[#This Row],[Amount Paid]]&gt;0,(SUMIF(Table2[Order ID],Table2[[#This Row],[Order ID]],Table2[Amount Paid])-SUMIF(Table2[Order ID],Table2[[#This Row],[Order ID]],Table2[TOTAL SALES])),0)</f>
        <v>-1176</v>
      </c>
      <c r="O387" s="8">
        <v>40</v>
      </c>
      <c r="P387" s="8" t="s">
        <v>25</v>
      </c>
      <c r="Q387" s="8" t="s">
        <v>26</v>
      </c>
      <c r="R387" s="8" t="s">
        <v>27</v>
      </c>
      <c r="S387" s="8" t="s">
        <v>28</v>
      </c>
      <c r="T387" s="8">
        <f t="shared" si="6"/>
        <v>0</v>
      </c>
      <c r="U387" t="str" cm="1">
        <f t="array" ref="U387">_xlfn.IFNA(_xlfn.IFS(Table2[[#This Row],[DEFICIT /SURPLUS]]&lt;0,"Deficit",Table2[[#This Row],[DEFICIT /SURPLUS]]&gt;0,"surplus"),"-")</f>
        <v>Deficit</v>
      </c>
    </row>
    <row r="388" spans="1:21" ht="14.5">
      <c r="A388" s="8" t="s">
        <v>293</v>
      </c>
      <c r="B388" s="9">
        <v>45616</v>
      </c>
      <c r="C388" s="8" t="s">
        <v>22</v>
      </c>
      <c r="D388" s="8" t="s">
        <v>53</v>
      </c>
      <c r="E388" s="8" t="s">
        <v>24</v>
      </c>
      <c r="F388" s="31">
        <f>_xlfn.XLOOKUP(Table2[[#This Row],[Shoe style]],val[SHOE STYLE],val[UNIT PRICE])</f>
        <v>9838</v>
      </c>
      <c r="H388" s="11">
        <v>1</v>
      </c>
      <c r="I388" s="6">
        <f>IF(Table2[[#This Row],[Discount]]&lt;(Table2[[#This Row],[UNIT PRICE]]*Table2[[#This Row],[Quantity sold]]),Table2[[#This Row],[UNIT PRICE]]*Table2[[#This Row],[Quantity sold]]-Table2[[#This Row],[Discount]],0)</f>
        <v>9838</v>
      </c>
      <c r="K388" s="2">
        <f>_xlfn.XLOOKUP(Table2[[#This Row],[Shoe style]],val[SHOE STYLE],val[COST PRICE])</f>
        <v>6687</v>
      </c>
      <c r="L388" s="2">
        <f>(Table2[[#This Row],[COST PRICE]]*Table2[[#This Row],[Quantity sold]])</f>
        <v>6687</v>
      </c>
      <c r="M388" s="2">
        <f>Table2[[#This Row],[TOTAL SALES]]-Table2[[#This Row],[TOTAL COST PRICE]]</f>
        <v>3151</v>
      </c>
      <c r="N388" s="2">
        <f>IF(Table2[[#This Row],[Amount Paid]]&gt;0,(SUMIF(Table2[Order ID],Table2[[#This Row],[Order ID]],Table2[Amount Paid])-SUMIF(Table2[Order ID],Table2[[#This Row],[Order ID]],Table2[TOTAL SALES])),0)</f>
        <v>0</v>
      </c>
      <c r="O388" s="8">
        <v>40</v>
      </c>
      <c r="P388" s="8" t="s">
        <v>25</v>
      </c>
      <c r="Q388" s="8" t="s">
        <v>26</v>
      </c>
      <c r="R388" s="8" t="s">
        <v>27</v>
      </c>
      <c r="S388" s="8" t="s">
        <v>28</v>
      </c>
      <c r="T388" s="8">
        <f t="shared" si="6"/>
        <v>0</v>
      </c>
      <c r="U388" t="str" cm="1">
        <f t="array" ref="U388">_xlfn.IFNA(_xlfn.IFS(Table2[[#This Row],[DEFICIT /SURPLUS]]&lt;0,"Deficit",Table2[[#This Row],[DEFICIT /SURPLUS]]&gt;0,"surplus"),"-")</f>
        <v>-</v>
      </c>
    </row>
    <row r="389" spans="1:21" ht="14.5">
      <c r="A389" s="8" t="s">
        <v>294</v>
      </c>
      <c r="B389" s="9">
        <v>45621</v>
      </c>
      <c r="C389" s="8" t="s">
        <v>22</v>
      </c>
      <c r="D389" s="8" t="s">
        <v>29</v>
      </c>
      <c r="E389" s="8" t="s">
        <v>50</v>
      </c>
      <c r="F389" s="31">
        <f>_xlfn.XLOOKUP(Table2[[#This Row],[Shoe style]],val[SHOE STYLE],val[UNIT PRICE])</f>
        <v>12395</v>
      </c>
      <c r="H389" s="11">
        <v>1</v>
      </c>
      <c r="I389" s="6">
        <f>IF(Table2[[#This Row],[Discount]]&lt;(Table2[[#This Row],[UNIT PRICE]]*Table2[[#This Row],[Quantity sold]]),Table2[[#This Row],[UNIT PRICE]]*Table2[[#This Row],[Quantity sold]]-Table2[[#This Row],[Discount]],0)</f>
        <v>12395</v>
      </c>
      <c r="J389" s="10">
        <v>21500</v>
      </c>
      <c r="K389" s="2">
        <f>_xlfn.XLOOKUP(Table2[[#This Row],[Shoe style]],val[SHOE STYLE],val[COST PRICE])</f>
        <v>7909</v>
      </c>
      <c r="L389" s="2">
        <f>(Table2[[#This Row],[COST PRICE]]*Table2[[#This Row],[Quantity sold]])</f>
        <v>7909</v>
      </c>
      <c r="M389" s="2">
        <f>Table2[[#This Row],[TOTAL SALES]]-Table2[[#This Row],[TOTAL COST PRICE]]</f>
        <v>4486</v>
      </c>
      <c r="N389" s="2">
        <f>IF(Table2[[#This Row],[Amount Paid]]&gt;0,(SUMIF(Table2[Order ID],Table2[[#This Row],[Order ID]],Table2[Amount Paid])-SUMIF(Table2[Order ID],Table2[[#This Row],[Order ID]],Table2[TOTAL SALES])),0)</f>
        <v>9105</v>
      </c>
      <c r="O389" s="8">
        <v>41</v>
      </c>
      <c r="P389" s="8" t="s">
        <v>25</v>
      </c>
      <c r="Q389" s="8" t="s">
        <v>26</v>
      </c>
      <c r="R389" s="8" t="s">
        <v>27</v>
      </c>
      <c r="S389" s="8" t="s">
        <v>28</v>
      </c>
      <c r="T389" s="8">
        <f t="shared" si="6"/>
        <v>0</v>
      </c>
      <c r="U389" t="str" cm="1">
        <f t="array" ref="U389">_xlfn.IFNA(_xlfn.IFS(Table2[[#This Row],[DEFICIT /SURPLUS]]&lt;0,"Deficit",Table2[[#This Row],[DEFICIT /SURPLUS]]&gt;0,"surplus"),"-")</f>
        <v>surplus</v>
      </c>
    </row>
    <row r="390" spans="1:21" ht="14.5">
      <c r="A390" s="8" t="s">
        <v>295</v>
      </c>
      <c r="B390" s="9">
        <v>45621</v>
      </c>
      <c r="C390" s="8" t="s">
        <v>112</v>
      </c>
      <c r="D390" s="8" t="s">
        <v>49</v>
      </c>
      <c r="E390" s="8" t="s">
        <v>50</v>
      </c>
      <c r="F390" s="31">
        <f>_xlfn.XLOOKUP(Table2[[#This Row],[Shoe style]],val[SHOE STYLE],val[UNIT PRICE])</f>
        <v>20500</v>
      </c>
      <c r="H390" s="11">
        <v>1</v>
      </c>
      <c r="I390" s="6">
        <f>IF(Table2[[#This Row],[Discount]]&lt;(Table2[[#This Row],[UNIT PRICE]]*Table2[[#This Row],[Quantity sold]]),Table2[[#This Row],[UNIT PRICE]]*Table2[[#This Row],[Quantity sold]]-Table2[[#This Row],[Discount]],0)</f>
        <v>20500</v>
      </c>
      <c r="J390" s="10">
        <v>64300</v>
      </c>
      <c r="K390" s="2">
        <f>_xlfn.XLOOKUP(Table2[[#This Row],[Shoe style]],val[SHOE STYLE],val[COST PRICE])</f>
        <v>17339</v>
      </c>
      <c r="L390" s="2">
        <f>(Table2[[#This Row],[COST PRICE]]*Table2[[#This Row],[Quantity sold]])</f>
        <v>17339</v>
      </c>
      <c r="M390" s="2">
        <f>Table2[[#This Row],[TOTAL SALES]]-Table2[[#This Row],[TOTAL COST PRICE]]</f>
        <v>3161</v>
      </c>
      <c r="N390" s="2">
        <f>IF(Table2[[#This Row],[Amount Paid]]&gt;0,(SUMIF(Table2[Order ID],Table2[[#This Row],[Order ID]],Table2[Amount Paid])-SUMIF(Table2[Order ID],Table2[[#This Row],[Order ID]],Table2[TOTAL SALES])),0)</f>
        <v>2828</v>
      </c>
      <c r="O390" s="8">
        <v>41</v>
      </c>
      <c r="P390" s="8" t="s">
        <v>25</v>
      </c>
      <c r="Q390" s="8" t="s">
        <v>26</v>
      </c>
      <c r="R390" s="8" t="s">
        <v>27</v>
      </c>
      <c r="S390" s="8" t="s">
        <v>28</v>
      </c>
      <c r="T390" s="8">
        <f t="shared" si="6"/>
        <v>0</v>
      </c>
      <c r="U390" t="str" cm="1">
        <f t="array" ref="U390">_xlfn.IFNA(_xlfn.IFS(Table2[[#This Row],[DEFICIT /SURPLUS]]&lt;0,"Deficit",Table2[[#This Row],[DEFICIT /SURPLUS]]&gt;0,"surplus"),"-")</f>
        <v>surplus</v>
      </c>
    </row>
    <row r="391" spans="1:21" ht="14.5">
      <c r="A391" s="8" t="s">
        <v>295</v>
      </c>
      <c r="B391" s="9">
        <v>45621</v>
      </c>
      <c r="C391" s="8" t="s">
        <v>112</v>
      </c>
      <c r="D391" s="8" t="s">
        <v>170</v>
      </c>
      <c r="E391" s="8" t="s">
        <v>109</v>
      </c>
      <c r="F391" s="31">
        <f>_xlfn.XLOOKUP(Table2[[#This Row],[Shoe style]],val[SHOE STYLE],val[UNIT PRICE])</f>
        <v>22433</v>
      </c>
      <c r="H391" s="11">
        <v>1</v>
      </c>
      <c r="I391" s="6">
        <f>IF(Table2[[#This Row],[Discount]]&lt;(Table2[[#This Row],[UNIT PRICE]]*Table2[[#This Row],[Quantity sold]]),Table2[[#This Row],[UNIT PRICE]]*Table2[[#This Row],[Quantity sold]]-Table2[[#This Row],[Discount]],0)</f>
        <v>22433</v>
      </c>
      <c r="K391" s="2">
        <f>_xlfn.XLOOKUP(Table2[[#This Row],[Shoe style]],val[SHOE STYLE],val[COST PRICE])</f>
        <v>17880</v>
      </c>
      <c r="L391" s="2">
        <f>(Table2[[#This Row],[COST PRICE]]*Table2[[#This Row],[Quantity sold]])</f>
        <v>17880</v>
      </c>
      <c r="M391" s="2">
        <f>Table2[[#This Row],[TOTAL SALES]]-Table2[[#This Row],[TOTAL COST PRICE]]</f>
        <v>4553</v>
      </c>
      <c r="N391" s="2">
        <f>IF(Table2[[#This Row],[Amount Paid]]&gt;0,(SUMIF(Table2[Order ID],Table2[[#This Row],[Order ID]],Table2[Amount Paid])-SUMIF(Table2[Order ID],Table2[[#This Row],[Order ID]],Table2[TOTAL SALES])),0)</f>
        <v>0</v>
      </c>
      <c r="O391" s="8">
        <v>41</v>
      </c>
      <c r="P391" s="8" t="s">
        <v>25</v>
      </c>
      <c r="Q391" s="8" t="s">
        <v>26</v>
      </c>
      <c r="R391" s="8" t="s">
        <v>27</v>
      </c>
      <c r="S391" s="8" t="s">
        <v>28</v>
      </c>
      <c r="T391" s="8">
        <f t="shared" si="6"/>
        <v>0</v>
      </c>
      <c r="U391" t="str" cm="1">
        <f t="array" ref="U391">_xlfn.IFNA(_xlfn.IFS(Table2[[#This Row],[DEFICIT /SURPLUS]]&lt;0,"Deficit",Table2[[#This Row],[DEFICIT /SURPLUS]]&gt;0,"surplus"),"-")</f>
        <v>-</v>
      </c>
    </row>
    <row r="392" spans="1:21" ht="14.5">
      <c r="A392" s="8" t="s">
        <v>295</v>
      </c>
      <c r="B392" s="9">
        <v>45621</v>
      </c>
      <c r="C392" s="8" t="s">
        <v>112</v>
      </c>
      <c r="D392" s="8" t="s">
        <v>86</v>
      </c>
      <c r="E392" s="8" t="s">
        <v>63</v>
      </c>
      <c r="F392" s="31">
        <f>_xlfn.XLOOKUP(Table2[[#This Row],[Shoe style]],val[SHOE STYLE],val[UNIT PRICE])</f>
        <v>18539</v>
      </c>
      <c r="H392" s="11">
        <v>1</v>
      </c>
      <c r="I392" s="6">
        <f>IF(Table2[[#This Row],[Discount]]&lt;(Table2[[#This Row],[UNIT PRICE]]*Table2[[#This Row],[Quantity sold]]),Table2[[#This Row],[UNIT PRICE]]*Table2[[#This Row],[Quantity sold]]-Table2[[#This Row],[Discount]],0)</f>
        <v>18539</v>
      </c>
      <c r="K392" s="2">
        <f>_xlfn.XLOOKUP(Table2[[#This Row],[Shoe style]],val[SHOE STYLE],val[COST PRICE])</f>
        <v>15497</v>
      </c>
      <c r="L392" s="2">
        <f>(Table2[[#This Row],[COST PRICE]]*Table2[[#This Row],[Quantity sold]])</f>
        <v>15497</v>
      </c>
      <c r="M392" s="2">
        <f>Table2[[#This Row],[TOTAL SALES]]-Table2[[#This Row],[TOTAL COST PRICE]]</f>
        <v>3042</v>
      </c>
      <c r="N392" s="2">
        <f>IF(Table2[[#This Row],[Amount Paid]]&gt;0,(SUMIF(Table2[Order ID],Table2[[#This Row],[Order ID]],Table2[Amount Paid])-SUMIF(Table2[Order ID],Table2[[#This Row],[Order ID]],Table2[TOTAL SALES])),0)</f>
        <v>0</v>
      </c>
      <c r="O392" s="8">
        <v>41</v>
      </c>
      <c r="P392" s="8" t="s">
        <v>25</v>
      </c>
      <c r="Q392" s="8" t="s">
        <v>26</v>
      </c>
      <c r="R392" s="8" t="s">
        <v>27</v>
      </c>
      <c r="S392" s="8" t="s">
        <v>28</v>
      </c>
      <c r="T392" s="8">
        <f t="shared" si="6"/>
        <v>0</v>
      </c>
      <c r="U392" t="str" cm="1">
        <f t="array" ref="U392">_xlfn.IFNA(_xlfn.IFS(Table2[[#This Row],[DEFICIT /SURPLUS]]&lt;0,"Deficit",Table2[[#This Row],[DEFICIT /SURPLUS]]&gt;0,"surplus"),"-")</f>
        <v>-</v>
      </c>
    </row>
    <row r="393" spans="1:21" ht="14.5">
      <c r="A393" s="8" t="s">
        <v>296</v>
      </c>
      <c r="B393" s="9">
        <v>45622</v>
      </c>
      <c r="C393" s="8" t="s">
        <v>22</v>
      </c>
      <c r="D393" s="8" t="s">
        <v>37</v>
      </c>
      <c r="E393" s="8" t="s">
        <v>62</v>
      </c>
      <c r="F393" s="31">
        <f>_xlfn.XLOOKUP(Table2[[#This Row],[Shoe style]],val[SHOE STYLE],val[UNIT PRICE])</f>
        <v>22728</v>
      </c>
      <c r="H393" s="11">
        <v>1</v>
      </c>
      <c r="I393" s="6">
        <f>IF(Table2[[#This Row],[Discount]]&lt;(Table2[[#This Row],[UNIT PRICE]]*Table2[[#This Row],[Quantity sold]]),Table2[[#This Row],[UNIT PRICE]]*Table2[[#This Row],[Quantity sold]]-Table2[[#This Row],[Discount]],0)</f>
        <v>22728</v>
      </c>
      <c r="J393" s="10">
        <v>23500</v>
      </c>
      <c r="K393" s="2">
        <f>_xlfn.XLOOKUP(Table2[[#This Row],[Shoe style]],val[SHOE STYLE],val[COST PRICE])</f>
        <v>20451</v>
      </c>
      <c r="L393" s="2">
        <f>(Table2[[#This Row],[COST PRICE]]*Table2[[#This Row],[Quantity sold]])</f>
        <v>20451</v>
      </c>
      <c r="M393" s="2">
        <f>Table2[[#This Row],[TOTAL SALES]]-Table2[[#This Row],[TOTAL COST PRICE]]</f>
        <v>2277</v>
      </c>
      <c r="N393" s="2">
        <f>IF(Table2[[#This Row],[Amount Paid]]&gt;0,(SUMIF(Table2[Order ID],Table2[[#This Row],[Order ID]],Table2[Amount Paid])-SUMIF(Table2[Order ID],Table2[[#This Row],[Order ID]],Table2[TOTAL SALES])),0)</f>
        <v>772</v>
      </c>
      <c r="O393" s="8">
        <v>39</v>
      </c>
      <c r="P393" s="8" t="s">
        <v>25</v>
      </c>
      <c r="Q393" s="8" t="s">
        <v>26</v>
      </c>
      <c r="R393" s="8" t="s">
        <v>27</v>
      </c>
      <c r="S393" s="8" t="s">
        <v>28</v>
      </c>
      <c r="T393" s="8">
        <f t="shared" si="6"/>
        <v>0</v>
      </c>
      <c r="U393" t="str" cm="1">
        <f t="array" ref="U393">_xlfn.IFNA(_xlfn.IFS(Table2[[#This Row],[DEFICIT /SURPLUS]]&lt;0,"Deficit",Table2[[#This Row],[DEFICIT /SURPLUS]]&gt;0,"surplus"),"-")</f>
        <v>surplus</v>
      </c>
    </row>
    <row r="394" spans="1:21" ht="14.5">
      <c r="A394" s="8" t="s">
        <v>297</v>
      </c>
      <c r="B394" s="9">
        <v>45623</v>
      </c>
      <c r="C394" s="8" t="s">
        <v>22</v>
      </c>
      <c r="D394" s="8" t="s">
        <v>37</v>
      </c>
      <c r="E394" s="8" t="s">
        <v>62</v>
      </c>
      <c r="F394" s="31">
        <f>_xlfn.XLOOKUP(Table2[[#This Row],[Shoe style]],val[SHOE STYLE],val[UNIT PRICE])</f>
        <v>22728</v>
      </c>
      <c r="H394" s="11">
        <v>1</v>
      </c>
      <c r="I394" s="6">
        <f>IF(Table2[[#This Row],[Discount]]&lt;(Table2[[#This Row],[UNIT PRICE]]*Table2[[#This Row],[Quantity sold]]),Table2[[#This Row],[UNIT PRICE]]*Table2[[#This Row],[Quantity sold]]-Table2[[#This Row],[Discount]],0)</f>
        <v>22728</v>
      </c>
      <c r="J394" s="10">
        <v>24000</v>
      </c>
      <c r="K394" s="2">
        <f>_xlfn.XLOOKUP(Table2[[#This Row],[Shoe style]],val[SHOE STYLE],val[COST PRICE])</f>
        <v>20451</v>
      </c>
      <c r="L394" s="2">
        <f>(Table2[[#This Row],[COST PRICE]]*Table2[[#This Row],[Quantity sold]])</f>
        <v>20451</v>
      </c>
      <c r="M394" s="2">
        <f>Table2[[#This Row],[TOTAL SALES]]-Table2[[#This Row],[TOTAL COST PRICE]]</f>
        <v>2277</v>
      </c>
      <c r="N394" s="2">
        <f>IF(Table2[[#This Row],[Amount Paid]]&gt;0,(SUMIF(Table2[Order ID],Table2[[#This Row],[Order ID]],Table2[Amount Paid])-SUMIF(Table2[Order ID],Table2[[#This Row],[Order ID]],Table2[TOTAL SALES])),0)</f>
        <v>1272</v>
      </c>
      <c r="O394" s="8">
        <v>39</v>
      </c>
      <c r="P394" s="8" t="s">
        <v>25</v>
      </c>
      <c r="Q394" s="8" t="s">
        <v>26</v>
      </c>
      <c r="R394" s="8" t="s">
        <v>292</v>
      </c>
      <c r="S394" s="8" t="s">
        <v>28</v>
      </c>
      <c r="T394" s="8">
        <f t="shared" si="6"/>
        <v>0</v>
      </c>
      <c r="U394" t="str" cm="1">
        <f t="array" ref="U394">_xlfn.IFNA(_xlfn.IFS(Table2[[#This Row],[DEFICIT /SURPLUS]]&lt;0,"Deficit",Table2[[#This Row],[DEFICIT /SURPLUS]]&gt;0,"surplus"),"-")</f>
        <v>surplus</v>
      </c>
    </row>
    <row r="395" spans="1:21" ht="14.5">
      <c r="A395" s="8" t="s">
        <v>298</v>
      </c>
      <c r="B395" s="9">
        <v>45624</v>
      </c>
      <c r="C395" s="8" t="s">
        <v>22</v>
      </c>
      <c r="D395" s="8" t="s">
        <v>49</v>
      </c>
      <c r="E395" s="8" t="s">
        <v>43</v>
      </c>
      <c r="F395" s="31">
        <f>_xlfn.XLOOKUP(Table2[[#This Row],[Shoe style]],val[SHOE STYLE],val[UNIT PRICE])</f>
        <v>20500</v>
      </c>
      <c r="H395" s="11">
        <v>1</v>
      </c>
      <c r="I395" s="6">
        <f>IF(Table2[[#This Row],[Discount]]&lt;(Table2[[#This Row],[UNIT PRICE]]*Table2[[#This Row],[Quantity sold]]),Table2[[#This Row],[UNIT PRICE]]*Table2[[#This Row],[Quantity sold]]-Table2[[#This Row],[Discount]],0)</f>
        <v>20500</v>
      </c>
      <c r="J395" s="10">
        <v>22500</v>
      </c>
      <c r="K395" s="2">
        <f>_xlfn.XLOOKUP(Table2[[#This Row],[Shoe style]],val[SHOE STYLE],val[COST PRICE])</f>
        <v>17339</v>
      </c>
      <c r="L395" s="2">
        <f>(Table2[[#This Row],[COST PRICE]]*Table2[[#This Row],[Quantity sold]])</f>
        <v>17339</v>
      </c>
      <c r="M395" s="2">
        <f>Table2[[#This Row],[TOTAL SALES]]-Table2[[#This Row],[TOTAL COST PRICE]]</f>
        <v>3161</v>
      </c>
      <c r="N395" s="2">
        <f>IF(Table2[[#This Row],[Amount Paid]]&gt;0,(SUMIF(Table2[Order ID],Table2[[#This Row],[Order ID]],Table2[Amount Paid])-SUMIF(Table2[Order ID],Table2[[#This Row],[Order ID]],Table2[TOTAL SALES])),0)</f>
        <v>2000</v>
      </c>
      <c r="O395" s="8">
        <v>39</v>
      </c>
      <c r="P395" s="8" t="s">
        <v>25</v>
      </c>
      <c r="Q395" s="8" t="s">
        <v>26</v>
      </c>
      <c r="R395" s="8" t="s">
        <v>292</v>
      </c>
      <c r="S395" s="8" t="s">
        <v>28</v>
      </c>
      <c r="T395" s="8">
        <f t="shared" si="6"/>
        <v>0</v>
      </c>
      <c r="U395" t="str" cm="1">
        <f t="array" ref="U395">_xlfn.IFNA(_xlfn.IFS(Table2[[#This Row],[DEFICIT /SURPLUS]]&lt;0,"Deficit",Table2[[#This Row],[DEFICIT /SURPLUS]]&gt;0,"surplus"),"-")</f>
        <v>surplus</v>
      </c>
    </row>
    <row r="396" spans="1:21" ht="14.5">
      <c r="A396" s="8" t="s">
        <v>299</v>
      </c>
      <c r="B396" s="9">
        <v>45624</v>
      </c>
      <c r="C396" s="8" t="s">
        <v>22</v>
      </c>
      <c r="D396" s="8" t="s">
        <v>29</v>
      </c>
      <c r="E396" s="8" t="s">
        <v>109</v>
      </c>
      <c r="F396" s="31">
        <f>_xlfn.XLOOKUP(Table2[[#This Row],[Shoe style]],val[SHOE STYLE],val[UNIT PRICE])</f>
        <v>12395</v>
      </c>
      <c r="H396" s="11">
        <v>1</v>
      </c>
      <c r="I396" s="6">
        <f>IF(Table2[[#This Row],[Discount]]&lt;(Table2[[#This Row],[UNIT PRICE]]*Table2[[#This Row],[Quantity sold]]),Table2[[#This Row],[UNIT PRICE]]*Table2[[#This Row],[Quantity sold]]-Table2[[#This Row],[Discount]],0)</f>
        <v>12395</v>
      </c>
      <c r="J396" s="10">
        <v>58000</v>
      </c>
      <c r="K396" s="2">
        <f>_xlfn.XLOOKUP(Table2[[#This Row],[Shoe style]],val[SHOE STYLE],val[COST PRICE])</f>
        <v>7909</v>
      </c>
      <c r="L396" s="2">
        <f>(Table2[[#This Row],[COST PRICE]]*Table2[[#This Row],[Quantity sold]])</f>
        <v>7909</v>
      </c>
      <c r="M396" s="2">
        <f>Table2[[#This Row],[TOTAL SALES]]-Table2[[#This Row],[TOTAL COST PRICE]]</f>
        <v>4486</v>
      </c>
      <c r="N396" s="2">
        <f>IF(Table2[[#This Row],[Amount Paid]]&gt;0,(SUMIF(Table2[Order ID],Table2[[#This Row],[Order ID]],Table2[Amount Paid])-SUMIF(Table2[Order ID],Table2[[#This Row],[Order ID]],Table2[TOTAL SALES])),0)</f>
        <v>20815</v>
      </c>
      <c r="O396" s="8">
        <v>39</v>
      </c>
      <c r="P396" s="8" t="s">
        <v>25</v>
      </c>
      <c r="Q396" s="8" t="s">
        <v>26</v>
      </c>
      <c r="R396" s="8" t="s">
        <v>292</v>
      </c>
      <c r="S396" s="8" t="s">
        <v>28</v>
      </c>
      <c r="T396" s="8">
        <f t="shared" si="6"/>
        <v>0</v>
      </c>
      <c r="U396" t="str" cm="1">
        <f t="array" ref="U396">_xlfn.IFNA(_xlfn.IFS(Table2[[#This Row],[DEFICIT /SURPLUS]]&lt;0,"Deficit",Table2[[#This Row],[DEFICIT /SURPLUS]]&gt;0,"surplus"),"-")</f>
        <v>surplus</v>
      </c>
    </row>
    <row r="397" spans="1:21" ht="14.5">
      <c r="A397" s="8" t="s">
        <v>299</v>
      </c>
      <c r="B397" s="9">
        <v>45624</v>
      </c>
      <c r="C397" s="8" t="s">
        <v>22</v>
      </c>
      <c r="D397" s="8" t="s">
        <v>29</v>
      </c>
      <c r="E397" s="8" t="s">
        <v>109</v>
      </c>
      <c r="F397" s="31">
        <f>_xlfn.XLOOKUP(Table2[[#This Row],[Shoe style]],val[SHOE STYLE],val[UNIT PRICE])</f>
        <v>12395</v>
      </c>
      <c r="H397" s="11">
        <v>1</v>
      </c>
      <c r="I397" s="6">
        <f>IF(Table2[[#This Row],[Discount]]&lt;(Table2[[#This Row],[UNIT PRICE]]*Table2[[#This Row],[Quantity sold]]),Table2[[#This Row],[UNIT PRICE]]*Table2[[#This Row],[Quantity sold]]-Table2[[#This Row],[Discount]],0)</f>
        <v>12395</v>
      </c>
      <c r="K397" s="2">
        <f>_xlfn.XLOOKUP(Table2[[#This Row],[Shoe style]],val[SHOE STYLE],val[COST PRICE])</f>
        <v>7909</v>
      </c>
      <c r="L397" s="2">
        <f>(Table2[[#This Row],[COST PRICE]]*Table2[[#This Row],[Quantity sold]])</f>
        <v>7909</v>
      </c>
      <c r="M397" s="2">
        <f>Table2[[#This Row],[TOTAL SALES]]-Table2[[#This Row],[TOTAL COST PRICE]]</f>
        <v>4486</v>
      </c>
      <c r="N397" s="2">
        <f>IF(Table2[[#This Row],[Amount Paid]]&gt;0,(SUMIF(Table2[Order ID],Table2[[#This Row],[Order ID]],Table2[Amount Paid])-SUMIF(Table2[Order ID],Table2[[#This Row],[Order ID]],Table2[TOTAL SALES])),0)</f>
        <v>0</v>
      </c>
      <c r="O397" s="8">
        <v>40</v>
      </c>
      <c r="P397" s="8" t="s">
        <v>25</v>
      </c>
      <c r="Q397" s="8" t="s">
        <v>26</v>
      </c>
      <c r="R397" s="8" t="s">
        <v>292</v>
      </c>
      <c r="S397" s="8" t="s">
        <v>28</v>
      </c>
      <c r="T397" s="8">
        <f t="shared" si="6"/>
        <v>0</v>
      </c>
      <c r="U397" t="str" cm="1">
        <f t="array" ref="U397">_xlfn.IFNA(_xlfn.IFS(Table2[[#This Row],[DEFICIT /SURPLUS]]&lt;0,"Deficit",Table2[[#This Row],[DEFICIT /SURPLUS]]&gt;0,"surplus"),"-")</f>
        <v>-</v>
      </c>
    </row>
    <row r="398" spans="1:21" ht="14.5">
      <c r="A398" s="8" t="s">
        <v>299</v>
      </c>
      <c r="B398" s="9">
        <v>45624</v>
      </c>
      <c r="C398" s="8" t="s">
        <v>22</v>
      </c>
      <c r="D398" s="8" t="s">
        <v>29</v>
      </c>
      <c r="E398" s="8" t="s">
        <v>109</v>
      </c>
      <c r="F398" s="31">
        <f>_xlfn.XLOOKUP(Table2[[#This Row],[Shoe style]],val[SHOE STYLE],val[UNIT PRICE])</f>
        <v>12395</v>
      </c>
      <c r="H398" s="11">
        <v>1</v>
      </c>
      <c r="I398" s="6">
        <f>IF(Table2[[#This Row],[Discount]]&lt;(Table2[[#This Row],[UNIT PRICE]]*Table2[[#This Row],[Quantity sold]]),Table2[[#This Row],[UNIT PRICE]]*Table2[[#This Row],[Quantity sold]]-Table2[[#This Row],[Discount]],0)</f>
        <v>12395</v>
      </c>
      <c r="K398" s="2">
        <f>_xlfn.XLOOKUP(Table2[[#This Row],[Shoe style]],val[SHOE STYLE],val[COST PRICE])</f>
        <v>7909</v>
      </c>
      <c r="L398" s="2">
        <f>(Table2[[#This Row],[COST PRICE]]*Table2[[#This Row],[Quantity sold]])</f>
        <v>7909</v>
      </c>
      <c r="M398" s="2">
        <f>Table2[[#This Row],[TOTAL SALES]]-Table2[[#This Row],[TOTAL COST PRICE]]</f>
        <v>4486</v>
      </c>
      <c r="N398" s="2">
        <f>IF(Table2[[#This Row],[Amount Paid]]&gt;0,(SUMIF(Table2[Order ID],Table2[[#This Row],[Order ID]],Table2[Amount Paid])-SUMIF(Table2[Order ID],Table2[[#This Row],[Order ID]],Table2[TOTAL SALES])),0)</f>
        <v>0</v>
      </c>
      <c r="O398" s="8">
        <v>41</v>
      </c>
      <c r="P398" s="8" t="s">
        <v>25</v>
      </c>
      <c r="Q398" s="8" t="s">
        <v>26</v>
      </c>
      <c r="R398" s="8" t="s">
        <v>292</v>
      </c>
      <c r="S398" s="8" t="s">
        <v>28</v>
      </c>
      <c r="T398" s="8">
        <f t="shared" si="6"/>
        <v>0</v>
      </c>
      <c r="U398" t="str" cm="1">
        <f t="array" ref="U398">_xlfn.IFNA(_xlfn.IFS(Table2[[#This Row],[DEFICIT /SURPLUS]]&lt;0,"Deficit",Table2[[#This Row],[DEFICIT /SURPLUS]]&gt;0,"surplus"),"-")</f>
        <v>-</v>
      </c>
    </row>
    <row r="399" spans="1:21" ht="14.5">
      <c r="A399" s="8" t="s">
        <v>300</v>
      </c>
      <c r="B399" s="9">
        <v>45624</v>
      </c>
      <c r="C399" s="8" t="s">
        <v>22</v>
      </c>
      <c r="D399" s="8" t="s">
        <v>29</v>
      </c>
      <c r="E399" s="8" t="s">
        <v>24</v>
      </c>
      <c r="F399" s="31">
        <f>_xlfn.XLOOKUP(Table2[[#This Row],[Shoe style]],val[SHOE STYLE],val[UNIT PRICE])</f>
        <v>12395</v>
      </c>
      <c r="H399" s="11">
        <v>1</v>
      </c>
      <c r="I399" s="6">
        <f>IF(Table2[[#This Row],[Discount]]&lt;(Table2[[#This Row],[UNIT PRICE]]*Table2[[#This Row],[Quantity sold]]),Table2[[#This Row],[UNIT PRICE]]*Table2[[#This Row],[Quantity sold]]-Table2[[#This Row],[Discount]],0)</f>
        <v>12395</v>
      </c>
      <c r="J399" s="10">
        <v>57500</v>
      </c>
      <c r="K399" s="2">
        <f>_xlfn.XLOOKUP(Table2[[#This Row],[Shoe style]],val[SHOE STYLE],val[COST PRICE])</f>
        <v>7909</v>
      </c>
      <c r="L399" s="2">
        <f>(Table2[[#This Row],[COST PRICE]]*Table2[[#This Row],[Quantity sold]])</f>
        <v>7909</v>
      </c>
      <c r="M399" s="2">
        <f>Table2[[#This Row],[TOTAL SALES]]-Table2[[#This Row],[TOTAL COST PRICE]]</f>
        <v>4486</v>
      </c>
      <c r="N399" s="2">
        <f>IF(Table2[[#This Row],[Amount Paid]]&gt;0,(SUMIF(Table2[Order ID],Table2[[#This Row],[Order ID]],Table2[Amount Paid])-SUMIF(Table2[Order ID],Table2[[#This Row],[Order ID]],Table2[TOTAL SALES])),0)</f>
        <v>-351</v>
      </c>
      <c r="O399" s="8">
        <v>37</v>
      </c>
      <c r="P399" s="8" t="s">
        <v>25</v>
      </c>
      <c r="Q399" s="8" t="s">
        <v>26</v>
      </c>
      <c r="R399" s="8" t="s">
        <v>44</v>
      </c>
      <c r="S399" s="8" t="s">
        <v>28</v>
      </c>
      <c r="T399" s="8">
        <f t="shared" si="6"/>
        <v>0</v>
      </c>
      <c r="U399" t="str" cm="1">
        <f t="array" ref="U399">_xlfn.IFNA(_xlfn.IFS(Table2[[#This Row],[DEFICIT /SURPLUS]]&lt;0,"Deficit",Table2[[#This Row],[DEFICIT /SURPLUS]]&gt;0,"surplus"),"-")</f>
        <v>Deficit</v>
      </c>
    </row>
    <row r="400" spans="1:21" ht="14.5">
      <c r="A400" s="8" t="s">
        <v>300</v>
      </c>
      <c r="B400" s="9">
        <v>45624</v>
      </c>
      <c r="C400" s="8" t="s">
        <v>22</v>
      </c>
      <c r="D400" s="8" t="s">
        <v>37</v>
      </c>
      <c r="E400" s="8" t="s">
        <v>89</v>
      </c>
      <c r="F400" s="31">
        <f>_xlfn.XLOOKUP(Table2[[#This Row],[Shoe style]],val[SHOE STYLE],val[UNIT PRICE])</f>
        <v>22728</v>
      </c>
      <c r="H400" s="11">
        <v>1</v>
      </c>
      <c r="I400" s="6">
        <f>IF(Table2[[#This Row],[Discount]]&lt;(Table2[[#This Row],[UNIT PRICE]]*Table2[[#This Row],[Quantity sold]]),Table2[[#This Row],[UNIT PRICE]]*Table2[[#This Row],[Quantity sold]]-Table2[[#This Row],[Discount]],0)</f>
        <v>22728</v>
      </c>
      <c r="K400" s="2">
        <f>_xlfn.XLOOKUP(Table2[[#This Row],[Shoe style]],val[SHOE STYLE],val[COST PRICE])</f>
        <v>20451</v>
      </c>
      <c r="L400" s="2">
        <f>(Table2[[#This Row],[COST PRICE]]*Table2[[#This Row],[Quantity sold]])</f>
        <v>20451</v>
      </c>
      <c r="M400" s="2">
        <f>Table2[[#This Row],[TOTAL SALES]]-Table2[[#This Row],[TOTAL COST PRICE]]</f>
        <v>2277</v>
      </c>
      <c r="N400" s="2">
        <f>IF(Table2[[#This Row],[Amount Paid]]&gt;0,(SUMIF(Table2[Order ID],Table2[[#This Row],[Order ID]],Table2[Amount Paid])-SUMIF(Table2[Order ID],Table2[[#This Row],[Order ID]],Table2[TOTAL SALES])),0)</f>
        <v>0</v>
      </c>
      <c r="O400" s="8">
        <v>37</v>
      </c>
      <c r="P400" s="8" t="s">
        <v>25</v>
      </c>
      <c r="Q400" s="8" t="s">
        <v>26</v>
      </c>
      <c r="R400" s="8" t="s">
        <v>44</v>
      </c>
      <c r="S400" s="8" t="s">
        <v>28</v>
      </c>
      <c r="T400" s="8">
        <f t="shared" si="6"/>
        <v>0</v>
      </c>
      <c r="U400" t="str" cm="1">
        <f t="array" ref="U400">_xlfn.IFNA(_xlfn.IFS(Table2[[#This Row],[DEFICIT /SURPLUS]]&lt;0,"Deficit",Table2[[#This Row],[DEFICIT /SURPLUS]]&gt;0,"surplus"),"-")</f>
        <v>-</v>
      </c>
    </row>
    <row r="401" spans="1:21" ht="14.5">
      <c r="A401" s="8" t="s">
        <v>300</v>
      </c>
      <c r="B401" s="9">
        <v>45624</v>
      </c>
      <c r="C401" s="8" t="s">
        <v>22</v>
      </c>
      <c r="D401" s="8" t="s">
        <v>37</v>
      </c>
      <c r="E401" s="8" t="s">
        <v>237</v>
      </c>
      <c r="F401" s="31">
        <f>_xlfn.XLOOKUP(Table2[[#This Row],[Shoe style]],val[SHOE STYLE],val[UNIT PRICE])</f>
        <v>22728</v>
      </c>
      <c r="H401" s="11">
        <v>1</v>
      </c>
      <c r="I401" s="6">
        <f>IF(Table2[[#This Row],[Discount]]&lt;(Table2[[#This Row],[UNIT PRICE]]*Table2[[#This Row],[Quantity sold]]),Table2[[#This Row],[UNIT PRICE]]*Table2[[#This Row],[Quantity sold]]-Table2[[#This Row],[Discount]],0)</f>
        <v>22728</v>
      </c>
      <c r="K401" s="2">
        <f>_xlfn.XLOOKUP(Table2[[#This Row],[Shoe style]],val[SHOE STYLE],val[COST PRICE])</f>
        <v>20451</v>
      </c>
      <c r="L401" s="2">
        <f>(Table2[[#This Row],[COST PRICE]]*Table2[[#This Row],[Quantity sold]])</f>
        <v>20451</v>
      </c>
      <c r="M401" s="2">
        <f>Table2[[#This Row],[TOTAL SALES]]-Table2[[#This Row],[TOTAL COST PRICE]]</f>
        <v>2277</v>
      </c>
      <c r="N401" s="2">
        <f>IF(Table2[[#This Row],[Amount Paid]]&gt;0,(SUMIF(Table2[Order ID],Table2[[#This Row],[Order ID]],Table2[Amount Paid])-SUMIF(Table2[Order ID],Table2[[#This Row],[Order ID]],Table2[TOTAL SALES])),0)</f>
        <v>0</v>
      </c>
      <c r="O401" s="8">
        <v>39</v>
      </c>
      <c r="P401" s="8" t="s">
        <v>25</v>
      </c>
      <c r="Q401" s="8" t="s">
        <v>26</v>
      </c>
      <c r="R401" s="8" t="s">
        <v>44</v>
      </c>
      <c r="S401" s="8" t="s">
        <v>28</v>
      </c>
      <c r="T401" s="8">
        <f t="shared" si="6"/>
        <v>0</v>
      </c>
      <c r="U401" t="str" cm="1">
        <f t="array" ref="U401">_xlfn.IFNA(_xlfn.IFS(Table2[[#This Row],[DEFICIT /SURPLUS]]&lt;0,"Deficit",Table2[[#This Row],[DEFICIT /SURPLUS]]&gt;0,"surplus"),"-")</f>
        <v>-</v>
      </c>
    </row>
    <row r="402" spans="1:21" ht="14.5">
      <c r="A402" s="8" t="s">
        <v>301</v>
      </c>
      <c r="B402" s="9">
        <v>45629</v>
      </c>
      <c r="C402" s="8" t="s">
        <v>22</v>
      </c>
      <c r="D402" s="8" t="s">
        <v>37</v>
      </c>
      <c r="E402" s="8" t="s">
        <v>237</v>
      </c>
      <c r="F402" s="31">
        <f>_xlfn.XLOOKUP(Table2[[#This Row],[Shoe style]],val[SHOE STYLE],val[UNIT PRICE])</f>
        <v>22728</v>
      </c>
      <c r="H402" s="11">
        <v>1</v>
      </c>
      <c r="I402" s="6">
        <f>IF(Table2[[#This Row],[Discount]]&lt;(Table2[[#This Row],[UNIT PRICE]]*Table2[[#This Row],[Quantity sold]]),Table2[[#This Row],[UNIT PRICE]]*Table2[[#This Row],[Quantity sold]]-Table2[[#This Row],[Discount]],0)</f>
        <v>22728</v>
      </c>
      <c r="J402" s="10">
        <v>38000</v>
      </c>
      <c r="K402" s="2">
        <f>_xlfn.XLOOKUP(Table2[[#This Row],[Shoe style]],val[SHOE STYLE],val[COST PRICE])</f>
        <v>20451</v>
      </c>
      <c r="L402" s="2">
        <f>(Table2[[#This Row],[COST PRICE]]*Table2[[#This Row],[Quantity sold]])</f>
        <v>20451</v>
      </c>
      <c r="M402" s="2">
        <f>Table2[[#This Row],[TOTAL SALES]]-Table2[[#This Row],[TOTAL COST PRICE]]</f>
        <v>2277</v>
      </c>
      <c r="N402" s="2">
        <f>IF(Table2[[#This Row],[Amount Paid]]&gt;0,(SUMIF(Table2[Order ID],Table2[[#This Row],[Order ID]],Table2[Amount Paid])-SUMIF(Table2[Order ID],Table2[[#This Row],[Order ID]],Table2[TOTAL SALES])),0)</f>
        <v>-7456</v>
      </c>
      <c r="O402" s="8">
        <v>41</v>
      </c>
      <c r="P402" s="8" t="s">
        <v>25</v>
      </c>
      <c r="Q402" s="8" t="s">
        <v>26</v>
      </c>
      <c r="R402" s="8" t="s">
        <v>27</v>
      </c>
      <c r="S402" s="8" t="s">
        <v>28</v>
      </c>
      <c r="T402" s="8">
        <f t="shared" si="6"/>
        <v>0</v>
      </c>
      <c r="U402" t="str" cm="1">
        <f t="array" ref="U402">_xlfn.IFNA(_xlfn.IFS(Table2[[#This Row],[DEFICIT /SURPLUS]]&lt;0,"Deficit",Table2[[#This Row],[DEFICIT /SURPLUS]]&gt;0,"surplus"),"-")</f>
        <v>Deficit</v>
      </c>
    </row>
    <row r="403" spans="1:21" ht="14.5">
      <c r="A403" s="8" t="s">
        <v>301</v>
      </c>
      <c r="B403" s="9">
        <v>45629</v>
      </c>
      <c r="C403" s="8" t="s">
        <v>22</v>
      </c>
      <c r="D403" s="8" t="s">
        <v>37</v>
      </c>
      <c r="E403" s="8" t="s">
        <v>237</v>
      </c>
      <c r="F403" s="31">
        <f>_xlfn.XLOOKUP(Table2[[#This Row],[Shoe style]],val[SHOE STYLE],val[UNIT PRICE])</f>
        <v>22728</v>
      </c>
      <c r="H403" s="11">
        <v>1</v>
      </c>
      <c r="I403" s="6">
        <f>IF(Table2[[#This Row],[Discount]]&lt;(Table2[[#This Row],[UNIT PRICE]]*Table2[[#This Row],[Quantity sold]]),Table2[[#This Row],[UNIT PRICE]]*Table2[[#This Row],[Quantity sold]]-Table2[[#This Row],[Discount]],0)</f>
        <v>22728</v>
      </c>
      <c r="K403" s="2">
        <f>_xlfn.XLOOKUP(Table2[[#This Row],[Shoe style]],val[SHOE STYLE],val[COST PRICE])</f>
        <v>20451</v>
      </c>
      <c r="L403" s="2">
        <f>(Table2[[#This Row],[COST PRICE]]*Table2[[#This Row],[Quantity sold]])</f>
        <v>20451</v>
      </c>
      <c r="M403" s="2">
        <f>Table2[[#This Row],[TOTAL SALES]]-Table2[[#This Row],[TOTAL COST PRICE]]</f>
        <v>2277</v>
      </c>
      <c r="N403" s="2">
        <f>IF(Table2[[#This Row],[Amount Paid]]&gt;0,(SUMIF(Table2[Order ID],Table2[[#This Row],[Order ID]],Table2[Amount Paid])-SUMIF(Table2[Order ID],Table2[[#This Row],[Order ID]],Table2[TOTAL SALES])),0)</f>
        <v>0</v>
      </c>
      <c r="O403" s="8">
        <v>39</v>
      </c>
      <c r="P403" s="8" t="s">
        <v>25</v>
      </c>
      <c r="Q403" s="8" t="s">
        <v>26</v>
      </c>
      <c r="R403" s="8" t="s">
        <v>27</v>
      </c>
      <c r="S403" s="8" t="s">
        <v>28</v>
      </c>
      <c r="T403" s="8">
        <f t="shared" si="6"/>
        <v>0</v>
      </c>
      <c r="U403" t="str" cm="1">
        <f t="array" ref="U403">_xlfn.IFNA(_xlfn.IFS(Table2[[#This Row],[DEFICIT /SURPLUS]]&lt;0,"Deficit",Table2[[#This Row],[DEFICIT /SURPLUS]]&gt;0,"surplus"),"-")</f>
        <v>-</v>
      </c>
    </row>
    <row r="404" spans="1:21" ht="14.5">
      <c r="A404" s="8" t="s">
        <v>302</v>
      </c>
      <c r="B404" s="9">
        <v>45636</v>
      </c>
      <c r="C404" s="8" t="s">
        <v>22</v>
      </c>
      <c r="D404" s="8" t="s">
        <v>49</v>
      </c>
      <c r="E404" s="8" t="s">
        <v>50</v>
      </c>
      <c r="F404" s="31">
        <f>_xlfn.XLOOKUP(Table2[[#This Row],[Shoe style]],val[SHOE STYLE],val[UNIT PRICE])</f>
        <v>20500</v>
      </c>
      <c r="H404" s="11">
        <v>1</v>
      </c>
      <c r="I404" s="6">
        <f>IF(Table2[[#This Row],[Discount]]&lt;(Table2[[#This Row],[UNIT PRICE]]*Table2[[#This Row],[Quantity sold]]),Table2[[#This Row],[UNIT PRICE]]*Table2[[#This Row],[Quantity sold]]-Table2[[#This Row],[Discount]],0)</f>
        <v>20500</v>
      </c>
      <c r="J404" s="10">
        <v>36000</v>
      </c>
      <c r="K404" s="2">
        <f>_xlfn.XLOOKUP(Table2[[#This Row],[Shoe style]],val[SHOE STYLE],val[COST PRICE])</f>
        <v>17339</v>
      </c>
      <c r="L404" s="2">
        <f>(Table2[[#This Row],[COST PRICE]]*Table2[[#This Row],[Quantity sold]])</f>
        <v>17339</v>
      </c>
      <c r="M404" s="2">
        <f>Table2[[#This Row],[TOTAL SALES]]-Table2[[#This Row],[TOTAL COST PRICE]]</f>
        <v>3161</v>
      </c>
      <c r="N404" s="2">
        <f>IF(Table2[[#This Row],[Amount Paid]]&gt;0,(SUMIF(Table2[Order ID],Table2[[#This Row],[Order ID]],Table2[Amount Paid])-SUMIF(Table2[Order ID],Table2[[#This Row],[Order ID]],Table2[TOTAL SALES])),0)</f>
        <v>-7228</v>
      </c>
      <c r="O404" s="8">
        <v>40</v>
      </c>
      <c r="P404" s="8" t="s">
        <v>25</v>
      </c>
      <c r="Q404" s="8" t="s">
        <v>26</v>
      </c>
      <c r="R404" s="8" t="s">
        <v>27</v>
      </c>
      <c r="S404" s="8" t="s">
        <v>28</v>
      </c>
      <c r="T404" s="8">
        <f t="shared" si="6"/>
        <v>0</v>
      </c>
      <c r="U404" t="str" cm="1">
        <f t="array" ref="U404">_xlfn.IFNA(_xlfn.IFS(Table2[[#This Row],[DEFICIT /SURPLUS]]&lt;0,"Deficit",Table2[[#This Row],[DEFICIT /SURPLUS]]&gt;0,"surplus"),"-")</f>
        <v>Deficit</v>
      </c>
    </row>
    <row r="405" spans="1:21" ht="14.5">
      <c r="A405" s="8" t="s">
        <v>302</v>
      </c>
      <c r="B405" s="9">
        <v>45636</v>
      </c>
      <c r="C405" s="8" t="s">
        <v>22</v>
      </c>
      <c r="D405" s="8" t="s">
        <v>37</v>
      </c>
      <c r="E405" s="8" t="s">
        <v>24</v>
      </c>
      <c r="F405" s="31">
        <f>_xlfn.XLOOKUP(Table2[[#This Row],[Shoe style]],val[SHOE STYLE],val[UNIT PRICE])</f>
        <v>22728</v>
      </c>
      <c r="H405" s="11">
        <v>1</v>
      </c>
      <c r="I405" s="6">
        <f>IF(Table2[[#This Row],[Discount]]&lt;(Table2[[#This Row],[UNIT PRICE]]*Table2[[#This Row],[Quantity sold]]),Table2[[#This Row],[UNIT PRICE]]*Table2[[#This Row],[Quantity sold]]-Table2[[#This Row],[Discount]],0)</f>
        <v>22728</v>
      </c>
      <c r="K405" s="2">
        <f>_xlfn.XLOOKUP(Table2[[#This Row],[Shoe style]],val[SHOE STYLE],val[COST PRICE])</f>
        <v>20451</v>
      </c>
      <c r="L405" s="2">
        <f>(Table2[[#This Row],[COST PRICE]]*Table2[[#This Row],[Quantity sold]])</f>
        <v>20451</v>
      </c>
      <c r="M405" s="2">
        <f>Table2[[#This Row],[TOTAL SALES]]-Table2[[#This Row],[TOTAL COST PRICE]]</f>
        <v>2277</v>
      </c>
      <c r="N405" s="2">
        <f>IF(Table2[[#This Row],[Amount Paid]]&gt;0,(SUMIF(Table2[Order ID],Table2[[#This Row],[Order ID]],Table2[Amount Paid])-SUMIF(Table2[Order ID],Table2[[#This Row],[Order ID]],Table2[TOTAL SALES])),0)</f>
        <v>0</v>
      </c>
      <c r="O405" s="8">
        <v>39</v>
      </c>
      <c r="P405" s="8" t="s">
        <v>25</v>
      </c>
      <c r="Q405" s="8" t="s">
        <v>26</v>
      </c>
      <c r="R405" s="8" t="s">
        <v>27</v>
      </c>
      <c r="S405" s="8" t="s">
        <v>28</v>
      </c>
      <c r="T405" s="8">
        <f t="shared" si="6"/>
        <v>0</v>
      </c>
      <c r="U405" t="str" cm="1">
        <f t="array" ref="U405">_xlfn.IFNA(_xlfn.IFS(Table2[[#This Row],[DEFICIT /SURPLUS]]&lt;0,"Deficit",Table2[[#This Row],[DEFICIT /SURPLUS]]&gt;0,"surplus"),"-")</f>
        <v>-</v>
      </c>
    </row>
    <row r="406" spans="1:21" ht="14.5">
      <c r="A406" s="8" t="s">
        <v>303</v>
      </c>
      <c r="B406" s="9">
        <v>45636</v>
      </c>
      <c r="C406" s="8" t="s">
        <v>22</v>
      </c>
      <c r="D406" s="8" t="s">
        <v>29</v>
      </c>
      <c r="E406" s="8" t="s">
        <v>109</v>
      </c>
      <c r="F406" s="31">
        <f>_xlfn.XLOOKUP(Table2[[#This Row],[Shoe style]],val[SHOE STYLE],val[UNIT PRICE])</f>
        <v>12395</v>
      </c>
      <c r="H406" s="11">
        <v>1</v>
      </c>
      <c r="I406" s="6">
        <f>IF(Table2[[#This Row],[Discount]]&lt;(Table2[[#This Row],[UNIT PRICE]]*Table2[[#This Row],[Quantity sold]]),Table2[[#This Row],[UNIT PRICE]]*Table2[[#This Row],[Quantity sold]]-Table2[[#This Row],[Discount]],0)</f>
        <v>12395</v>
      </c>
      <c r="J406" s="10">
        <v>41500</v>
      </c>
      <c r="K406" s="2">
        <f>_xlfn.XLOOKUP(Table2[[#This Row],[Shoe style]],val[SHOE STYLE],val[COST PRICE])</f>
        <v>7909</v>
      </c>
      <c r="L406" s="2">
        <f>(Table2[[#This Row],[COST PRICE]]*Table2[[#This Row],[Quantity sold]])</f>
        <v>7909</v>
      </c>
      <c r="M406" s="2">
        <f>Table2[[#This Row],[TOTAL SALES]]-Table2[[#This Row],[TOTAL COST PRICE]]</f>
        <v>4486</v>
      </c>
      <c r="N406" s="2">
        <f>IF(Table2[[#This Row],[Amount Paid]]&gt;0,(SUMIF(Table2[Order ID],Table2[[#This Row],[Order ID]],Table2[Amount Paid])-SUMIF(Table2[Order ID],Table2[[#This Row],[Order ID]],Table2[TOTAL SALES])),0)</f>
        <v>29105</v>
      </c>
      <c r="O406" s="8">
        <v>42</v>
      </c>
      <c r="P406" s="8" t="s">
        <v>25</v>
      </c>
      <c r="Q406" s="8" t="s">
        <v>26</v>
      </c>
      <c r="R406" s="8" t="s">
        <v>44</v>
      </c>
      <c r="S406" s="8" t="s">
        <v>28</v>
      </c>
      <c r="T406" s="8">
        <f t="shared" si="6"/>
        <v>0</v>
      </c>
      <c r="U406" t="str" cm="1">
        <f t="array" ref="U406">_xlfn.IFNA(_xlfn.IFS(Table2[[#This Row],[DEFICIT /SURPLUS]]&lt;0,"Deficit",Table2[[#This Row],[DEFICIT /SURPLUS]]&gt;0,"surplus"),"-")</f>
        <v>surplus</v>
      </c>
    </row>
    <row r="407" spans="1:21" ht="14.5">
      <c r="A407" s="8" t="s">
        <v>304</v>
      </c>
      <c r="B407" s="9">
        <v>45636</v>
      </c>
      <c r="C407" s="8" t="s">
        <v>22</v>
      </c>
      <c r="D407" s="8" t="s">
        <v>29</v>
      </c>
      <c r="E407" s="8" t="s">
        <v>24</v>
      </c>
      <c r="F407" s="31">
        <f>_xlfn.XLOOKUP(Table2[[#This Row],[Shoe style]],val[SHOE STYLE],val[UNIT PRICE])</f>
        <v>12395</v>
      </c>
      <c r="H407" s="11">
        <v>1</v>
      </c>
      <c r="I407" s="6">
        <f>IF(Table2[[#This Row],[Discount]]&lt;(Table2[[#This Row],[UNIT PRICE]]*Table2[[#This Row],[Quantity sold]]),Table2[[#This Row],[UNIT PRICE]]*Table2[[#This Row],[Quantity sold]]-Table2[[#This Row],[Discount]],0)</f>
        <v>12395</v>
      </c>
      <c r="J407" s="10">
        <v>41500</v>
      </c>
      <c r="K407" s="2">
        <f>_xlfn.XLOOKUP(Table2[[#This Row],[Shoe style]],val[SHOE STYLE],val[COST PRICE])</f>
        <v>7909</v>
      </c>
      <c r="L407" s="2">
        <f>(Table2[[#This Row],[COST PRICE]]*Table2[[#This Row],[Quantity sold]])</f>
        <v>7909</v>
      </c>
      <c r="M407" s="2">
        <f>Table2[[#This Row],[TOTAL SALES]]-Table2[[#This Row],[TOTAL COST PRICE]]</f>
        <v>4486</v>
      </c>
      <c r="N407" s="2">
        <f>IF(Table2[[#This Row],[Amount Paid]]&gt;0,(SUMIF(Table2[Order ID],Table2[[#This Row],[Order ID]],Table2[Amount Paid])-SUMIF(Table2[Order ID],Table2[[#This Row],[Order ID]],Table2[TOTAL SALES])),0)</f>
        <v>29105</v>
      </c>
      <c r="O407" s="8">
        <v>40</v>
      </c>
      <c r="P407" s="8" t="s">
        <v>25</v>
      </c>
      <c r="Q407" s="8" t="s">
        <v>26</v>
      </c>
      <c r="R407" s="8" t="s">
        <v>44</v>
      </c>
      <c r="S407" s="8" t="s">
        <v>28</v>
      </c>
      <c r="T407" s="8">
        <f t="shared" si="6"/>
        <v>0</v>
      </c>
      <c r="U407" t="str" cm="1">
        <f t="array" ref="U407">_xlfn.IFNA(_xlfn.IFS(Table2[[#This Row],[DEFICIT /SURPLUS]]&lt;0,"Deficit",Table2[[#This Row],[DEFICIT /SURPLUS]]&gt;0,"surplus"),"-")</f>
        <v>surplus</v>
      </c>
    </row>
    <row r="408" spans="1:21" ht="14.5">
      <c r="A408" s="8" t="s">
        <v>305</v>
      </c>
      <c r="B408" s="9">
        <v>45636</v>
      </c>
      <c r="C408" s="8" t="s">
        <v>22</v>
      </c>
      <c r="D408" s="8" t="s">
        <v>49</v>
      </c>
      <c r="E408" s="8" t="s">
        <v>43</v>
      </c>
      <c r="F408" s="31">
        <f>_xlfn.XLOOKUP(Table2[[#This Row],[Shoe style]],val[SHOE STYLE],val[UNIT PRICE])</f>
        <v>20500</v>
      </c>
      <c r="H408" s="11">
        <v>1</v>
      </c>
      <c r="I408" s="6">
        <f>IF(Table2[[#This Row],[Discount]]&lt;(Table2[[#This Row],[UNIT PRICE]]*Table2[[#This Row],[Quantity sold]]),Table2[[#This Row],[UNIT PRICE]]*Table2[[#This Row],[Quantity sold]]-Table2[[#This Row],[Discount]],0)</f>
        <v>20500</v>
      </c>
      <c r="J408" s="10">
        <v>23000</v>
      </c>
      <c r="K408" s="2">
        <f>_xlfn.XLOOKUP(Table2[[#This Row],[Shoe style]],val[SHOE STYLE],val[COST PRICE])</f>
        <v>17339</v>
      </c>
      <c r="L408" s="2">
        <f>(Table2[[#This Row],[COST PRICE]]*Table2[[#This Row],[Quantity sold]])</f>
        <v>17339</v>
      </c>
      <c r="M408" s="2">
        <f>Table2[[#This Row],[TOTAL SALES]]-Table2[[#This Row],[TOTAL COST PRICE]]</f>
        <v>3161</v>
      </c>
      <c r="N408" s="2">
        <f>IF(Table2[[#This Row],[Amount Paid]]&gt;0,(SUMIF(Table2[Order ID],Table2[[#This Row],[Order ID]],Table2[Amount Paid])-SUMIF(Table2[Order ID],Table2[[#This Row],[Order ID]],Table2[TOTAL SALES])),0)</f>
        <v>2500</v>
      </c>
      <c r="O408" s="8">
        <v>43</v>
      </c>
      <c r="P408" s="8" t="s">
        <v>25</v>
      </c>
      <c r="Q408" s="8" t="s">
        <v>26</v>
      </c>
      <c r="R408" s="8" t="s">
        <v>292</v>
      </c>
      <c r="S408" s="8" t="s">
        <v>28</v>
      </c>
      <c r="T408" s="8">
        <f t="shared" si="6"/>
        <v>0</v>
      </c>
      <c r="U408" t="str" cm="1">
        <f t="array" ref="U408">_xlfn.IFNA(_xlfn.IFS(Table2[[#This Row],[DEFICIT /SURPLUS]]&lt;0,"Deficit",Table2[[#This Row],[DEFICIT /SURPLUS]]&gt;0,"surplus"),"-")</f>
        <v>surplus</v>
      </c>
    </row>
    <row r="409" spans="1:21" ht="14.5">
      <c r="A409" s="8" t="s">
        <v>306</v>
      </c>
      <c r="B409" s="9">
        <v>45636</v>
      </c>
      <c r="C409" s="8" t="s">
        <v>22</v>
      </c>
      <c r="D409" s="8" t="s">
        <v>42</v>
      </c>
      <c r="E409" s="8" t="s">
        <v>63</v>
      </c>
      <c r="F409" s="31">
        <f>_xlfn.XLOOKUP(Table2[[#This Row],[Shoe style]],val[SHOE STYLE],val[UNIT PRICE])</f>
        <v>17614</v>
      </c>
      <c r="H409" s="11">
        <v>1</v>
      </c>
      <c r="I409" s="6">
        <f>IF(Table2[[#This Row],[Discount]]&lt;(Table2[[#This Row],[UNIT PRICE]]*Table2[[#This Row],[Quantity sold]]),Table2[[#This Row],[UNIT PRICE]]*Table2[[#This Row],[Quantity sold]]-Table2[[#This Row],[Discount]],0)</f>
        <v>17614</v>
      </c>
      <c r="J409" s="10">
        <v>36000</v>
      </c>
      <c r="K409" s="2">
        <f>_xlfn.XLOOKUP(Table2[[#This Row],[Shoe style]],val[SHOE STYLE],val[COST PRICE])</f>
        <v>14912</v>
      </c>
      <c r="L409" s="2">
        <f>(Table2[[#This Row],[COST PRICE]]*Table2[[#This Row],[Quantity sold]])</f>
        <v>14912</v>
      </c>
      <c r="M409" s="2">
        <f>Table2[[#This Row],[TOTAL SALES]]-Table2[[#This Row],[TOTAL COST PRICE]]</f>
        <v>2702</v>
      </c>
      <c r="N409" s="2">
        <f>IF(Table2[[#This Row],[Amount Paid]]&gt;0,(SUMIF(Table2[Order ID],Table2[[#This Row],[Order ID]],Table2[Amount Paid])-SUMIF(Table2[Order ID],Table2[[#This Row],[Order ID]],Table2[TOTAL SALES])),0)</f>
        <v>3411</v>
      </c>
      <c r="O409" s="8">
        <v>39</v>
      </c>
      <c r="P409" s="8" t="s">
        <v>25</v>
      </c>
      <c r="Q409" s="8" t="s">
        <v>26</v>
      </c>
      <c r="R409" s="8" t="s">
        <v>27</v>
      </c>
      <c r="S409" s="8" t="s">
        <v>28</v>
      </c>
      <c r="T409" s="8">
        <f t="shared" si="6"/>
        <v>0</v>
      </c>
      <c r="U409" t="str" cm="1">
        <f t="array" ref="U409">_xlfn.IFNA(_xlfn.IFS(Table2[[#This Row],[DEFICIT /SURPLUS]]&lt;0,"Deficit",Table2[[#This Row],[DEFICIT /SURPLUS]]&gt;0,"surplus"),"-")</f>
        <v>surplus</v>
      </c>
    </row>
    <row r="410" spans="1:21" ht="14.5">
      <c r="A410" s="8" t="s">
        <v>306</v>
      </c>
      <c r="B410" s="9">
        <v>45636</v>
      </c>
      <c r="C410" s="8" t="s">
        <v>22</v>
      </c>
      <c r="D410" s="8" t="s">
        <v>23</v>
      </c>
      <c r="E410" s="8" t="s">
        <v>63</v>
      </c>
      <c r="F410" s="31">
        <f>_xlfn.XLOOKUP(Table2[[#This Row],[Shoe style]],val[SHOE STYLE],val[UNIT PRICE])</f>
        <v>14975</v>
      </c>
      <c r="H410" s="11">
        <v>1</v>
      </c>
      <c r="I410" s="6">
        <f>IF(Table2[[#This Row],[Discount]]&lt;(Table2[[#This Row],[UNIT PRICE]]*Table2[[#This Row],[Quantity sold]]),Table2[[#This Row],[UNIT PRICE]]*Table2[[#This Row],[Quantity sold]]-Table2[[#This Row],[Discount]],0)</f>
        <v>14975</v>
      </c>
      <c r="K410" s="2">
        <f>_xlfn.XLOOKUP(Table2[[#This Row],[Shoe style]],val[SHOE STYLE],val[COST PRICE])</f>
        <v>10813</v>
      </c>
      <c r="L410" s="2">
        <f>(Table2[[#This Row],[COST PRICE]]*Table2[[#This Row],[Quantity sold]])</f>
        <v>10813</v>
      </c>
      <c r="M410" s="2">
        <f>Table2[[#This Row],[TOTAL SALES]]-Table2[[#This Row],[TOTAL COST PRICE]]</f>
        <v>4162</v>
      </c>
      <c r="N410" s="2">
        <f>IF(Table2[[#This Row],[Amount Paid]]&gt;0,(SUMIF(Table2[Order ID],Table2[[#This Row],[Order ID]],Table2[Amount Paid])-SUMIF(Table2[Order ID],Table2[[#This Row],[Order ID]],Table2[TOTAL SALES])),0)</f>
        <v>0</v>
      </c>
      <c r="O410" s="8">
        <v>39</v>
      </c>
      <c r="P410" s="8" t="s">
        <v>25</v>
      </c>
      <c r="Q410" s="8" t="s">
        <v>26</v>
      </c>
      <c r="R410" s="8" t="s">
        <v>27</v>
      </c>
      <c r="S410" s="8" t="s">
        <v>28</v>
      </c>
      <c r="T410" s="8">
        <f t="shared" si="6"/>
        <v>0</v>
      </c>
      <c r="U410" t="str" cm="1">
        <f t="array" ref="U410">_xlfn.IFNA(_xlfn.IFS(Table2[[#This Row],[DEFICIT /SURPLUS]]&lt;0,"Deficit",Table2[[#This Row],[DEFICIT /SURPLUS]]&gt;0,"surplus"),"-")</f>
        <v>-</v>
      </c>
    </row>
    <row r="411" spans="1:21" ht="14.5">
      <c r="A411" s="8" t="s">
        <v>307</v>
      </c>
      <c r="B411" s="9">
        <v>45636</v>
      </c>
      <c r="C411" s="8" t="s">
        <v>22</v>
      </c>
      <c r="D411" s="8" t="s">
        <v>29</v>
      </c>
      <c r="E411" s="8" t="s">
        <v>63</v>
      </c>
      <c r="F411" s="31">
        <f>_xlfn.XLOOKUP(Table2[[#This Row],[Shoe style]],val[SHOE STYLE],val[UNIT PRICE])</f>
        <v>12395</v>
      </c>
      <c r="H411" s="11">
        <v>1</v>
      </c>
      <c r="I411" s="6">
        <f>IF(Table2[[#This Row],[Discount]]&lt;(Table2[[#This Row],[UNIT PRICE]]*Table2[[#This Row],[Quantity sold]]),Table2[[#This Row],[UNIT PRICE]]*Table2[[#This Row],[Quantity sold]]-Table2[[#This Row],[Discount]],0)</f>
        <v>12395</v>
      </c>
      <c r="J411" s="10">
        <v>23000</v>
      </c>
      <c r="K411" s="2">
        <f>_xlfn.XLOOKUP(Table2[[#This Row],[Shoe style]],val[SHOE STYLE],val[COST PRICE])</f>
        <v>7909</v>
      </c>
      <c r="L411" s="2">
        <f>(Table2[[#This Row],[COST PRICE]]*Table2[[#This Row],[Quantity sold]])</f>
        <v>7909</v>
      </c>
      <c r="M411" s="2">
        <f>Table2[[#This Row],[TOTAL SALES]]-Table2[[#This Row],[TOTAL COST PRICE]]</f>
        <v>4486</v>
      </c>
      <c r="N411" s="2">
        <f>IF(Table2[[#This Row],[Amount Paid]]&gt;0,(SUMIF(Table2[Order ID],Table2[[#This Row],[Order ID]],Table2[Amount Paid])-SUMIF(Table2[Order ID],Table2[[#This Row],[Order ID]],Table2[TOTAL SALES])),0)</f>
        <v>10605</v>
      </c>
      <c r="O411" s="8">
        <v>40</v>
      </c>
      <c r="P411" s="8" t="s">
        <v>25</v>
      </c>
      <c r="Q411" s="8" t="s">
        <v>26</v>
      </c>
      <c r="R411" s="8" t="s">
        <v>44</v>
      </c>
      <c r="S411" s="8" t="s">
        <v>28</v>
      </c>
      <c r="T411" s="8">
        <f t="shared" si="6"/>
        <v>0</v>
      </c>
      <c r="U411" t="str" cm="1">
        <f t="array" ref="U411">_xlfn.IFNA(_xlfn.IFS(Table2[[#This Row],[DEFICIT /SURPLUS]]&lt;0,"Deficit",Table2[[#This Row],[DEFICIT /SURPLUS]]&gt;0,"surplus"),"-")</f>
        <v>surplus</v>
      </c>
    </row>
    <row r="412" spans="1:21" ht="14.5">
      <c r="A412" s="8" t="s">
        <v>308</v>
      </c>
      <c r="B412" s="9">
        <v>45639</v>
      </c>
      <c r="C412" s="8" t="s">
        <v>22</v>
      </c>
      <c r="D412" s="8" t="s">
        <v>23</v>
      </c>
      <c r="E412" s="8" t="s">
        <v>40</v>
      </c>
      <c r="F412" s="31">
        <f>_xlfn.XLOOKUP(Table2[[#This Row],[Shoe style]],val[SHOE STYLE],val[UNIT PRICE])</f>
        <v>14975</v>
      </c>
      <c r="H412" s="11">
        <v>1</v>
      </c>
      <c r="I412" s="6">
        <f>IF(Table2[[#This Row],[Discount]]&lt;(Table2[[#This Row],[UNIT PRICE]]*Table2[[#This Row],[Quantity sold]]),Table2[[#This Row],[UNIT PRICE]]*Table2[[#This Row],[Quantity sold]]-Table2[[#This Row],[Discount]],0)</f>
        <v>14975</v>
      </c>
      <c r="J412" s="10">
        <v>19500</v>
      </c>
      <c r="K412" s="2">
        <f>_xlfn.XLOOKUP(Table2[[#This Row],[Shoe style]],val[SHOE STYLE],val[COST PRICE])</f>
        <v>10813</v>
      </c>
      <c r="L412" s="2">
        <f>(Table2[[#This Row],[COST PRICE]]*Table2[[#This Row],[Quantity sold]])</f>
        <v>10813</v>
      </c>
      <c r="M412" s="2">
        <f>Table2[[#This Row],[TOTAL SALES]]-Table2[[#This Row],[TOTAL COST PRICE]]</f>
        <v>4162</v>
      </c>
      <c r="N412" s="2">
        <f>IF(Table2[[#This Row],[Amount Paid]]&gt;0,(SUMIF(Table2[Order ID],Table2[[#This Row],[Order ID]],Table2[Amount Paid])-SUMIF(Table2[Order ID],Table2[[#This Row],[Order ID]],Table2[TOTAL SALES])),0)</f>
        <v>4525</v>
      </c>
      <c r="O412" s="8">
        <v>41</v>
      </c>
      <c r="P412" s="8" t="s">
        <v>25</v>
      </c>
      <c r="Q412" s="8" t="s">
        <v>26</v>
      </c>
      <c r="R412" s="8" t="s">
        <v>27</v>
      </c>
      <c r="S412" s="8" t="s">
        <v>28</v>
      </c>
      <c r="T412" s="8">
        <f t="shared" si="6"/>
        <v>0</v>
      </c>
      <c r="U412" t="str" cm="1">
        <f t="array" ref="U412">_xlfn.IFNA(_xlfn.IFS(Table2[[#This Row],[DEFICIT /SURPLUS]]&lt;0,"Deficit",Table2[[#This Row],[DEFICIT /SURPLUS]]&gt;0,"surplus"),"-")</f>
        <v>surplus</v>
      </c>
    </row>
    <row r="413" spans="1:21" ht="14.5">
      <c r="A413" s="8" t="s">
        <v>309</v>
      </c>
      <c r="B413" s="9">
        <v>45640</v>
      </c>
      <c r="C413" s="8" t="s">
        <v>22</v>
      </c>
      <c r="D413" s="8" t="s">
        <v>29</v>
      </c>
      <c r="E413" s="8" t="s">
        <v>24</v>
      </c>
      <c r="F413" s="31">
        <f>_xlfn.XLOOKUP(Table2[[#This Row],[Shoe style]],val[SHOE STYLE],val[UNIT PRICE])</f>
        <v>12395</v>
      </c>
      <c r="H413" s="11">
        <v>1</v>
      </c>
      <c r="I413" s="6">
        <f>IF(Table2[[#This Row],[Discount]]&lt;(Table2[[#This Row],[UNIT PRICE]]*Table2[[#This Row],[Quantity sold]]),Table2[[#This Row],[UNIT PRICE]]*Table2[[#This Row],[Quantity sold]]-Table2[[#This Row],[Discount]],0)</f>
        <v>12395</v>
      </c>
      <c r="J413" s="10">
        <v>19500</v>
      </c>
      <c r="K413" s="2">
        <f>_xlfn.XLOOKUP(Table2[[#This Row],[Shoe style]],val[SHOE STYLE],val[COST PRICE])</f>
        <v>7909</v>
      </c>
      <c r="L413" s="2">
        <f>(Table2[[#This Row],[COST PRICE]]*Table2[[#This Row],[Quantity sold]])</f>
        <v>7909</v>
      </c>
      <c r="M413" s="2">
        <f>Table2[[#This Row],[TOTAL SALES]]-Table2[[#This Row],[TOTAL COST PRICE]]</f>
        <v>4486</v>
      </c>
      <c r="N413" s="2">
        <f>IF(Table2[[#This Row],[Amount Paid]]&gt;0,(SUMIF(Table2[Order ID],Table2[[#This Row],[Order ID]],Table2[Amount Paid])-SUMIF(Table2[Order ID],Table2[[#This Row],[Order ID]],Table2[TOTAL SALES])),0)</f>
        <v>7105</v>
      </c>
      <c r="O413" s="8">
        <v>42</v>
      </c>
      <c r="P413" s="8" t="s">
        <v>25</v>
      </c>
      <c r="Q413" s="8" t="s">
        <v>26</v>
      </c>
      <c r="R413" s="8" t="s">
        <v>27</v>
      </c>
      <c r="S413" s="8" t="s">
        <v>28</v>
      </c>
      <c r="T413" s="8">
        <f t="shared" si="6"/>
        <v>0</v>
      </c>
      <c r="U413" t="str" cm="1">
        <f t="array" ref="U413">_xlfn.IFNA(_xlfn.IFS(Table2[[#This Row],[DEFICIT /SURPLUS]]&lt;0,"Deficit",Table2[[#This Row],[DEFICIT /SURPLUS]]&gt;0,"surplus"),"-")</f>
        <v>surplus</v>
      </c>
    </row>
    <row r="414" spans="1:21" ht="14.5">
      <c r="A414" s="8" t="s">
        <v>310</v>
      </c>
      <c r="B414" s="9">
        <v>45640</v>
      </c>
      <c r="C414" s="8" t="s">
        <v>311</v>
      </c>
      <c r="D414" s="8" t="s">
        <v>29</v>
      </c>
      <c r="E414" s="8" t="s">
        <v>24</v>
      </c>
      <c r="F414" s="31">
        <f>_xlfn.XLOOKUP(Table2[[#This Row],[Shoe style]],val[SHOE STYLE],val[UNIT PRICE])</f>
        <v>12395</v>
      </c>
      <c r="H414" s="11">
        <v>1</v>
      </c>
      <c r="I414" s="6">
        <f>IF(Table2[[#This Row],[Discount]]&lt;(Table2[[#This Row],[UNIT PRICE]]*Table2[[#This Row],[Quantity sold]]),Table2[[#This Row],[UNIT PRICE]]*Table2[[#This Row],[Quantity sold]]-Table2[[#This Row],[Discount]],0)</f>
        <v>12395</v>
      </c>
      <c r="J414" s="10">
        <v>44600</v>
      </c>
      <c r="K414" s="2">
        <f>_xlfn.XLOOKUP(Table2[[#This Row],[Shoe style]],val[SHOE STYLE],val[COST PRICE])</f>
        <v>7909</v>
      </c>
      <c r="L414" s="2">
        <f>(Table2[[#This Row],[COST PRICE]]*Table2[[#This Row],[Quantity sold]])</f>
        <v>7909</v>
      </c>
      <c r="M414" s="2">
        <f>Table2[[#This Row],[TOTAL SALES]]-Table2[[#This Row],[TOTAL COST PRICE]]</f>
        <v>4486</v>
      </c>
      <c r="N414" s="2">
        <f>IF(Table2[[#This Row],[Amount Paid]]&gt;0,(SUMIF(Table2[Order ID],Table2[[#This Row],[Order ID]],Table2[Amount Paid])-SUMIF(Table2[Order ID],Table2[[#This Row],[Order ID]],Table2[TOTAL SALES])),0)</f>
        <v>32205</v>
      </c>
      <c r="O414" s="8">
        <v>40</v>
      </c>
      <c r="P414" s="8" t="s">
        <v>25</v>
      </c>
      <c r="Q414" s="8" t="s">
        <v>26</v>
      </c>
      <c r="R414" s="8" t="s">
        <v>44</v>
      </c>
      <c r="S414" s="8" t="s">
        <v>28</v>
      </c>
      <c r="T414" s="8">
        <f t="shared" si="6"/>
        <v>0</v>
      </c>
      <c r="U414" t="str" cm="1">
        <f t="array" ref="U414">_xlfn.IFNA(_xlfn.IFS(Table2[[#This Row],[DEFICIT /SURPLUS]]&lt;0,"Deficit",Table2[[#This Row],[DEFICIT /SURPLUS]]&gt;0,"surplus"),"-")</f>
        <v>surplus</v>
      </c>
    </row>
    <row r="415" spans="1:21" ht="14.5">
      <c r="A415" s="8" t="s">
        <v>312</v>
      </c>
      <c r="B415" s="9">
        <v>45640</v>
      </c>
      <c r="C415" s="8" t="s">
        <v>311</v>
      </c>
      <c r="D415" s="8" t="s">
        <v>29</v>
      </c>
      <c r="E415" s="8" t="s">
        <v>24</v>
      </c>
      <c r="F415" s="31">
        <f>_xlfn.XLOOKUP(Table2[[#This Row],[Shoe style]],val[SHOE STYLE],val[UNIT PRICE])</f>
        <v>12395</v>
      </c>
      <c r="H415" s="11">
        <v>1</v>
      </c>
      <c r="I415" s="6">
        <f>IF(Table2[[#This Row],[Discount]]&lt;(Table2[[#This Row],[UNIT PRICE]]*Table2[[#This Row],[Quantity sold]]),Table2[[#This Row],[UNIT PRICE]]*Table2[[#This Row],[Quantity sold]]-Table2[[#This Row],[Discount]],0)</f>
        <v>12395</v>
      </c>
      <c r="J415" s="10">
        <v>44600</v>
      </c>
      <c r="K415" s="2">
        <f>_xlfn.XLOOKUP(Table2[[#This Row],[Shoe style]],val[SHOE STYLE],val[COST PRICE])</f>
        <v>7909</v>
      </c>
      <c r="L415" s="2">
        <f>(Table2[[#This Row],[COST PRICE]]*Table2[[#This Row],[Quantity sold]])</f>
        <v>7909</v>
      </c>
      <c r="M415" s="2">
        <f>Table2[[#This Row],[TOTAL SALES]]-Table2[[#This Row],[TOTAL COST PRICE]]</f>
        <v>4486</v>
      </c>
      <c r="N415" s="2">
        <f>IF(Table2[[#This Row],[Amount Paid]]&gt;0,(SUMIF(Table2[Order ID],Table2[[#This Row],[Order ID]],Table2[Amount Paid])-SUMIF(Table2[Order ID],Table2[[#This Row],[Order ID]],Table2[TOTAL SALES])),0)</f>
        <v>32205</v>
      </c>
      <c r="O415" s="8">
        <v>40</v>
      </c>
      <c r="P415" s="8" t="s">
        <v>25</v>
      </c>
      <c r="Q415" s="8" t="s">
        <v>26</v>
      </c>
      <c r="R415" s="8" t="s">
        <v>44</v>
      </c>
      <c r="S415" s="8" t="s">
        <v>28</v>
      </c>
      <c r="T415" s="8">
        <f t="shared" si="6"/>
        <v>0</v>
      </c>
      <c r="U415" t="str" cm="1">
        <f t="array" ref="U415">_xlfn.IFNA(_xlfn.IFS(Table2[[#This Row],[DEFICIT /SURPLUS]]&lt;0,"Deficit",Table2[[#This Row],[DEFICIT /SURPLUS]]&gt;0,"surplus"),"-")</f>
        <v>surplus</v>
      </c>
    </row>
    <row r="416" spans="1:21" ht="14.5">
      <c r="A416" s="8" t="s">
        <v>313</v>
      </c>
      <c r="B416" s="9">
        <v>45641</v>
      </c>
      <c r="C416" s="8" t="s">
        <v>91</v>
      </c>
      <c r="D416" s="8" t="s">
        <v>37</v>
      </c>
      <c r="E416" s="8" t="s">
        <v>55</v>
      </c>
      <c r="F416" s="31">
        <f>_xlfn.XLOOKUP(Table2[[#This Row],[Shoe style]],val[SHOE STYLE],val[UNIT PRICE])</f>
        <v>22728</v>
      </c>
      <c r="H416" s="11">
        <v>1</v>
      </c>
      <c r="I416" s="6">
        <f>IF(Table2[[#This Row],[Discount]]&lt;(Table2[[#This Row],[UNIT PRICE]]*Table2[[#This Row],[Quantity sold]]),Table2[[#This Row],[UNIT PRICE]]*Table2[[#This Row],[Quantity sold]]-Table2[[#This Row],[Discount]],0)</f>
        <v>22728</v>
      </c>
      <c r="J416" s="10">
        <v>44800</v>
      </c>
      <c r="K416" s="2">
        <f>_xlfn.XLOOKUP(Table2[[#This Row],[Shoe style]],val[SHOE STYLE],val[COST PRICE])</f>
        <v>20451</v>
      </c>
      <c r="L416" s="2">
        <f>(Table2[[#This Row],[COST PRICE]]*Table2[[#This Row],[Quantity sold]])</f>
        <v>20451</v>
      </c>
      <c r="M416" s="2">
        <f>Table2[[#This Row],[TOTAL SALES]]-Table2[[#This Row],[TOTAL COST PRICE]]</f>
        <v>2277</v>
      </c>
      <c r="N416" s="2">
        <f>IF(Table2[[#This Row],[Amount Paid]]&gt;0,(SUMIF(Table2[Order ID],Table2[[#This Row],[Order ID]],Table2[Amount Paid])-SUMIF(Table2[Order ID],Table2[[#This Row],[Order ID]],Table2[TOTAL SALES])),0)</f>
        <v>12234</v>
      </c>
      <c r="O416" s="8">
        <v>39</v>
      </c>
      <c r="P416" s="8" t="s">
        <v>25</v>
      </c>
      <c r="Q416" s="8" t="s">
        <v>26</v>
      </c>
      <c r="R416" s="8" t="s">
        <v>44</v>
      </c>
      <c r="S416" s="8" t="s">
        <v>28</v>
      </c>
      <c r="T416" s="8">
        <f t="shared" si="6"/>
        <v>0</v>
      </c>
      <c r="U416" t="str" cm="1">
        <f t="array" ref="U416">_xlfn.IFNA(_xlfn.IFS(Table2[[#This Row],[DEFICIT /SURPLUS]]&lt;0,"Deficit",Table2[[#This Row],[DEFICIT /SURPLUS]]&gt;0,"surplus"),"-")</f>
        <v>surplus</v>
      </c>
    </row>
    <row r="417" spans="1:21" ht="14.5">
      <c r="A417" s="8" t="s">
        <v>313</v>
      </c>
      <c r="B417" s="9">
        <v>45641</v>
      </c>
      <c r="C417" s="8" t="s">
        <v>91</v>
      </c>
      <c r="D417" s="8" t="s">
        <v>53</v>
      </c>
      <c r="E417" s="8" t="s">
        <v>24</v>
      </c>
      <c r="F417" s="31">
        <f>_xlfn.XLOOKUP(Table2[[#This Row],[Shoe style]],val[SHOE STYLE],val[UNIT PRICE])</f>
        <v>9838</v>
      </c>
      <c r="H417" s="11">
        <v>1</v>
      </c>
      <c r="I417" s="6">
        <f>IF(Table2[[#This Row],[Discount]]&lt;(Table2[[#This Row],[UNIT PRICE]]*Table2[[#This Row],[Quantity sold]]),Table2[[#This Row],[UNIT PRICE]]*Table2[[#This Row],[Quantity sold]]-Table2[[#This Row],[Discount]],0)</f>
        <v>9838</v>
      </c>
      <c r="K417" s="2">
        <f>_xlfn.XLOOKUP(Table2[[#This Row],[Shoe style]],val[SHOE STYLE],val[COST PRICE])</f>
        <v>6687</v>
      </c>
      <c r="L417" s="2">
        <f>(Table2[[#This Row],[COST PRICE]]*Table2[[#This Row],[Quantity sold]])</f>
        <v>6687</v>
      </c>
      <c r="M417" s="2">
        <f>Table2[[#This Row],[TOTAL SALES]]-Table2[[#This Row],[TOTAL COST PRICE]]</f>
        <v>3151</v>
      </c>
      <c r="N417" s="2">
        <f>IF(Table2[[#This Row],[Amount Paid]]&gt;0,(SUMIF(Table2[Order ID],Table2[[#This Row],[Order ID]],Table2[Amount Paid])-SUMIF(Table2[Order ID],Table2[[#This Row],[Order ID]],Table2[TOTAL SALES])),0)</f>
        <v>0</v>
      </c>
      <c r="O417" s="8">
        <v>39</v>
      </c>
      <c r="P417" s="8" t="s">
        <v>25</v>
      </c>
      <c r="Q417" s="8" t="s">
        <v>26</v>
      </c>
      <c r="R417" s="8" t="s">
        <v>44</v>
      </c>
      <c r="S417" s="8" t="s">
        <v>28</v>
      </c>
      <c r="T417" s="8">
        <f t="shared" si="6"/>
        <v>0</v>
      </c>
      <c r="U417" t="str" cm="1">
        <f t="array" ref="U417">_xlfn.IFNA(_xlfn.IFS(Table2[[#This Row],[DEFICIT /SURPLUS]]&lt;0,"Deficit",Table2[[#This Row],[DEFICIT /SURPLUS]]&gt;0,"surplus"),"-")</f>
        <v>-</v>
      </c>
    </row>
    <row r="418" spans="1:21" ht="14.5">
      <c r="A418" s="8" t="s">
        <v>314</v>
      </c>
      <c r="B418" s="9">
        <v>45641</v>
      </c>
      <c r="C418" s="8" t="s">
        <v>22</v>
      </c>
      <c r="D418" s="8" t="s">
        <v>29</v>
      </c>
      <c r="E418" s="8" t="s">
        <v>87</v>
      </c>
      <c r="F418" s="31">
        <f>_xlfn.XLOOKUP(Table2[[#This Row],[Shoe style]],val[SHOE STYLE],val[UNIT PRICE])</f>
        <v>12395</v>
      </c>
      <c r="H418" s="11">
        <v>1</v>
      </c>
      <c r="I418" s="6">
        <f>IF(Table2[[#This Row],[Discount]]&lt;(Table2[[#This Row],[UNIT PRICE]]*Table2[[#This Row],[Quantity sold]]),Table2[[#This Row],[UNIT PRICE]]*Table2[[#This Row],[Quantity sold]]-Table2[[#This Row],[Discount]],0)</f>
        <v>12395</v>
      </c>
      <c r="J418" s="10">
        <v>42500</v>
      </c>
      <c r="K418" s="2">
        <f>_xlfn.XLOOKUP(Table2[[#This Row],[Shoe style]],val[SHOE STYLE],val[COST PRICE])</f>
        <v>7909</v>
      </c>
      <c r="L418" s="2">
        <f>(Table2[[#This Row],[COST PRICE]]*Table2[[#This Row],[Quantity sold]])</f>
        <v>7909</v>
      </c>
      <c r="M418" s="2">
        <f>Table2[[#This Row],[TOTAL SALES]]-Table2[[#This Row],[TOTAL COST PRICE]]</f>
        <v>4486</v>
      </c>
      <c r="N418" s="2">
        <f>IF(Table2[[#This Row],[Amount Paid]]&gt;0,(SUMIF(Table2[Order ID],Table2[[#This Row],[Order ID]],Table2[Amount Paid])-SUMIF(Table2[Order ID],Table2[[#This Row],[Order ID]],Table2[TOTAL SALES])),0)</f>
        <v>30105</v>
      </c>
      <c r="O418" s="8">
        <v>39</v>
      </c>
      <c r="P418" s="8" t="s">
        <v>25</v>
      </c>
      <c r="Q418" s="8" t="s">
        <v>26</v>
      </c>
      <c r="R418" s="8" t="s">
        <v>44</v>
      </c>
      <c r="S418" s="8" t="s">
        <v>28</v>
      </c>
      <c r="T418" s="8">
        <f t="shared" si="6"/>
        <v>0</v>
      </c>
      <c r="U418" t="str" cm="1">
        <f t="array" ref="U418">_xlfn.IFNA(_xlfn.IFS(Table2[[#This Row],[DEFICIT /SURPLUS]]&lt;0,"Deficit",Table2[[#This Row],[DEFICIT /SURPLUS]]&gt;0,"surplus"),"-")</f>
        <v>surplus</v>
      </c>
    </row>
    <row r="419" spans="1:21" ht="14.5">
      <c r="A419" s="8" t="s">
        <v>315</v>
      </c>
      <c r="B419" s="9">
        <v>45641</v>
      </c>
      <c r="C419" s="8" t="s">
        <v>22</v>
      </c>
      <c r="D419" s="8" t="s">
        <v>37</v>
      </c>
      <c r="E419" s="8" t="s">
        <v>63</v>
      </c>
      <c r="F419" s="31">
        <f>_xlfn.XLOOKUP(Table2[[#This Row],[Shoe style]],val[SHOE STYLE],val[UNIT PRICE])</f>
        <v>22728</v>
      </c>
      <c r="H419" s="11">
        <v>1</v>
      </c>
      <c r="I419" s="6">
        <f>IF(Table2[[#This Row],[Discount]]&lt;(Table2[[#This Row],[UNIT PRICE]]*Table2[[#This Row],[Quantity sold]]),Table2[[#This Row],[UNIT PRICE]]*Table2[[#This Row],[Quantity sold]]-Table2[[#This Row],[Discount]],0)</f>
        <v>22728</v>
      </c>
      <c r="J419" s="10">
        <v>42500</v>
      </c>
      <c r="K419" s="2">
        <f>_xlfn.XLOOKUP(Table2[[#This Row],[Shoe style]],val[SHOE STYLE],val[COST PRICE])</f>
        <v>20451</v>
      </c>
      <c r="L419" s="2">
        <f>(Table2[[#This Row],[COST PRICE]]*Table2[[#This Row],[Quantity sold]])</f>
        <v>20451</v>
      </c>
      <c r="M419" s="2">
        <f>Table2[[#This Row],[TOTAL SALES]]-Table2[[#This Row],[TOTAL COST PRICE]]</f>
        <v>2277</v>
      </c>
      <c r="N419" s="2">
        <f>IF(Table2[[#This Row],[Amount Paid]]&gt;0,(SUMIF(Table2[Order ID],Table2[[#This Row],[Order ID]],Table2[Amount Paid])-SUMIF(Table2[Order ID],Table2[[#This Row],[Order ID]],Table2[TOTAL SALES])),0)</f>
        <v>19772</v>
      </c>
      <c r="O419" s="8">
        <v>39</v>
      </c>
      <c r="P419" s="8" t="s">
        <v>25</v>
      </c>
      <c r="Q419" s="8" t="s">
        <v>26</v>
      </c>
      <c r="R419" s="8" t="s">
        <v>44</v>
      </c>
      <c r="S419" s="8" t="s">
        <v>28</v>
      </c>
      <c r="T419" s="8">
        <f t="shared" si="6"/>
        <v>0</v>
      </c>
      <c r="U419" t="str" cm="1">
        <f t="array" ref="U419">_xlfn.IFNA(_xlfn.IFS(Table2[[#This Row],[DEFICIT /SURPLUS]]&lt;0,"Deficit",Table2[[#This Row],[DEFICIT /SURPLUS]]&gt;0,"surplus"),"-")</f>
        <v>surplus</v>
      </c>
    </row>
    <row r="420" spans="1:21" ht="14.5">
      <c r="A420" s="8" t="s">
        <v>316</v>
      </c>
      <c r="B420" s="9">
        <v>45641</v>
      </c>
      <c r="C420" s="8" t="s">
        <v>22</v>
      </c>
      <c r="D420" s="8" t="s">
        <v>37</v>
      </c>
      <c r="E420" s="8" t="s">
        <v>38</v>
      </c>
      <c r="F420" s="31">
        <f>_xlfn.XLOOKUP(Table2[[#This Row],[Shoe style]],val[SHOE STYLE],val[UNIT PRICE])</f>
        <v>22728</v>
      </c>
      <c r="H420" s="11">
        <v>1</v>
      </c>
      <c r="I420" s="6">
        <f>IF(Table2[[#This Row],[Discount]]&lt;(Table2[[#This Row],[UNIT PRICE]]*Table2[[#This Row],[Quantity sold]]),Table2[[#This Row],[UNIT PRICE]]*Table2[[#This Row],[Quantity sold]]-Table2[[#This Row],[Discount]],0)</f>
        <v>22728</v>
      </c>
      <c r="J420" s="10">
        <v>39000</v>
      </c>
      <c r="K420" s="2">
        <f>_xlfn.XLOOKUP(Table2[[#This Row],[Shoe style]],val[SHOE STYLE],val[COST PRICE])</f>
        <v>20451</v>
      </c>
      <c r="L420" s="2">
        <f>(Table2[[#This Row],[COST PRICE]]*Table2[[#This Row],[Quantity sold]])</f>
        <v>20451</v>
      </c>
      <c r="M420" s="2">
        <f>Table2[[#This Row],[TOTAL SALES]]-Table2[[#This Row],[TOTAL COST PRICE]]</f>
        <v>2277</v>
      </c>
      <c r="N420" s="2">
        <f>IF(Table2[[#This Row],[Amount Paid]]&gt;0,(SUMIF(Table2[Order ID],Table2[[#This Row],[Order ID]],Table2[Amount Paid])-SUMIF(Table2[Order ID],Table2[[#This Row],[Order ID]],Table2[TOTAL SALES])),0)</f>
        <v>-6456</v>
      </c>
      <c r="O420" s="8">
        <v>39</v>
      </c>
      <c r="P420" s="8" t="s">
        <v>25</v>
      </c>
      <c r="Q420" s="8" t="s">
        <v>26</v>
      </c>
      <c r="R420" s="8" t="s">
        <v>44</v>
      </c>
      <c r="S420" s="8" t="s">
        <v>28</v>
      </c>
      <c r="T420" s="8">
        <f t="shared" si="6"/>
        <v>0</v>
      </c>
      <c r="U420" t="str" cm="1">
        <f t="array" ref="U420">_xlfn.IFNA(_xlfn.IFS(Table2[[#This Row],[DEFICIT /SURPLUS]]&lt;0,"Deficit",Table2[[#This Row],[DEFICIT /SURPLUS]]&gt;0,"surplus"),"-")</f>
        <v>Deficit</v>
      </c>
    </row>
    <row r="421" spans="1:21" ht="14.5">
      <c r="A421" s="8" t="s">
        <v>316</v>
      </c>
      <c r="B421" s="9">
        <v>45641</v>
      </c>
      <c r="C421" s="8" t="s">
        <v>22</v>
      </c>
      <c r="D421" s="8" t="s">
        <v>37</v>
      </c>
      <c r="E421" s="8" t="s">
        <v>38</v>
      </c>
      <c r="F421" s="31">
        <f>_xlfn.XLOOKUP(Table2[[#This Row],[Shoe style]],val[SHOE STYLE],val[UNIT PRICE])</f>
        <v>22728</v>
      </c>
      <c r="H421" s="11">
        <v>1</v>
      </c>
      <c r="I421" s="6">
        <f>IF(Table2[[#This Row],[Discount]]&lt;(Table2[[#This Row],[UNIT PRICE]]*Table2[[#This Row],[Quantity sold]]),Table2[[#This Row],[UNIT PRICE]]*Table2[[#This Row],[Quantity sold]]-Table2[[#This Row],[Discount]],0)</f>
        <v>22728</v>
      </c>
      <c r="K421" s="2">
        <f>_xlfn.XLOOKUP(Table2[[#This Row],[Shoe style]],val[SHOE STYLE],val[COST PRICE])</f>
        <v>20451</v>
      </c>
      <c r="L421" s="2">
        <f>(Table2[[#This Row],[COST PRICE]]*Table2[[#This Row],[Quantity sold]])</f>
        <v>20451</v>
      </c>
      <c r="M421" s="2">
        <f>Table2[[#This Row],[TOTAL SALES]]-Table2[[#This Row],[TOTAL COST PRICE]]</f>
        <v>2277</v>
      </c>
      <c r="N421" s="2">
        <f>IF(Table2[[#This Row],[Amount Paid]]&gt;0,(SUMIF(Table2[Order ID],Table2[[#This Row],[Order ID]],Table2[Amount Paid])-SUMIF(Table2[Order ID],Table2[[#This Row],[Order ID]],Table2[TOTAL SALES])),0)</f>
        <v>0</v>
      </c>
      <c r="O421" s="8">
        <v>39</v>
      </c>
      <c r="P421" s="8" t="s">
        <v>25</v>
      </c>
      <c r="Q421" s="8" t="s">
        <v>26</v>
      </c>
      <c r="R421" s="8" t="s">
        <v>44</v>
      </c>
      <c r="S421" s="8" t="s">
        <v>28</v>
      </c>
      <c r="T421" s="8">
        <f t="shared" si="6"/>
        <v>0</v>
      </c>
      <c r="U421" t="str" cm="1">
        <f t="array" ref="U421">_xlfn.IFNA(_xlfn.IFS(Table2[[#This Row],[DEFICIT /SURPLUS]]&lt;0,"Deficit",Table2[[#This Row],[DEFICIT /SURPLUS]]&gt;0,"surplus"),"-")</f>
        <v>-</v>
      </c>
    </row>
    <row r="422" spans="1:21" ht="14.5">
      <c r="A422" s="8" t="s">
        <v>317</v>
      </c>
      <c r="B422" s="9">
        <v>45644</v>
      </c>
      <c r="C422" s="8" t="s">
        <v>98</v>
      </c>
      <c r="D422" s="8" t="s">
        <v>168</v>
      </c>
      <c r="E422" s="8" t="s">
        <v>24</v>
      </c>
      <c r="F422" s="31">
        <f>_xlfn.XLOOKUP(Table2[[#This Row],[Shoe style]],val[SHOE STYLE],val[UNIT PRICE])</f>
        <v>18661</v>
      </c>
      <c r="H422" s="11">
        <v>1</v>
      </c>
      <c r="I422" s="6">
        <f>IF(Table2[[#This Row],[Discount]]&lt;(Table2[[#This Row],[UNIT PRICE]]*Table2[[#This Row],[Quantity sold]]),Table2[[#This Row],[UNIT PRICE]]*Table2[[#This Row],[Quantity sold]]-Table2[[#This Row],[Discount]],0)</f>
        <v>18661</v>
      </c>
      <c r="J422" s="10">
        <v>39000</v>
      </c>
      <c r="K422" s="2">
        <f>_xlfn.XLOOKUP(Table2[[#This Row],[Shoe style]],val[SHOE STYLE],val[COST PRICE])</f>
        <v>13922</v>
      </c>
      <c r="L422" s="2">
        <f>(Table2[[#This Row],[COST PRICE]]*Table2[[#This Row],[Quantity sold]])</f>
        <v>13922</v>
      </c>
      <c r="M422" s="2">
        <f>Table2[[#This Row],[TOTAL SALES]]-Table2[[#This Row],[TOTAL COST PRICE]]</f>
        <v>4739</v>
      </c>
      <c r="N422" s="2">
        <f>IF(Table2[[#This Row],[Amount Paid]]&gt;0,(SUMIF(Table2[Order ID],Table2[[#This Row],[Order ID]],Table2[Amount Paid])-SUMIF(Table2[Order ID],Table2[[#This Row],[Order ID]],Table2[TOTAL SALES])),0)</f>
        <v>20339</v>
      </c>
      <c r="O422" s="8">
        <v>37</v>
      </c>
      <c r="P422" s="8" t="s">
        <v>25</v>
      </c>
      <c r="Q422" s="8" t="s">
        <v>26</v>
      </c>
      <c r="R422" s="8" t="s">
        <v>292</v>
      </c>
      <c r="S422" s="8" t="s">
        <v>28</v>
      </c>
      <c r="T422" s="8">
        <f t="shared" si="6"/>
        <v>0</v>
      </c>
      <c r="U422" t="str" cm="1">
        <f t="array" ref="U422">_xlfn.IFNA(_xlfn.IFS(Table2[[#This Row],[DEFICIT /SURPLUS]]&lt;0,"Deficit",Table2[[#This Row],[DEFICIT /SURPLUS]]&gt;0,"surplus"),"-")</f>
        <v>surplus</v>
      </c>
    </row>
    <row r="423" spans="1:21" ht="14.5">
      <c r="A423" s="8" t="s">
        <v>318</v>
      </c>
      <c r="B423" s="9">
        <v>45644</v>
      </c>
      <c r="C423" s="8" t="s">
        <v>22</v>
      </c>
      <c r="D423" s="8" t="s">
        <v>53</v>
      </c>
      <c r="E423" s="8" t="s">
        <v>24</v>
      </c>
      <c r="F423" s="31">
        <f>_xlfn.XLOOKUP(Table2[[#This Row],[Shoe style]],val[SHOE STYLE],val[UNIT PRICE])</f>
        <v>9838</v>
      </c>
      <c r="H423" s="11">
        <v>1</v>
      </c>
      <c r="I423" s="6">
        <f>IF(Table2[[#This Row],[Discount]]&lt;(Table2[[#This Row],[UNIT PRICE]]*Table2[[#This Row],[Quantity sold]]),Table2[[#This Row],[UNIT PRICE]]*Table2[[#This Row],[Quantity sold]]-Table2[[#This Row],[Discount]],0)</f>
        <v>9838</v>
      </c>
      <c r="J423" s="10">
        <v>23000</v>
      </c>
      <c r="K423" s="2">
        <f>_xlfn.XLOOKUP(Table2[[#This Row],[Shoe style]],val[SHOE STYLE],val[COST PRICE])</f>
        <v>6687</v>
      </c>
      <c r="L423" s="2">
        <f>(Table2[[#This Row],[COST PRICE]]*Table2[[#This Row],[Quantity sold]])</f>
        <v>6687</v>
      </c>
      <c r="M423" s="2">
        <f>Table2[[#This Row],[TOTAL SALES]]-Table2[[#This Row],[TOTAL COST PRICE]]</f>
        <v>3151</v>
      </c>
      <c r="N423" s="2">
        <f>IF(Table2[[#This Row],[Amount Paid]]&gt;0,(SUMIF(Table2[Order ID],Table2[[#This Row],[Order ID]],Table2[Amount Paid])-SUMIF(Table2[Order ID],Table2[[#This Row],[Order ID]],Table2[TOTAL SALES])),0)</f>
        <v>13162</v>
      </c>
      <c r="O423" s="8">
        <v>38</v>
      </c>
      <c r="P423" s="8" t="s">
        <v>25</v>
      </c>
      <c r="Q423" s="8" t="s">
        <v>26</v>
      </c>
      <c r="R423" s="8" t="s">
        <v>292</v>
      </c>
      <c r="S423" s="8" t="s">
        <v>28</v>
      </c>
      <c r="T423" s="8">
        <f t="shared" si="6"/>
        <v>0</v>
      </c>
      <c r="U423" t="str" cm="1">
        <f t="array" ref="U423">_xlfn.IFNA(_xlfn.IFS(Table2[[#This Row],[DEFICIT /SURPLUS]]&lt;0,"Deficit",Table2[[#This Row],[DEFICIT /SURPLUS]]&gt;0,"surplus"),"-")</f>
        <v>surplus</v>
      </c>
    </row>
    <row r="424" spans="1:21" ht="14.5">
      <c r="A424" s="8" t="s">
        <v>319</v>
      </c>
      <c r="B424" s="9">
        <v>45646</v>
      </c>
      <c r="C424" s="8" t="s">
        <v>22</v>
      </c>
      <c r="D424" s="8" t="s">
        <v>53</v>
      </c>
      <c r="E424" s="8" t="s">
        <v>24</v>
      </c>
      <c r="F424" s="31">
        <f>_xlfn.XLOOKUP(Table2[[#This Row],[Shoe style]],val[SHOE STYLE],val[UNIT PRICE])</f>
        <v>9838</v>
      </c>
      <c r="H424" s="11">
        <v>1</v>
      </c>
      <c r="I424" s="6">
        <f>IF(Table2[[#This Row],[Discount]]&lt;(Table2[[#This Row],[UNIT PRICE]]*Table2[[#This Row],[Quantity sold]]),Table2[[#This Row],[UNIT PRICE]]*Table2[[#This Row],[Quantity sold]]-Table2[[#This Row],[Discount]],0)</f>
        <v>9838</v>
      </c>
      <c r="J424" s="10">
        <v>43000</v>
      </c>
      <c r="K424" s="2">
        <f>_xlfn.XLOOKUP(Table2[[#This Row],[Shoe style]],val[SHOE STYLE],val[COST PRICE])</f>
        <v>6687</v>
      </c>
      <c r="L424" s="2">
        <f>(Table2[[#This Row],[COST PRICE]]*Table2[[#This Row],[Quantity sold]])</f>
        <v>6687</v>
      </c>
      <c r="M424" s="2">
        <f>Table2[[#This Row],[TOTAL SALES]]-Table2[[#This Row],[TOTAL COST PRICE]]</f>
        <v>3151</v>
      </c>
      <c r="N424" s="2">
        <f>IF(Table2[[#This Row],[Amount Paid]]&gt;0,(SUMIF(Table2[Order ID],Table2[[#This Row],[Order ID]],Table2[Amount Paid])-SUMIF(Table2[Order ID],Table2[[#This Row],[Order ID]],Table2[TOTAL SALES])),0)</f>
        <v>23324</v>
      </c>
      <c r="O424" s="8">
        <v>40</v>
      </c>
      <c r="P424" s="8" t="s">
        <v>25</v>
      </c>
      <c r="Q424" s="8" t="s">
        <v>26</v>
      </c>
      <c r="R424" s="8" t="s">
        <v>292</v>
      </c>
      <c r="S424" s="8" t="s">
        <v>28</v>
      </c>
      <c r="T424" s="8">
        <f t="shared" si="6"/>
        <v>0</v>
      </c>
      <c r="U424" t="str" cm="1">
        <f t="array" ref="U424">_xlfn.IFNA(_xlfn.IFS(Table2[[#This Row],[DEFICIT /SURPLUS]]&lt;0,"Deficit",Table2[[#This Row],[DEFICIT /SURPLUS]]&gt;0,"surplus"),"-")</f>
        <v>surplus</v>
      </c>
    </row>
    <row r="425" spans="1:21" ht="14.5">
      <c r="A425" s="8" t="s">
        <v>319</v>
      </c>
      <c r="B425" s="9">
        <v>45646</v>
      </c>
      <c r="C425" s="8" t="s">
        <v>22</v>
      </c>
      <c r="D425" s="8" t="s">
        <v>53</v>
      </c>
      <c r="E425" s="8" t="s">
        <v>109</v>
      </c>
      <c r="F425" s="31">
        <f>_xlfn.XLOOKUP(Table2[[#This Row],[Shoe style]],val[SHOE STYLE],val[UNIT PRICE])</f>
        <v>9838</v>
      </c>
      <c r="H425" s="11">
        <v>1</v>
      </c>
      <c r="I425" s="6">
        <f>IF(Table2[[#This Row],[Discount]]&lt;(Table2[[#This Row],[UNIT PRICE]]*Table2[[#This Row],[Quantity sold]]),Table2[[#This Row],[UNIT PRICE]]*Table2[[#This Row],[Quantity sold]]-Table2[[#This Row],[Discount]],0)</f>
        <v>9838</v>
      </c>
      <c r="K425" s="2">
        <f>_xlfn.XLOOKUP(Table2[[#This Row],[Shoe style]],val[SHOE STYLE],val[COST PRICE])</f>
        <v>6687</v>
      </c>
      <c r="L425" s="2">
        <f>(Table2[[#This Row],[COST PRICE]]*Table2[[#This Row],[Quantity sold]])</f>
        <v>6687</v>
      </c>
      <c r="M425" s="2">
        <f>Table2[[#This Row],[TOTAL SALES]]-Table2[[#This Row],[TOTAL COST PRICE]]</f>
        <v>3151</v>
      </c>
      <c r="N425" s="2">
        <f>IF(Table2[[#This Row],[Amount Paid]]&gt;0,(SUMIF(Table2[Order ID],Table2[[#This Row],[Order ID]],Table2[Amount Paid])-SUMIF(Table2[Order ID],Table2[[#This Row],[Order ID]],Table2[TOTAL SALES])),0)</f>
        <v>0</v>
      </c>
      <c r="O425" s="8">
        <v>40</v>
      </c>
      <c r="P425" s="8" t="s">
        <v>25</v>
      </c>
      <c r="Q425" s="8" t="s">
        <v>26</v>
      </c>
      <c r="R425" s="8" t="s">
        <v>292</v>
      </c>
      <c r="S425" s="8" t="s">
        <v>28</v>
      </c>
      <c r="T425" s="8">
        <f t="shared" si="6"/>
        <v>0</v>
      </c>
      <c r="U425" t="str" cm="1">
        <f t="array" ref="U425">_xlfn.IFNA(_xlfn.IFS(Table2[[#This Row],[DEFICIT /SURPLUS]]&lt;0,"Deficit",Table2[[#This Row],[DEFICIT /SURPLUS]]&gt;0,"surplus"),"-")</f>
        <v>-</v>
      </c>
    </row>
    <row r="426" spans="1:21" ht="14.5">
      <c r="A426" s="8" t="s">
        <v>320</v>
      </c>
      <c r="B426" s="9">
        <v>45646</v>
      </c>
      <c r="C426" s="8" t="s">
        <v>22</v>
      </c>
      <c r="D426" s="8" t="s">
        <v>42</v>
      </c>
      <c r="E426" s="8" t="s">
        <v>24</v>
      </c>
      <c r="F426" s="31">
        <f>_xlfn.XLOOKUP(Table2[[#This Row],[Shoe style]],val[SHOE STYLE],val[UNIT PRICE])</f>
        <v>17614</v>
      </c>
      <c r="H426" s="11">
        <v>1</v>
      </c>
      <c r="I426" s="6">
        <f>IF(Table2[[#This Row],[Discount]]&lt;(Table2[[#This Row],[UNIT PRICE]]*Table2[[#This Row],[Quantity sold]]),Table2[[#This Row],[UNIT PRICE]]*Table2[[#This Row],[Quantity sold]]-Table2[[#This Row],[Discount]],0)</f>
        <v>17614</v>
      </c>
      <c r="J426" s="10">
        <v>97000</v>
      </c>
      <c r="K426" s="2">
        <f>_xlfn.XLOOKUP(Table2[[#This Row],[Shoe style]],val[SHOE STYLE],val[COST PRICE])</f>
        <v>14912</v>
      </c>
      <c r="L426" s="2">
        <f>(Table2[[#This Row],[COST PRICE]]*Table2[[#This Row],[Quantity sold]])</f>
        <v>14912</v>
      </c>
      <c r="M426" s="2">
        <f>Table2[[#This Row],[TOTAL SALES]]-Table2[[#This Row],[TOTAL COST PRICE]]</f>
        <v>2702</v>
      </c>
      <c r="N426" s="2">
        <f>IF(Table2[[#This Row],[Amount Paid]]&gt;0,(SUMIF(Table2[Order ID],Table2[[#This Row],[Order ID]],Table2[Amount Paid])-SUMIF(Table2[Order ID],Table2[[#This Row],[Order ID]],Table2[TOTAL SALES])),0)</f>
        <v>8930</v>
      </c>
      <c r="O426" s="8">
        <v>41</v>
      </c>
      <c r="P426" s="8" t="s">
        <v>25</v>
      </c>
      <c r="Q426" s="8" t="s">
        <v>195</v>
      </c>
      <c r="R426" s="8" t="s">
        <v>44</v>
      </c>
      <c r="S426" s="8" t="s">
        <v>28</v>
      </c>
      <c r="T426" s="8">
        <f t="shared" si="6"/>
        <v>0</v>
      </c>
      <c r="U426" t="str" cm="1">
        <f t="array" ref="U426">_xlfn.IFNA(_xlfn.IFS(Table2[[#This Row],[DEFICIT /SURPLUS]]&lt;0,"Deficit",Table2[[#This Row],[DEFICIT /SURPLUS]]&gt;0,"surplus"),"-")</f>
        <v>surplus</v>
      </c>
    </row>
    <row r="427" spans="1:21" ht="14.5">
      <c r="A427" s="8" t="s">
        <v>320</v>
      </c>
      <c r="B427" s="9">
        <v>45646</v>
      </c>
      <c r="C427" s="8" t="s">
        <v>22</v>
      </c>
      <c r="D427" s="8" t="s">
        <v>42</v>
      </c>
      <c r="E427" s="8" t="s">
        <v>24</v>
      </c>
      <c r="F427" s="31">
        <f>_xlfn.XLOOKUP(Table2[[#This Row],[Shoe style]],val[SHOE STYLE],val[UNIT PRICE])</f>
        <v>17614</v>
      </c>
      <c r="H427" s="11">
        <v>1</v>
      </c>
      <c r="I427" s="6">
        <f>IF(Table2[[#This Row],[Discount]]&lt;(Table2[[#This Row],[UNIT PRICE]]*Table2[[#This Row],[Quantity sold]]),Table2[[#This Row],[UNIT PRICE]]*Table2[[#This Row],[Quantity sold]]-Table2[[#This Row],[Discount]],0)</f>
        <v>17614</v>
      </c>
      <c r="K427" s="2">
        <f>_xlfn.XLOOKUP(Table2[[#This Row],[Shoe style]],val[SHOE STYLE],val[COST PRICE])</f>
        <v>14912</v>
      </c>
      <c r="L427" s="2">
        <f>(Table2[[#This Row],[COST PRICE]]*Table2[[#This Row],[Quantity sold]])</f>
        <v>14912</v>
      </c>
      <c r="M427" s="2">
        <f>Table2[[#This Row],[TOTAL SALES]]-Table2[[#This Row],[TOTAL COST PRICE]]</f>
        <v>2702</v>
      </c>
      <c r="N427" s="2">
        <f>IF(Table2[[#This Row],[Amount Paid]]&gt;0,(SUMIF(Table2[Order ID],Table2[[#This Row],[Order ID]],Table2[Amount Paid])-SUMIF(Table2[Order ID],Table2[[#This Row],[Order ID]],Table2[TOTAL SALES])),0)</f>
        <v>0</v>
      </c>
      <c r="O427" s="8">
        <v>41</v>
      </c>
      <c r="P427" s="8" t="s">
        <v>25</v>
      </c>
      <c r="Q427" s="8" t="s">
        <v>195</v>
      </c>
      <c r="R427" s="8" t="s">
        <v>44</v>
      </c>
      <c r="S427" s="8" t="s">
        <v>28</v>
      </c>
      <c r="T427" s="8">
        <f t="shared" si="6"/>
        <v>0</v>
      </c>
      <c r="U427" t="str" cm="1">
        <f t="array" ref="U427">_xlfn.IFNA(_xlfn.IFS(Table2[[#This Row],[DEFICIT /SURPLUS]]&lt;0,"Deficit",Table2[[#This Row],[DEFICIT /SURPLUS]]&gt;0,"surplus"),"-")</f>
        <v>-</v>
      </c>
    </row>
    <row r="428" spans="1:21" ht="14.5">
      <c r="A428" s="8" t="s">
        <v>320</v>
      </c>
      <c r="B428" s="9">
        <v>45646</v>
      </c>
      <c r="C428" s="8" t="s">
        <v>22</v>
      </c>
      <c r="D428" s="8" t="s">
        <v>42</v>
      </c>
      <c r="E428" s="8" t="s">
        <v>38</v>
      </c>
      <c r="F428" s="31">
        <f>_xlfn.XLOOKUP(Table2[[#This Row],[Shoe style]],val[SHOE STYLE],val[UNIT PRICE])</f>
        <v>17614</v>
      </c>
      <c r="H428" s="11">
        <v>1</v>
      </c>
      <c r="I428" s="6">
        <f>IF(Table2[[#This Row],[Discount]]&lt;(Table2[[#This Row],[UNIT PRICE]]*Table2[[#This Row],[Quantity sold]]),Table2[[#This Row],[UNIT PRICE]]*Table2[[#This Row],[Quantity sold]]-Table2[[#This Row],[Discount]],0)</f>
        <v>17614</v>
      </c>
      <c r="K428" s="2">
        <f>_xlfn.XLOOKUP(Table2[[#This Row],[Shoe style]],val[SHOE STYLE],val[COST PRICE])</f>
        <v>14912</v>
      </c>
      <c r="L428" s="2">
        <f>(Table2[[#This Row],[COST PRICE]]*Table2[[#This Row],[Quantity sold]])</f>
        <v>14912</v>
      </c>
      <c r="M428" s="2">
        <f>Table2[[#This Row],[TOTAL SALES]]-Table2[[#This Row],[TOTAL COST PRICE]]</f>
        <v>2702</v>
      </c>
      <c r="N428" s="2">
        <f>IF(Table2[[#This Row],[Amount Paid]]&gt;0,(SUMIF(Table2[Order ID],Table2[[#This Row],[Order ID]],Table2[Amount Paid])-SUMIF(Table2[Order ID],Table2[[#This Row],[Order ID]],Table2[TOTAL SALES])),0)</f>
        <v>0</v>
      </c>
      <c r="O428" s="8">
        <v>41</v>
      </c>
      <c r="P428" s="8" t="s">
        <v>25</v>
      </c>
      <c r="Q428" s="8" t="s">
        <v>195</v>
      </c>
      <c r="R428" s="8" t="s">
        <v>44</v>
      </c>
      <c r="S428" s="8" t="s">
        <v>28</v>
      </c>
      <c r="T428" s="8">
        <f t="shared" si="6"/>
        <v>0</v>
      </c>
      <c r="U428" t="str" cm="1">
        <f t="array" ref="U428">_xlfn.IFNA(_xlfn.IFS(Table2[[#This Row],[DEFICIT /SURPLUS]]&lt;0,"Deficit",Table2[[#This Row],[DEFICIT /SURPLUS]]&gt;0,"surplus"),"-")</f>
        <v>-</v>
      </c>
    </row>
    <row r="429" spans="1:21" ht="14.5">
      <c r="A429" s="8" t="s">
        <v>320</v>
      </c>
      <c r="B429" s="9">
        <v>45646</v>
      </c>
      <c r="C429" s="8" t="s">
        <v>22</v>
      </c>
      <c r="D429" s="8" t="s">
        <v>42</v>
      </c>
      <c r="E429" s="8" t="s">
        <v>40</v>
      </c>
      <c r="F429" s="31">
        <f>_xlfn.XLOOKUP(Table2[[#This Row],[Shoe style]],val[SHOE STYLE],val[UNIT PRICE])</f>
        <v>17614</v>
      </c>
      <c r="H429" s="11">
        <v>1</v>
      </c>
      <c r="I429" s="6">
        <f>IF(Table2[[#This Row],[Discount]]&lt;(Table2[[#This Row],[UNIT PRICE]]*Table2[[#This Row],[Quantity sold]]),Table2[[#This Row],[UNIT PRICE]]*Table2[[#This Row],[Quantity sold]]-Table2[[#This Row],[Discount]],0)</f>
        <v>17614</v>
      </c>
      <c r="K429" s="2">
        <f>_xlfn.XLOOKUP(Table2[[#This Row],[Shoe style]],val[SHOE STYLE],val[COST PRICE])</f>
        <v>14912</v>
      </c>
      <c r="L429" s="2">
        <f>(Table2[[#This Row],[COST PRICE]]*Table2[[#This Row],[Quantity sold]])</f>
        <v>14912</v>
      </c>
      <c r="M429" s="2">
        <f>Table2[[#This Row],[TOTAL SALES]]-Table2[[#This Row],[TOTAL COST PRICE]]</f>
        <v>2702</v>
      </c>
      <c r="N429" s="2">
        <f>IF(Table2[[#This Row],[Amount Paid]]&gt;0,(SUMIF(Table2[Order ID],Table2[[#This Row],[Order ID]],Table2[Amount Paid])-SUMIF(Table2[Order ID],Table2[[#This Row],[Order ID]],Table2[TOTAL SALES])),0)</f>
        <v>0</v>
      </c>
      <c r="O429" s="8">
        <v>41</v>
      </c>
      <c r="P429" s="8" t="s">
        <v>25</v>
      </c>
      <c r="Q429" s="8" t="s">
        <v>195</v>
      </c>
      <c r="R429" s="8" t="s">
        <v>44</v>
      </c>
      <c r="S429" s="8" t="s">
        <v>28</v>
      </c>
      <c r="T429" s="8">
        <f t="shared" si="6"/>
        <v>0</v>
      </c>
      <c r="U429" t="str" cm="1">
        <f t="array" ref="U429">_xlfn.IFNA(_xlfn.IFS(Table2[[#This Row],[DEFICIT /SURPLUS]]&lt;0,"Deficit",Table2[[#This Row],[DEFICIT /SURPLUS]]&gt;0,"surplus"),"-")</f>
        <v>-</v>
      </c>
    </row>
    <row r="430" spans="1:21" ht="14.5">
      <c r="A430" s="8" t="s">
        <v>320</v>
      </c>
      <c r="B430" s="9">
        <v>45646</v>
      </c>
      <c r="C430" s="8" t="s">
        <v>22</v>
      </c>
      <c r="D430" s="8" t="s">
        <v>42</v>
      </c>
      <c r="E430" s="8" t="s">
        <v>24</v>
      </c>
      <c r="F430" s="31">
        <f>_xlfn.XLOOKUP(Table2[[#This Row],[Shoe style]],val[SHOE STYLE],val[UNIT PRICE])</f>
        <v>17614</v>
      </c>
      <c r="H430" s="11">
        <v>1</v>
      </c>
      <c r="I430" s="6">
        <f>IF(Table2[[#This Row],[Discount]]&lt;(Table2[[#This Row],[UNIT PRICE]]*Table2[[#This Row],[Quantity sold]]),Table2[[#This Row],[UNIT PRICE]]*Table2[[#This Row],[Quantity sold]]-Table2[[#This Row],[Discount]],0)</f>
        <v>17614</v>
      </c>
      <c r="K430" s="2">
        <f>_xlfn.XLOOKUP(Table2[[#This Row],[Shoe style]],val[SHOE STYLE],val[COST PRICE])</f>
        <v>14912</v>
      </c>
      <c r="L430" s="2">
        <f>(Table2[[#This Row],[COST PRICE]]*Table2[[#This Row],[Quantity sold]])</f>
        <v>14912</v>
      </c>
      <c r="M430" s="2">
        <f>Table2[[#This Row],[TOTAL SALES]]-Table2[[#This Row],[TOTAL COST PRICE]]</f>
        <v>2702</v>
      </c>
      <c r="N430" s="2">
        <f>IF(Table2[[#This Row],[Amount Paid]]&gt;0,(SUMIF(Table2[Order ID],Table2[[#This Row],[Order ID]],Table2[Amount Paid])-SUMIF(Table2[Order ID],Table2[[#This Row],[Order ID]],Table2[TOTAL SALES])),0)</f>
        <v>0</v>
      </c>
      <c r="O430" s="8">
        <v>41</v>
      </c>
      <c r="P430" s="8" t="s">
        <v>25</v>
      </c>
      <c r="Q430" s="8" t="s">
        <v>195</v>
      </c>
      <c r="R430" s="8" t="s">
        <v>44</v>
      </c>
      <c r="S430" s="8" t="s">
        <v>28</v>
      </c>
      <c r="T430" s="8">
        <f t="shared" si="6"/>
        <v>0</v>
      </c>
      <c r="U430" t="str" cm="1">
        <f t="array" ref="U430">_xlfn.IFNA(_xlfn.IFS(Table2[[#This Row],[DEFICIT /SURPLUS]]&lt;0,"Deficit",Table2[[#This Row],[DEFICIT /SURPLUS]]&gt;0,"surplus"),"-")</f>
        <v>-</v>
      </c>
    </row>
    <row r="431" spans="1:21" ht="14.5">
      <c r="A431" s="8" t="s">
        <v>321</v>
      </c>
      <c r="B431" s="9">
        <v>45647</v>
      </c>
      <c r="C431" s="8" t="s">
        <v>22</v>
      </c>
      <c r="D431" s="8" t="s">
        <v>68</v>
      </c>
      <c r="E431" s="8" t="s">
        <v>61</v>
      </c>
      <c r="F431" s="31">
        <f>_xlfn.XLOOKUP(Table2[[#This Row],[Shoe style]],val[SHOE STYLE],val[UNIT PRICE])</f>
        <v>10509</v>
      </c>
      <c r="H431" s="11">
        <v>1</v>
      </c>
      <c r="I431" s="6">
        <f>IF(Table2[[#This Row],[Discount]]&lt;(Table2[[#This Row],[UNIT PRICE]]*Table2[[#This Row],[Quantity sold]]),Table2[[#This Row],[UNIT PRICE]]*Table2[[#This Row],[Quantity sold]]-Table2[[#This Row],[Discount]],0)</f>
        <v>10509</v>
      </c>
      <c r="J431" s="10">
        <v>20962.5</v>
      </c>
      <c r="K431" s="2">
        <f>_xlfn.XLOOKUP(Table2[[#This Row],[Shoe style]],val[SHOE STYLE],val[COST PRICE])</f>
        <v>7573</v>
      </c>
      <c r="L431" s="2">
        <f>(Table2[[#This Row],[COST PRICE]]*Table2[[#This Row],[Quantity sold]])</f>
        <v>7573</v>
      </c>
      <c r="M431" s="2">
        <f>Table2[[#This Row],[TOTAL SALES]]-Table2[[#This Row],[TOTAL COST PRICE]]</f>
        <v>2936</v>
      </c>
      <c r="N431" s="2">
        <f>IF(Table2[[#This Row],[Amount Paid]]&gt;0,(SUMIF(Table2[Order ID],Table2[[#This Row],[Order ID]],Table2[Amount Paid])-SUMIF(Table2[Order ID],Table2[[#This Row],[Order ID]],Table2[TOTAL SALES])),0)</f>
        <v>10453.5</v>
      </c>
      <c r="O431" s="8">
        <v>39</v>
      </c>
      <c r="P431" s="8" t="s">
        <v>25</v>
      </c>
      <c r="Q431" s="8" t="s">
        <v>26</v>
      </c>
      <c r="R431" s="8" t="s">
        <v>44</v>
      </c>
      <c r="S431" s="8" t="s">
        <v>28</v>
      </c>
      <c r="T431" s="8">
        <f t="shared" si="6"/>
        <v>0</v>
      </c>
      <c r="U431" t="str" cm="1">
        <f t="array" ref="U431">_xlfn.IFNA(_xlfn.IFS(Table2[[#This Row],[DEFICIT /SURPLUS]]&lt;0,"Deficit",Table2[[#This Row],[DEFICIT /SURPLUS]]&gt;0,"surplus"),"-")</f>
        <v>surplus</v>
      </c>
    </row>
    <row r="432" spans="1:21" ht="14.5">
      <c r="A432" s="8" t="s">
        <v>322</v>
      </c>
      <c r="B432" s="9">
        <v>45649</v>
      </c>
      <c r="C432" s="8" t="s">
        <v>104</v>
      </c>
      <c r="D432" s="8" t="s">
        <v>49</v>
      </c>
      <c r="E432" s="8" t="s">
        <v>89</v>
      </c>
      <c r="F432" s="31">
        <f>_xlfn.XLOOKUP(Table2[[#This Row],[Shoe style]],val[SHOE STYLE],val[UNIT PRICE])</f>
        <v>20500</v>
      </c>
      <c r="H432" s="11">
        <v>1</v>
      </c>
      <c r="I432" s="6">
        <f>IF(Table2[[#This Row],[Discount]]&lt;(Table2[[#This Row],[UNIT PRICE]]*Table2[[#This Row],[Quantity sold]]),Table2[[#This Row],[UNIT PRICE]]*Table2[[#This Row],[Quantity sold]]-Table2[[#This Row],[Discount]],0)</f>
        <v>20500</v>
      </c>
      <c r="J432" s="10">
        <v>21000</v>
      </c>
      <c r="K432" s="2">
        <f>_xlfn.XLOOKUP(Table2[[#This Row],[Shoe style]],val[SHOE STYLE],val[COST PRICE])</f>
        <v>17339</v>
      </c>
      <c r="L432" s="2">
        <f>(Table2[[#This Row],[COST PRICE]]*Table2[[#This Row],[Quantity sold]])</f>
        <v>17339</v>
      </c>
      <c r="M432" s="2">
        <f>Table2[[#This Row],[TOTAL SALES]]-Table2[[#This Row],[TOTAL COST PRICE]]</f>
        <v>3161</v>
      </c>
      <c r="N432" s="2">
        <f>IF(Table2[[#This Row],[Amount Paid]]&gt;0,(SUMIF(Table2[Order ID],Table2[[#This Row],[Order ID]],Table2[Amount Paid])-SUMIF(Table2[Order ID],Table2[[#This Row],[Order ID]],Table2[TOTAL SALES])),0)</f>
        <v>-20000</v>
      </c>
      <c r="O432" s="8">
        <v>43</v>
      </c>
      <c r="P432" s="8" t="s">
        <v>25</v>
      </c>
      <c r="Q432" s="8" t="s">
        <v>26</v>
      </c>
      <c r="R432" s="8" t="s">
        <v>44</v>
      </c>
      <c r="S432" s="8" t="s">
        <v>28</v>
      </c>
      <c r="T432" s="8">
        <f t="shared" si="6"/>
        <v>0</v>
      </c>
      <c r="U432" t="str" cm="1">
        <f t="array" ref="U432">_xlfn.IFNA(_xlfn.IFS(Table2[[#This Row],[DEFICIT /SURPLUS]]&lt;0,"Deficit",Table2[[#This Row],[DEFICIT /SURPLUS]]&gt;0,"surplus"),"-")</f>
        <v>Deficit</v>
      </c>
    </row>
    <row r="433" spans="1:21" ht="14.5">
      <c r="A433" s="8" t="s">
        <v>322</v>
      </c>
      <c r="B433" s="9">
        <v>45649</v>
      </c>
      <c r="C433" s="8" t="s">
        <v>104</v>
      </c>
      <c r="D433" s="8" t="s">
        <v>49</v>
      </c>
      <c r="E433" s="8" t="s">
        <v>89</v>
      </c>
      <c r="F433" s="31">
        <f>_xlfn.XLOOKUP(Table2[[#This Row],[Shoe style]],val[SHOE STYLE],val[UNIT PRICE])</f>
        <v>20500</v>
      </c>
      <c r="H433" s="11">
        <v>1</v>
      </c>
      <c r="I433" s="6">
        <f>IF(Table2[[#This Row],[Discount]]&lt;(Table2[[#This Row],[UNIT PRICE]]*Table2[[#This Row],[Quantity sold]]),Table2[[#This Row],[UNIT PRICE]]*Table2[[#This Row],[Quantity sold]]-Table2[[#This Row],[Discount]],0)</f>
        <v>20500</v>
      </c>
      <c r="K433" s="2">
        <f>_xlfn.XLOOKUP(Table2[[#This Row],[Shoe style]],val[SHOE STYLE],val[COST PRICE])</f>
        <v>17339</v>
      </c>
      <c r="L433" s="2">
        <f>(Table2[[#This Row],[COST PRICE]]*Table2[[#This Row],[Quantity sold]])</f>
        <v>17339</v>
      </c>
      <c r="M433" s="2">
        <f>Table2[[#This Row],[TOTAL SALES]]-Table2[[#This Row],[TOTAL COST PRICE]]</f>
        <v>3161</v>
      </c>
      <c r="N433" s="2">
        <f>IF(Table2[[#This Row],[Amount Paid]]&gt;0,(SUMIF(Table2[Order ID],Table2[[#This Row],[Order ID]],Table2[Amount Paid])-SUMIF(Table2[Order ID],Table2[[#This Row],[Order ID]],Table2[TOTAL SALES])),0)</f>
        <v>0</v>
      </c>
      <c r="O433" s="8">
        <v>43</v>
      </c>
      <c r="P433" s="8" t="s">
        <v>25</v>
      </c>
      <c r="Q433" s="8" t="s">
        <v>26</v>
      </c>
      <c r="R433" s="8" t="s">
        <v>44</v>
      </c>
      <c r="S433" s="8" t="s">
        <v>28</v>
      </c>
      <c r="T433" s="8">
        <f t="shared" si="6"/>
        <v>0</v>
      </c>
      <c r="U433" t="str" cm="1">
        <f t="array" ref="U433">_xlfn.IFNA(_xlfn.IFS(Table2[[#This Row],[DEFICIT /SURPLUS]]&lt;0,"Deficit",Table2[[#This Row],[DEFICIT /SURPLUS]]&gt;0,"surplus"),"-")</f>
        <v>-</v>
      </c>
    </row>
    <row r="434" spans="1:21" ht="14.5">
      <c r="A434" s="8" t="s">
        <v>323</v>
      </c>
      <c r="B434" s="9">
        <v>45651</v>
      </c>
      <c r="C434" s="8" t="s">
        <v>22</v>
      </c>
      <c r="D434" s="8" t="s">
        <v>29</v>
      </c>
      <c r="E434" s="8" t="s">
        <v>24</v>
      </c>
      <c r="F434" s="31">
        <f>_xlfn.XLOOKUP(Table2[[#This Row],[Shoe style]],val[SHOE STYLE],val[UNIT PRICE])</f>
        <v>12395</v>
      </c>
      <c r="H434" s="11">
        <v>1</v>
      </c>
      <c r="I434" s="6">
        <f>IF(Table2[[#This Row],[Discount]]&lt;(Table2[[#This Row],[UNIT PRICE]]*Table2[[#This Row],[Quantity sold]]),Table2[[#This Row],[UNIT PRICE]]*Table2[[#This Row],[Quantity sold]]-Table2[[#This Row],[Discount]],0)</f>
        <v>12395</v>
      </c>
      <c r="J434" s="10">
        <v>19500</v>
      </c>
      <c r="K434" s="2">
        <f>_xlfn.XLOOKUP(Table2[[#This Row],[Shoe style]],val[SHOE STYLE],val[COST PRICE])</f>
        <v>7909</v>
      </c>
      <c r="L434" s="2">
        <f>(Table2[[#This Row],[COST PRICE]]*Table2[[#This Row],[Quantity sold]])</f>
        <v>7909</v>
      </c>
      <c r="M434" s="2">
        <f>Table2[[#This Row],[TOTAL SALES]]-Table2[[#This Row],[TOTAL COST PRICE]]</f>
        <v>4486</v>
      </c>
      <c r="N434" s="2">
        <f>IF(Table2[[#This Row],[Amount Paid]]&gt;0,(SUMIF(Table2[Order ID],Table2[[#This Row],[Order ID]],Table2[Amount Paid])-SUMIF(Table2[Order ID],Table2[[#This Row],[Order ID]],Table2[TOTAL SALES])),0)</f>
        <v>7105</v>
      </c>
      <c r="O434" s="8">
        <v>42</v>
      </c>
      <c r="P434" s="8" t="s">
        <v>25</v>
      </c>
      <c r="Q434" s="8" t="s">
        <v>26</v>
      </c>
      <c r="R434" s="8" t="s">
        <v>292</v>
      </c>
      <c r="S434" s="8" t="s">
        <v>28</v>
      </c>
      <c r="T434" s="8">
        <f t="shared" si="6"/>
        <v>0</v>
      </c>
      <c r="U434" t="str" cm="1">
        <f t="array" ref="U434">_xlfn.IFNA(_xlfn.IFS(Table2[[#This Row],[DEFICIT /SURPLUS]]&lt;0,"Deficit",Table2[[#This Row],[DEFICIT /SURPLUS]]&gt;0,"surplus"),"-")</f>
        <v>surplus</v>
      </c>
    </row>
    <row r="435" spans="1:21" ht="14.5">
      <c r="A435" s="8" t="s">
        <v>324</v>
      </c>
      <c r="B435" s="9">
        <v>45651</v>
      </c>
      <c r="C435" s="8" t="s">
        <v>22</v>
      </c>
      <c r="D435" s="8" t="s">
        <v>136</v>
      </c>
      <c r="E435" s="8" t="s">
        <v>109</v>
      </c>
      <c r="F435" s="31">
        <f>_xlfn.XLOOKUP(Table2[[#This Row],[Shoe style]],val[SHOE STYLE],val[UNIT PRICE])</f>
        <v>20502</v>
      </c>
      <c r="H435" s="11">
        <v>1</v>
      </c>
      <c r="I435" s="6">
        <f>IF(Table2[[#This Row],[Discount]]&lt;(Table2[[#This Row],[UNIT PRICE]]*Table2[[#This Row],[Quantity sold]]),Table2[[#This Row],[UNIT PRICE]]*Table2[[#This Row],[Quantity sold]]-Table2[[#This Row],[Discount]],0)</f>
        <v>20502</v>
      </c>
      <c r="J435" s="10">
        <v>22500</v>
      </c>
      <c r="K435" s="2">
        <f>_xlfn.XLOOKUP(Table2[[#This Row],[Shoe style]],val[SHOE STYLE],val[COST PRICE])</f>
        <v>18239</v>
      </c>
      <c r="L435" s="2">
        <f>(Table2[[#This Row],[COST PRICE]]*Table2[[#This Row],[Quantity sold]])</f>
        <v>18239</v>
      </c>
      <c r="M435" s="2">
        <f>Table2[[#This Row],[TOTAL SALES]]-Table2[[#This Row],[TOTAL COST PRICE]]</f>
        <v>2263</v>
      </c>
      <c r="N435" s="2">
        <f>IF(Table2[[#This Row],[Amount Paid]]&gt;0,(SUMIF(Table2[Order ID],Table2[[#This Row],[Order ID]],Table2[Amount Paid])-SUMIF(Table2[Order ID],Table2[[#This Row],[Order ID]],Table2[TOTAL SALES])),0)</f>
        <v>1998</v>
      </c>
      <c r="O435" s="8">
        <v>38</v>
      </c>
      <c r="P435" s="8" t="s">
        <v>25</v>
      </c>
      <c r="Q435" s="8" t="s">
        <v>26</v>
      </c>
      <c r="R435" s="8" t="s">
        <v>292</v>
      </c>
      <c r="S435" s="8" t="s">
        <v>28</v>
      </c>
      <c r="T435" s="8">
        <f t="shared" si="6"/>
        <v>0</v>
      </c>
      <c r="U435" t="str" cm="1">
        <f t="array" ref="U435">_xlfn.IFNA(_xlfn.IFS(Table2[[#This Row],[DEFICIT /SURPLUS]]&lt;0,"Deficit",Table2[[#This Row],[DEFICIT /SURPLUS]]&gt;0,"surplus"),"-")</f>
        <v>surplus</v>
      </c>
    </row>
    <row r="436" spans="1:21" ht="14.5">
      <c r="A436" s="8" t="s">
        <v>325</v>
      </c>
      <c r="B436" s="9">
        <v>45651</v>
      </c>
      <c r="C436" s="8" t="s">
        <v>22</v>
      </c>
      <c r="D436" s="8" t="s">
        <v>53</v>
      </c>
      <c r="E436" s="8" t="s">
        <v>30</v>
      </c>
      <c r="F436" s="31">
        <f>_xlfn.XLOOKUP(Table2[[#This Row],[Shoe style]],val[SHOE STYLE],val[UNIT PRICE])</f>
        <v>9838</v>
      </c>
      <c r="H436" s="11">
        <v>1</v>
      </c>
      <c r="I436" s="6">
        <f>IF(Table2[[#This Row],[Discount]]&lt;(Table2[[#This Row],[UNIT PRICE]]*Table2[[#This Row],[Quantity sold]]),Table2[[#This Row],[UNIT PRICE]]*Table2[[#This Row],[Quantity sold]]-Table2[[#This Row],[Discount]],0)</f>
        <v>9838</v>
      </c>
      <c r="J436" s="10">
        <v>81000</v>
      </c>
      <c r="K436" s="2">
        <f>_xlfn.XLOOKUP(Table2[[#This Row],[Shoe style]],val[SHOE STYLE],val[COST PRICE])</f>
        <v>6687</v>
      </c>
      <c r="L436" s="2">
        <f>(Table2[[#This Row],[COST PRICE]]*Table2[[#This Row],[Quantity sold]])</f>
        <v>6687</v>
      </c>
      <c r="M436" s="2">
        <f>Table2[[#This Row],[TOTAL SALES]]-Table2[[#This Row],[TOTAL COST PRICE]]</f>
        <v>3151</v>
      </c>
      <c r="N436" s="2">
        <f>IF(Table2[[#This Row],[Amount Paid]]&gt;0,(SUMIF(Table2[Order ID],Table2[[#This Row],[Order ID]],Table2[Amount Paid])-SUMIF(Table2[Order ID],Table2[[#This Row],[Order ID]],Table2[TOTAL SALES])),0)</f>
        <v>23644</v>
      </c>
      <c r="O436" s="8">
        <v>40</v>
      </c>
      <c r="P436" s="8" t="s">
        <v>25</v>
      </c>
      <c r="Q436" s="8" t="s">
        <v>26</v>
      </c>
      <c r="R436" s="8" t="s">
        <v>27</v>
      </c>
      <c r="S436" s="8" t="s">
        <v>28</v>
      </c>
      <c r="T436" s="8">
        <f t="shared" si="6"/>
        <v>0</v>
      </c>
      <c r="U436" t="str" cm="1">
        <f t="array" ref="U436">_xlfn.IFNA(_xlfn.IFS(Table2[[#This Row],[DEFICIT /SURPLUS]]&lt;0,"Deficit",Table2[[#This Row],[DEFICIT /SURPLUS]]&gt;0,"surplus"),"-")</f>
        <v>surplus</v>
      </c>
    </row>
    <row r="437" spans="1:21" ht="14.5">
      <c r="A437" s="8" t="s">
        <v>325</v>
      </c>
      <c r="B437" s="9">
        <v>45651</v>
      </c>
      <c r="C437" s="8" t="s">
        <v>22</v>
      </c>
      <c r="D437" s="8" t="s">
        <v>37</v>
      </c>
      <c r="E437" s="8" t="s">
        <v>109</v>
      </c>
      <c r="F437" s="31">
        <f>_xlfn.XLOOKUP(Table2[[#This Row],[Shoe style]],val[SHOE STYLE],val[UNIT PRICE])</f>
        <v>22728</v>
      </c>
      <c r="H437" s="11">
        <v>1</v>
      </c>
      <c r="I437" s="6">
        <f>IF(Table2[[#This Row],[Discount]]&lt;(Table2[[#This Row],[UNIT PRICE]]*Table2[[#This Row],[Quantity sold]]),Table2[[#This Row],[UNIT PRICE]]*Table2[[#This Row],[Quantity sold]]-Table2[[#This Row],[Discount]],0)</f>
        <v>22728</v>
      </c>
      <c r="K437" s="2">
        <f>_xlfn.XLOOKUP(Table2[[#This Row],[Shoe style]],val[SHOE STYLE],val[COST PRICE])</f>
        <v>20451</v>
      </c>
      <c r="L437" s="2">
        <f>(Table2[[#This Row],[COST PRICE]]*Table2[[#This Row],[Quantity sold]])</f>
        <v>20451</v>
      </c>
      <c r="M437" s="2">
        <f>Table2[[#This Row],[TOTAL SALES]]-Table2[[#This Row],[TOTAL COST PRICE]]</f>
        <v>2277</v>
      </c>
      <c r="N437" s="2">
        <f>IF(Table2[[#This Row],[Amount Paid]]&gt;0,(SUMIF(Table2[Order ID],Table2[[#This Row],[Order ID]],Table2[Amount Paid])-SUMIF(Table2[Order ID],Table2[[#This Row],[Order ID]],Table2[TOTAL SALES])),0)</f>
        <v>0</v>
      </c>
      <c r="O437" s="8">
        <v>40</v>
      </c>
      <c r="P437" s="8" t="s">
        <v>25</v>
      </c>
      <c r="Q437" s="8" t="s">
        <v>26</v>
      </c>
      <c r="R437" s="8" t="s">
        <v>27</v>
      </c>
      <c r="S437" s="8" t="s">
        <v>28</v>
      </c>
      <c r="T437" s="8">
        <f t="shared" si="6"/>
        <v>0</v>
      </c>
      <c r="U437" t="str" cm="1">
        <f t="array" ref="U437">_xlfn.IFNA(_xlfn.IFS(Table2[[#This Row],[DEFICIT /SURPLUS]]&lt;0,"Deficit",Table2[[#This Row],[DEFICIT /SURPLUS]]&gt;0,"surplus"),"-")</f>
        <v>-</v>
      </c>
    </row>
    <row r="438" spans="1:21" ht="14.5">
      <c r="A438" s="8" t="s">
        <v>325</v>
      </c>
      <c r="B438" s="9">
        <v>45651</v>
      </c>
      <c r="C438" s="8" t="s">
        <v>22</v>
      </c>
      <c r="D438" s="8" t="s">
        <v>29</v>
      </c>
      <c r="E438" s="8" t="s">
        <v>109</v>
      </c>
      <c r="F438" s="31">
        <f>_xlfn.XLOOKUP(Table2[[#This Row],[Shoe style]],val[SHOE STYLE],val[UNIT PRICE])</f>
        <v>12395</v>
      </c>
      <c r="H438" s="11">
        <v>1</v>
      </c>
      <c r="I438" s="6">
        <f>IF(Table2[[#This Row],[Discount]]&lt;(Table2[[#This Row],[UNIT PRICE]]*Table2[[#This Row],[Quantity sold]]),Table2[[#This Row],[UNIT PRICE]]*Table2[[#This Row],[Quantity sold]]-Table2[[#This Row],[Discount]],0)</f>
        <v>12395</v>
      </c>
      <c r="K438" s="2">
        <f>_xlfn.XLOOKUP(Table2[[#This Row],[Shoe style]],val[SHOE STYLE],val[COST PRICE])</f>
        <v>7909</v>
      </c>
      <c r="L438" s="2">
        <f>(Table2[[#This Row],[COST PRICE]]*Table2[[#This Row],[Quantity sold]])</f>
        <v>7909</v>
      </c>
      <c r="M438" s="2">
        <f>Table2[[#This Row],[TOTAL SALES]]-Table2[[#This Row],[TOTAL COST PRICE]]</f>
        <v>4486</v>
      </c>
      <c r="N438" s="2">
        <f>IF(Table2[[#This Row],[Amount Paid]]&gt;0,(SUMIF(Table2[Order ID],Table2[[#This Row],[Order ID]],Table2[Amount Paid])-SUMIF(Table2[Order ID],Table2[[#This Row],[Order ID]],Table2[TOTAL SALES])),0)</f>
        <v>0</v>
      </c>
      <c r="O438" s="8">
        <v>38</v>
      </c>
      <c r="P438" s="8" t="s">
        <v>25</v>
      </c>
      <c r="Q438" s="8" t="s">
        <v>26</v>
      </c>
      <c r="R438" s="8" t="s">
        <v>27</v>
      </c>
      <c r="S438" s="8" t="s">
        <v>28</v>
      </c>
      <c r="T438" s="8">
        <f t="shared" si="6"/>
        <v>0</v>
      </c>
      <c r="U438" t="str" cm="1">
        <f t="array" ref="U438">_xlfn.IFNA(_xlfn.IFS(Table2[[#This Row],[DEFICIT /SURPLUS]]&lt;0,"Deficit",Table2[[#This Row],[DEFICIT /SURPLUS]]&gt;0,"surplus"),"-")</f>
        <v>-</v>
      </c>
    </row>
    <row r="439" spans="1:21" ht="14.5">
      <c r="A439" s="8" t="s">
        <v>325</v>
      </c>
      <c r="B439" s="9">
        <v>45651</v>
      </c>
      <c r="C439" s="8" t="s">
        <v>22</v>
      </c>
      <c r="D439" s="8" t="s">
        <v>29</v>
      </c>
      <c r="E439" s="8" t="s">
        <v>109</v>
      </c>
      <c r="F439" s="31">
        <f>_xlfn.XLOOKUP(Table2[[#This Row],[Shoe style]],val[SHOE STYLE],val[UNIT PRICE])</f>
        <v>12395</v>
      </c>
      <c r="H439" s="11">
        <v>1</v>
      </c>
      <c r="I439" s="6">
        <f>IF(Table2[[#This Row],[Discount]]&lt;(Table2[[#This Row],[UNIT PRICE]]*Table2[[#This Row],[Quantity sold]]),Table2[[#This Row],[UNIT PRICE]]*Table2[[#This Row],[Quantity sold]]-Table2[[#This Row],[Discount]],0)</f>
        <v>12395</v>
      </c>
      <c r="K439" s="2">
        <f>_xlfn.XLOOKUP(Table2[[#This Row],[Shoe style]],val[SHOE STYLE],val[COST PRICE])</f>
        <v>7909</v>
      </c>
      <c r="L439" s="2">
        <f>(Table2[[#This Row],[COST PRICE]]*Table2[[#This Row],[Quantity sold]])</f>
        <v>7909</v>
      </c>
      <c r="M439" s="2">
        <f>Table2[[#This Row],[TOTAL SALES]]-Table2[[#This Row],[TOTAL COST PRICE]]</f>
        <v>4486</v>
      </c>
      <c r="N439" s="2">
        <f>IF(Table2[[#This Row],[Amount Paid]]&gt;0,(SUMIF(Table2[Order ID],Table2[[#This Row],[Order ID]],Table2[Amount Paid])-SUMIF(Table2[Order ID],Table2[[#This Row],[Order ID]],Table2[TOTAL SALES])),0)</f>
        <v>0</v>
      </c>
      <c r="O439" s="8">
        <v>38</v>
      </c>
      <c r="P439" s="8" t="s">
        <v>25</v>
      </c>
      <c r="Q439" s="8" t="s">
        <v>26</v>
      </c>
      <c r="R439" s="8" t="s">
        <v>27</v>
      </c>
      <c r="S439" s="8" t="s">
        <v>28</v>
      </c>
      <c r="T439" s="8">
        <f t="shared" si="6"/>
        <v>0</v>
      </c>
      <c r="U439" t="str" cm="1">
        <f t="array" ref="U439">_xlfn.IFNA(_xlfn.IFS(Table2[[#This Row],[DEFICIT /SURPLUS]]&lt;0,"Deficit",Table2[[#This Row],[DEFICIT /SURPLUS]]&gt;0,"surplus"),"-")</f>
        <v>-</v>
      </c>
    </row>
    <row r="440" spans="1:21" ht="14.5">
      <c r="A440" s="8" t="s">
        <v>326</v>
      </c>
      <c r="B440" s="9">
        <v>45653</v>
      </c>
      <c r="C440" s="8" t="s">
        <v>98</v>
      </c>
      <c r="D440" s="8" t="s">
        <v>29</v>
      </c>
      <c r="E440" s="8" t="s">
        <v>50</v>
      </c>
      <c r="F440" s="31">
        <f>_xlfn.XLOOKUP(Table2[[#This Row],[Shoe style]],val[SHOE STYLE],val[UNIT PRICE])</f>
        <v>12395</v>
      </c>
      <c r="H440" s="11">
        <v>1</v>
      </c>
      <c r="I440" s="6">
        <f>IF(Table2[[#This Row],[Discount]]&lt;(Table2[[#This Row],[UNIT PRICE]]*Table2[[#This Row],[Quantity sold]]),Table2[[#This Row],[UNIT PRICE]]*Table2[[#This Row],[Quantity sold]]-Table2[[#This Row],[Discount]],0)</f>
        <v>12395</v>
      </c>
      <c r="J440" s="10">
        <v>25762</v>
      </c>
      <c r="K440" s="2">
        <f>_xlfn.XLOOKUP(Table2[[#This Row],[Shoe style]],val[SHOE STYLE],val[COST PRICE])</f>
        <v>7909</v>
      </c>
      <c r="L440" s="2">
        <f>(Table2[[#This Row],[COST PRICE]]*Table2[[#This Row],[Quantity sold]])</f>
        <v>7909</v>
      </c>
      <c r="M440" s="2">
        <f>Table2[[#This Row],[TOTAL SALES]]-Table2[[#This Row],[TOTAL COST PRICE]]</f>
        <v>4486</v>
      </c>
      <c r="N440" s="2">
        <f>IF(Table2[[#This Row],[Amount Paid]]&gt;0,(SUMIF(Table2[Order ID],Table2[[#This Row],[Order ID]],Table2[Amount Paid])-SUMIF(Table2[Order ID],Table2[[#This Row],[Order ID]],Table2[TOTAL SALES])),0)</f>
        <v>13367</v>
      </c>
      <c r="O440" s="8">
        <v>42</v>
      </c>
      <c r="P440" s="8" t="s">
        <v>25</v>
      </c>
      <c r="Q440" s="8" t="s">
        <v>54</v>
      </c>
      <c r="R440" s="8" t="s">
        <v>292</v>
      </c>
      <c r="S440" s="8" t="s">
        <v>28</v>
      </c>
      <c r="T440" s="8">
        <f t="shared" si="6"/>
        <v>0</v>
      </c>
      <c r="U440" t="str" cm="1">
        <f t="array" ref="U440">_xlfn.IFNA(_xlfn.IFS(Table2[[#This Row],[DEFICIT /SURPLUS]]&lt;0,"Deficit",Table2[[#This Row],[DEFICIT /SURPLUS]]&gt;0,"surplus"),"-")</f>
        <v>surplus</v>
      </c>
    </row>
    <row r="441" spans="1:21" ht="14.5">
      <c r="A441" s="8" t="s">
        <v>327</v>
      </c>
      <c r="B441" s="9">
        <v>45654</v>
      </c>
      <c r="C441" s="8" t="s">
        <v>22</v>
      </c>
      <c r="D441" s="8" t="s">
        <v>42</v>
      </c>
      <c r="E441" s="8" t="s">
        <v>38</v>
      </c>
      <c r="F441" s="31">
        <f>_xlfn.XLOOKUP(Table2[[#This Row],[Shoe style]],val[SHOE STYLE],val[UNIT PRICE])</f>
        <v>17614</v>
      </c>
      <c r="H441" s="11">
        <v>1</v>
      </c>
      <c r="I441" s="6">
        <f>IF(Table2[[#This Row],[Discount]]&lt;(Table2[[#This Row],[UNIT PRICE]]*Table2[[#This Row],[Quantity sold]]),Table2[[#This Row],[UNIT PRICE]]*Table2[[#This Row],[Quantity sold]]-Table2[[#This Row],[Discount]],0)</f>
        <v>17614</v>
      </c>
      <c r="J441" s="10">
        <v>24500</v>
      </c>
      <c r="K441" s="2">
        <f>_xlfn.XLOOKUP(Table2[[#This Row],[Shoe style]],val[SHOE STYLE],val[COST PRICE])</f>
        <v>14912</v>
      </c>
      <c r="L441" s="2">
        <f>(Table2[[#This Row],[COST PRICE]]*Table2[[#This Row],[Quantity sold]])</f>
        <v>14912</v>
      </c>
      <c r="M441" s="2">
        <f>Table2[[#This Row],[TOTAL SALES]]-Table2[[#This Row],[TOTAL COST PRICE]]</f>
        <v>2702</v>
      </c>
      <c r="N441" s="2">
        <f>IF(Table2[[#This Row],[Amount Paid]]&gt;0,(SUMIF(Table2[Order ID],Table2[[#This Row],[Order ID]],Table2[Amount Paid])-SUMIF(Table2[Order ID],Table2[[#This Row],[Order ID]],Table2[TOTAL SALES])),0)</f>
        <v>6886</v>
      </c>
      <c r="O441" s="8">
        <v>39</v>
      </c>
      <c r="P441" s="8" t="s">
        <v>25</v>
      </c>
      <c r="Q441" s="8" t="s">
        <v>54</v>
      </c>
      <c r="R441" s="8" t="s">
        <v>27</v>
      </c>
      <c r="S441" s="8" t="s">
        <v>28</v>
      </c>
      <c r="T441" s="8">
        <f t="shared" ref="T441:T503" si="7">IF(S441="NO",1,0)</f>
        <v>0</v>
      </c>
      <c r="U441" t="str" cm="1">
        <f t="array" ref="U441">_xlfn.IFNA(_xlfn.IFS(Table2[[#This Row],[DEFICIT /SURPLUS]]&lt;0,"Deficit",Table2[[#This Row],[DEFICIT /SURPLUS]]&gt;0,"surplus"),"-")</f>
        <v>surplus</v>
      </c>
    </row>
    <row r="442" spans="1:21" ht="14.5">
      <c r="A442" s="8" t="s">
        <v>328</v>
      </c>
      <c r="B442" s="9">
        <v>45655</v>
      </c>
      <c r="C442" s="8" t="s">
        <v>22</v>
      </c>
      <c r="D442" s="8" t="s">
        <v>329</v>
      </c>
      <c r="E442" s="8" t="s">
        <v>24</v>
      </c>
      <c r="F442" s="31">
        <f>_xlfn.XLOOKUP(Table2[[#This Row],[Shoe style]],val[SHOE STYLE],val[UNIT PRICE])</f>
        <v>15680</v>
      </c>
      <c r="H442" s="11">
        <v>1</v>
      </c>
      <c r="I442" s="6">
        <f>IF(Table2[[#This Row],[Discount]]&lt;(Table2[[#This Row],[UNIT PRICE]]*Table2[[#This Row],[Quantity sold]]),Table2[[#This Row],[UNIT PRICE]]*Table2[[#This Row],[Quantity sold]]-Table2[[#This Row],[Discount]],0)</f>
        <v>15680</v>
      </c>
      <c r="K442" s="2">
        <f>_xlfn.XLOOKUP(Table2[[#This Row],[Shoe style]],val[SHOE STYLE],val[COST PRICE])</f>
        <v>12049</v>
      </c>
      <c r="L442" s="2">
        <f>(Table2[[#This Row],[COST PRICE]]*Table2[[#This Row],[Quantity sold]])</f>
        <v>12049</v>
      </c>
      <c r="M442" s="2">
        <f>Table2[[#This Row],[TOTAL SALES]]-Table2[[#This Row],[TOTAL COST PRICE]]</f>
        <v>3631</v>
      </c>
      <c r="N442" s="2">
        <f>IF(Table2[[#This Row],[Amount Paid]]&gt;0,(SUMIF(Table2[Order ID],Table2[[#This Row],[Order ID]],Table2[Amount Paid])-SUMIF(Table2[Order ID],Table2[[#This Row],[Order ID]],Table2[TOTAL SALES])),0)</f>
        <v>0</v>
      </c>
      <c r="O442" s="8">
        <v>38</v>
      </c>
      <c r="P442" s="8" t="s">
        <v>25</v>
      </c>
      <c r="Q442" s="8" t="s">
        <v>26</v>
      </c>
      <c r="R442" s="8" t="s">
        <v>27</v>
      </c>
      <c r="S442" s="8" t="s">
        <v>28</v>
      </c>
      <c r="T442" s="8">
        <f t="shared" si="7"/>
        <v>0</v>
      </c>
      <c r="U442" t="str" cm="1">
        <f t="array" ref="U442">_xlfn.IFNA(_xlfn.IFS(Table2[[#This Row],[DEFICIT /SURPLUS]]&lt;0,"Deficit",Table2[[#This Row],[DEFICIT /SURPLUS]]&gt;0,"surplus"),"-")</f>
        <v>-</v>
      </c>
    </row>
    <row r="443" spans="1:21" ht="14.5">
      <c r="A443" s="8" t="s">
        <v>328</v>
      </c>
      <c r="B443" s="9">
        <v>45655</v>
      </c>
      <c r="C443" s="8" t="s">
        <v>22</v>
      </c>
      <c r="D443" s="8" t="s">
        <v>209</v>
      </c>
      <c r="E443" s="8" t="s">
        <v>109</v>
      </c>
      <c r="F443" s="31">
        <f>_xlfn.XLOOKUP(Table2[[#This Row],[Shoe style]],val[SHOE STYLE],val[UNIT PRICE])</f>
        <v>21405</v>
      </c>
      <c r="H443" s="11">
        <v>1</v>
      </c>
      <c r="I443" s="6">
        <f>IF(Table2[[#This Row],[Discount]]&lt;(Table2[[#This Row],[UNIT PRICE]]*Table2[[#This Row],[Quantity sold]]),Table2[[#This Row],[UNIT PRICE]]*Table2[[#This Row],[Quantity sold]]-Table2[[#This Row],[Discount]],0)</f>
        <v>21405</v>
      </c>
      <c r="K443" s="2">
        <f>_xlfn.XLOOKUP(Table2[[#This Row],[Shoe style]],val[SHOE STYLE],val[COST PRICE])</f>
        <v>17426</v>
      </c>
      <c r="L443" s="2">
        <f>(Table2[[#This Row],[COST PRICE]]*Table2[[#This Row],[Quantity sold]])</f>
        <v>17426</v>
      </c>
      <c r="M443" s="2">
        <f>Table2[[#This Row],[TOTAL SALES]]-Table2[[#This Row],[TOTAL COST PRICE]]</f>
        <v>3979</v>
      </c>
      <c r="N443" s="2">
        <f>IF(Table2[[#This Row],[Amount Paid]]&gt;0,(SUMIF(Table2[Order ID],Table2[[#This Row],[Order ID]],Table2[Amount Paid])-SUMIF(Table2[Order ID],Table2[[#This Row],[Order ID]],Table2[TOTAL SALES])),0)</f>
        <v>0</v>
      </c>
      <c r="O443" s="8">
        <v>39</v>
      </c>
      <c r="P443" s="8" t="s">
        <v>25</v>
      </c>
      <c r="Q443" s="8" t="s">
        <v>26</v>
      </c>
      <c r="R443" s="8" t="s">
        <v>27</v>
      </c>
      <c r="S443" s="8" t="s">
        <v>28</v>
      </c>
      <c r="T443" s="8">
        <f t="shared" si="7"/>
        <v>0</v>
      </c>
      <c r="U443" t="str" cm="1">
        <f t="array" ref="U443">_xlfn.IFNA(_xlfn.IFS(Table2[[#This Row],[DEFICIT /SURPLUS]]&lt;0,"Deficit",Table2[[#This Row],[DEFICIT /SURPLUS]]&gt;0,"surplus"),"-")</f>
        <v>-</v>
      </c>
    </row>
    <row r="444" spans="1:21" ht="14.5">
      <c r="A444" s="8" t="s">
        <v>330</v>
      </c>
      <c r="B444" s="9">
        <v>45655</v>
      </c>
      <c r="C444" s="8" t="s">
        <v>22</v>
      </c>
      <c r="D444" s="8" t="s">
        <v>49</v>
      </c>
      <c r="E444" s="8" t="s">
        <v>50</v>
      </c>
      <c r="F444" s="31">
        <f>_xlfn.XLOOKUP(Table2[[#This Row],[Shoe style]],val[SHOE STYLE],val[UNIT PRICE])</f>
        <v>20500</v>
      </c>
      <c r="H444" s="11">
        <v>1</v>
      </c>
      <c r="I444" s="6">
        <f>IF(Table2[[#This Row],[Discount]]&lt;(Table2[[#This Row],[UNIT PRICE]]*Table2[[#This Row],[Quantity sold]]),Table2[[#This Row],[UNIT PRICE]]*Table2[[#This Row],[Quantity sold]]-Table2[[#This Row],[Discount]],0)</f>
        <v>20500</v>
      </c>
      <c r="J444" s="10">
        <v>25000</v>
      </c>
      <c r="K444" s="2">
        <f>_xlfn.XLOOKUP(Table2[[#This Row],[Shoe style]],val[SHOE STYLE],val[COST PRICE])</f>
        <v>17339</v>
      </c>
      <c r="L444" s="2">
        <f>(Table2[[#This Row],[COST PRICE]]*Table2[[#This Row],[Quantity sold]])</f>
        <v>17339</v>
      </c>
      <c r="M444" s="2">
        <f>Table2[[#This Row],[TOTAL SALES]]-Table2[[#This Row],[TOTAL COST PRICE]]</f>
        <v>3161</v>
      </c>
      <c r="N444" s="2">
        <f>IF(Table2[[#This Row],[Amount Paid]]&gt;0,(SUMIF(Table2[Order ID],Table2[[#This Row],[Order ID]],Table2[Amount Paid])-SUMIF(Table2[Order ID],Table2[[#This Row],[Order ID]],Table2[TOTAL SALES])),0)</f>
        <v>4500</v>
      </c>
      <c r="O444" s="8">
        <v>43</v>
      </c>
      <c r="P444" s="8" t="s">
        <v>25</v>
      </c>
      <c r="Q444" s="8" t="s">
        <v>54</v>
      </c>
      <c r="R444" s="8" t="s">
        <v>292</v>
      </c>
      <c r="S444" s="8" t="s">
        <v>28</v>
      </c>
      <c r="T444" s="8">
        <f t="shared" si="7"/>
        <v>0</v>
      </c>
      <c r="U444" t="str" cm="1">
        <f t="array" ref="U444">_xlfn.IFNA(_xlfn.IFS(Table2[[#This Row],[DEFICIT /SURPLUS]]&lt;0,"Deficit",Table2[[#This Row],[DEFICIT /SURPLUS]]&gt;0,"surplus"),"-")</f>
        <v>surplus</v>
      </c>
    </row>
    <row r="445" spans="1:21" ht="14.5">
      <c r="A445" s="8" t="s">
        <v>331</v>
      </c>
      <c r="B445" s="9">
        <v>45656</v>
      </c>
      <c r="C445" s="8" t="s">
        <v>22</v>
      </c>
      <c r="D445" s="8" t="s">
        <v>29</v>
      </c>
      <c r="E445" s="8" t="s">
        <v>261</v>
      </c>
      <c r="F445" s="31">
        <f>_xlfn.XLOOKUP(Table2[[#This Row],[Shoe style]],val[SHOE STYLE],val[UNIT PRICE])</f>
        <v>12395</v>
      </c>
      <c r="H445" s="11">
        <v>1</v>
      </c>
      <c r="I445" s="6">
        <f>IF(Table2[[#This Row],[Discount]]&lt;(Table2[[#This Row],[UNIT PRICE]]*Table2[[#This Row],[Quantity sold]]),Table2[[#This Row],[UNIT PRICE]]*Table2[[#This Row],[Quantity sold]]-Table2[[#This Row],[Discount]],0)</f>
        <v>12395</v>
      </c>
      <c r="J445" s="10">
        <v>18000</v>
      </c>
      <c r="K445" s="2">
        <f>_xlfn.XLOOKUP(Table2[[#This Row],[Shoe style]],val[SHOE STYLE],val[COST PRICE])</f>
        <v>7909</v>
      </c>
      <c r="L445" s="2">
        <f>(Table2[[#This Row],[COST PRICE]]*Table2[[#This Row],[Quantity sold]])</f>
        <v>7909</v>
      </c>
      <c r="M445" s="2">
        <f>Table2[[#This Row],[TOTAL SALES]]-Table2[[#This Row],[TOTAL COST PRICE]]</f>
        <v>4486</v>
      </c>
      <c r="N445" s="2">
        <f>IF(Table2[[#This Row],[Amount Paid]]&gt;0,(SUMIF(Table2[Order ID],Table2[[#This Row],[Order ID]],Table2[Amount Paid])-SUMIF(Table2[Order ID],Table2[[#This Row],[Order ID]],Table2[TOTAL SALES])),0)</f>
        <v>5605</v>
      </c>
      <c r="O445" s="8">
        <v>40</v>
      </c>
      <c r="P445" s="8" t="s">
        <v>25</v>
      </c>
      <c r="Q445" s="8" t="s">
        <v>26</v>
      </c>
      <c r="R445" s="8" t="s">
        <v>292</v>
      </c>
      <c r="S445" s="8" t="s">
        <v>28</v>
      </c>
      <c r="T445" s="8">
        <f t="shared" si="7"/>
        <v>0</v>
      </c>
      <c r="U445" t="str" cm="1">
        <f t="array" ref="U445">_xlfn.IFNA(_xlfn.IFS(Table2[[#This Row],[DEFICIT /SURPLUS]]&lt;0,"Deficit",Table2[[#This Row],[DEFICIT /SURPLUS]]&gt;0,"surplus"),"-")</f>
        <v>surplus</v>
      </c>
    </row>
    <row r="446" spans="1:21" ht="14.5">
      <c r="A446" s="8" t="s">
        <v>332</v>
      </c>
      <c r="B446" s="9">
        <v>45656</v>
      </c>
      <c r="C446" s="8" t="s">
        <v>22</v>
      </c>
      <c r="D446" s="8" t="s">
        <v>68</v>
      </c>
      <c r="E446" s="8" t="s">
        <v>63</v>
      </c>
      <c r="F446" s="31">
        <f>_xlfn.XLOOKUP(Table2[[#This Row],[Shoe style]],val[SHOE STYLE],val[UNIT PRICE])</f>
        <v>10509</v>
      </c>
      <c r="H446" s="11">
        <v>1</v>
      </c>
      <c r="I446" s="6">
        <f>IF(Table2[[#This Row],[Discount]]&lt;(Table2[[#This Row],[UNIT PRICE]]*Table2[[#This Row],[Quantity sold]]),Table2[[#This Row],[UNIT PRICE]]*Table2[[#This Row],[Quantity sold]]-Table2[[#This Row],[Discount]],0)</f>
        <v>10509</v>
      </c>
      <c r="J446" s="10">
        <v>23000</v>
      </c>
      <c r="K446" s="2">
        <f>_xlfn.XLOOKUP(Table2[[#This Row],[Shoe style]],val[SHOE STYLE],val[COST PRICE])</f>
        <v>7573</v>
      </c>
      <c r="L446" s="2">
        <f>(Table2[[#This Row],[COST PRICE]]*Table2[[#This Row],[Quantity sold]])</f>
        <v>7573</v>
      </c>
      <c r="M446" s="2">
        <f>Table2[[#This Row],[TOTAL SALES]]-Table2[[#This Row],[TOTAL COST PRICE]]</f>
        <v>2936</v>
      </c>
      <c r="N446" s="2">
        <f>IF(Table2[[#This Row],[Amount Paid]]&gt;0,(SUMIF(Table2[Order ID],Table2[[#This Row],[Order ID]],Table2[Amount Paid])-SUMIF(Table2[Order ID],Table2[[#This Row],[Order ID]],Table2[TOTAL SALES])),0)</f>
        <v>12491</v>
      </c>
      <c r="O446" s="8">
        <v>39</v>
      </c>
      <c r="P446" s="8" t="s">
        <v>25</v>
      </c>
      <c r="Q446" s="8" t="s">
        <v>54</v>
      </c>
      <c r="R446" s="8" t="s">
        <v>44</v>
      </c>
      <c r="S446" s="8" t="s">
        <v>28</v>
      </c>
      <c r="T446" s="8">
        <f t="shared" si="7"/>
        <v>0</v>
      </c>
      <c r="U446" t="str" cm="1">
        <f t="array" ref="U446">_xlfn.IFNA(_xlfn.IFS(Table2[[#This Row],[DEFICIT /SURPLUS]]&lt;0,"Deficit",Table2[[#This Row],[DEFICIT /SURPLUS]]&gt;0,"surplus"),"-")</f>
        <v>surplus</v>
      </c>
    </row>
    <row r="447" spans="1:21" ht="14.5">
      <c r="A447" s="8" t="s">
        <v>333</v>
      </c>
      <c r="B447" s="9">
        <v>45656</v>
      </c>
      <c r="C447" s="8" t="s">
        <v>22</v>
      </c>
      <c r="D447" s="8" t="s">
        <v>49</v>
      </c>
      <c r="E447" s="8" t="s">
        <v>24</v>
      </c>
      <c r="F447" s="31">
        <f>_xlfn.XLOOKUP(Table2[[#This Row],[Shoe style]],val[SHOE STYLE],val[UNIT PRICE])</f>
        <v>20500</v>
      </c>
      <c r="H447" s="11">
        <v>1</v>
      </c>
      <c r="I447" s="6">
        <f>IF(Table2[[#This Row],[Discount]]&lt;(Table2[[#This Row],[UNIT PRICE]]*Table2[[#This Row],[Quantity sold]]),Table2[[#This Row],[UNIT PRICE]]*Table2[[#This Row],[Quantity sold]]-Table2[[#This Row],[Discount]],0)</f>
        <v>20500</v>
      </c>
      <c r="J447" s="10">
        <v>46000</v>
      </c>
      <c r="K447" s="2">
        <f>_xlfn.XLOOKUP(Table2[[#This Row],[Shoe style]],val[SHOE STYLE],val[COST PRICE])</f>
        <v>17339</v>
      </c>
      <c r="L447" s="2">
        <f>(Table2[[#This Row],[COST PRICE]]*Table2[[#This Row],[Quantity sold]])</f>
        <v>17339</v>
      </c>
      <c r="M447" s="2">
        <f>Table2[[#This Row],[TOTAL SALES]]-Table2[[#This Row],[TOTAL COST PRICE]]</f>
        <v>3161</v>
      </c>
      <c r="N447" s="2">
        <f>IF(Table2[[#This Row],[Amount Paid]]&gt;0,(SUMIF(Table2[Order ID],Table2[[#This Row],[Order ID]],Table2[Amount Paid])-SUMIF(Table2[Order ID],Table2[[#This Row],[Order ID]],Table2[TOTAL SALES])),0)</f>
        <v>25500</v>
      </c>
      <c r="O447" s="8">
        <v>40</v>
      </c>
      <c r="P447" s="8" t="s">
        <v>25</v>
      </c>
      <c r="Q447" s="8" t="s">
        <v>26</v>
      </c>
      <c r="R447" s="8" t="s">
        <v>292</v>
      </c>
      <c r="S447" s="8" t="s">
        <v>28</v>
      </c>
      <c r="T447" s="8">
        <f t="shared" si="7"/>
        <v>0</v>
      </c>
      <c r="U447" t="str" cm="1">
        <f t="array" ref="U447">_xlfn.IFNA(_xlfn.IFS(Table2[[#This Row],[DEFICIT /SURPLUS]]&lt;0,"Deficit",Table2[[#This Row],[DEFICIT /SURPLUS]]&gt;0,"surplus"),"-")</f>
        <v>surplus</v>
      </c>
    </row>
    <row r="448" spans="1:21" ht="14.5">
      <c r="A448" s="8" t="s">
        <v>334</v>
      </c>
      <c r="B448" s="9">
        <v>45656</v>
      </c>
      <c r="C448" s="8" t="s">
        <v>22</v>
      </c>
      <c r="D448" s="8" t="s">
        <v>53</v>
      </c>
      <c r="E448" s="8" t="s">
        <v>62</v>
      </c>
      <c r="F448" s="31">
        <f>_xlfn.XLOOKUP(Table2[[#This Row],[Shoe style]],val[SHOE STYLE],val[UNIT PRICE])</f>
        <v>9838</v>
      </c>
      <c r="H448" s="11">
        <v>1</v>
      </c>
      <c r="I448" s="6">
        <f>IF(Table2[[#This Row],[Discount]]&lt;(Table2[[#This Row],[UNIT PRICE]]*Table2[[#This Row],[Quantity sold]]),Table2[[#This Row],[UNIT PRICE]]*Table2[[#This Row],[Quantity sold]]-Table2[[#This Row],[Discount]],0)</f>
        <v>9838</v>
      </c>
      <c r="J448" s="10">
        <v>23000</v>
      </c>
      <c r="K448" s="2">
        <f>_xlfn.XLOOKUP(Table2[[#This Row],[Shoe style]],val[SHOE STYLE],val[COST PRICE])</f>
        <v>6687</v>
      </c>
      <c r="L448" s="2">
        <f>(Table2[[#This Row],[COST PRICE]]*Table2[[#This Row],[Quantity sold]])</f>
        <v>6687</v>
      </c>
      <c r="M448" s="2">
        <f>Table2[[#This Row],[TOTAL SALES]]-Table2[[#This Row],[TOTAL COST PRICE]]</f>
        <v>3151</v>
      </c>
      <c r="N448" s="2">
        <f>IF(Table2[[#This Row],[Amount Paid]]&gt;0,(SUMIF(Table2[Order ID],Table2[[#This Row],[Order ID]],Table2[Amount Paid])-SUMIF(Table2[Order ID],Table2[[#This Row],[Order ID]],Table2[TOTAL SALES])),0)</f>
        <v>13162</v>
      </c>
      <c r="O448" s="8">
        <v>40</v>
      </c>
      <c r="P448" s="8" t="s">
        <v>25</v>
      </c>
      <c r="Q448" s="8" t="s">
        <v>26</v>
      </c>
      <c r="R448" s="8" t="s">
        <v>44</v>
      </c>
      <c r="S448" s="8" t="s">
        <v>28</v>
      </c>
      <c r="T448" s="8">
        <f t="shared" si="7"/>
        <v>0</v>
      </c>
      <c r="U448" t="str" cm="1">
        <f t="array" ref="U448">_xlfn.IFNA(_xlfn.IFS(Table2[[#This Row],[DEFICIT /SURPLUS]]&lt;0,"Deficit",Table2[[#This Row],[DEFICIT /SURPLUS]]&gt;0,"surplus"),"-")</f>
        <v>surplus</v>
      </c>
    </row>
    <row r="449" spans="1:21" ht="14.5">
      <c r="A449" s="8" t="s">
        <v>335</v>
      </c>
      <c r="B449" s="9">
        <v>45655</v>
      </c>
      <c r="C449" s="8" t="s">
        <v>22</v>
      </c>
      <c r="D449" s="8" t="s">
        <v>49</v>
      </c>
      <c r="E449" s="8" t="s">
        <v>43</v>
      </c>
      <c r="F449" s="31">
        <f>_xlfn.XLOOKUP(Table2[[#This Row],[Shoe style]],val[SHOE STYLE],val[UNIT PRICE])</f>
        <v>20500</v>
      </c>
      <c r="H449" s="11">
        <v>1</v>
      </c>
      <c r="I449" s="6">
        <f>IF(Table2[[#This Row],[Discount]]&lt;(Table2[[#This Row],[UNIT PRICE]]*Table2[[#This Row],[Quantity sold]]),Table2[[#This Row],[UNIT PRICE]]*Table2[[#This Row],[Quantity sold]]-Table2[[#This Row],[Discount]],0)</f>
        <v>20500</v>
      </c>
      <c r="J449" s="10">
        <v>15000</v>
      </c>
      <c r="K449" s="2">
        <f>_xlfn.XLOOKUP(Table2[[#This Row],[Shoe style]],val[SHOE STYLE],val[COST PRICE])</f>
        <v>17339</v>
      </c>
      <c r="L449" s="2">
        <f>(Table2[[#This Row],[COST PRICE]]*Table2[[#This Row],[Quantity sold]])</f>
        <v>17339</v>
      </c>
      <c r="M449" s="2">
        <f>Table2[[#This Row],[TOTAL SALES]]-Table2[[#This Row],[TOTAL COST PRICE]]</f>
        <v>3161</v>
      </c>
      <c r="N449" s="2">
        <f>IF(Table2[[#This Row],[Amount Paid]]&gt;0,(SUMIF(Table2[Order ID],Table2[[#This Row],[Order ID]],Table2[Amount Paid])-SUMIF(Table2[Order ID],Table2[[#This Row],[Order ID]],Table2[TOTAL SALES])),0)</f>
        <v>-5500</v>
      </c>
      <c r="O449" s="8">
        <v>40</v>
      </c>
      <c r="P449" s="8" t="s">
        <v>25</v>
      </c>
      <c r="Q449" s="8" t="s">
        <v>26</v>
      </c>
      <c r="R449" s="8" t="s">
        <v>27</v>
      </c>
      <c r="S449" s="8" t="s">
        <v>28</v>
      </c>
      <c r="T449" s="8">
        <f t="shared" si="7"/>
        <v>0</v>
      </c>
      <c r="U449" t="str" cm="1">
        <f t="array" ref="U449">_xlfn.IFNA(_xlfn.IFS(Table2[[#This Row],[DEFICIT /SURPLUS]]&lt;0,"Deficit",Table2[[#This Row],[DEFICIT /SURPLUS]]&gt;0,"surplus"),"-")</f>
        <v>Deficit</v>
      </c>
    </row>
    <row r="450" spans="1:21" ht="14.5">
      <c r="A450" s="8" t="s">
        <v>336</v>
      </c>
      <c r="B450" s="9">
        <v>45657</v>
      </c>
      <c r="C450" s="8" t="s">
        <v>104</v>
      </c>
      <c r="D450" s="8" t="s">
        <v>23</v>
      </c>
      <c r="E450" s="8" t="s">
        <v>78</v>
      </c>
      <c r="F450" s="31">
        <f>_xlfn.XLOOKUP(Table2[[#This Row],[Shoe style]],val[SHOE STYLE],val[UNIT PRICE])</f>
        <v>14975</v>
      </c>
      <c r="H450" s="11">
        <v>1</v>
      </c>
      <c r="I450" s="6">
        <f>IF(Table2[[#This Row],[Discount]]&lt;(Table2[[#This Row],[UNIT PRICE]]*Table2[[#This Row],[Quantity sold]]),Table2[[#This Row],[UNIT PRICE]]*Table2[[#This Row],[Quantity sold]]-Table2[[#This Row],[Discount]],0)</f>
        <v>14975</v>
      </c>
      <c r="J450" s="10">
        <v>21000</v>
      </c>
      <c r="K450" s="2">
        <f>_xlfn.XLOOKUP(Table2[[#This Row],[Shoe style]],val[SHOE STYLE],val[COST PRICE])</f>
        <v>10813</v>
      </c>
      <c r="L450" s="2">
        <f>(Table2[[#This Row],[COST PRICE]]*Table2[[#This Row],[Quantity sold]])</f>
        <v>10813</v>
      </c>
      <c r="M450" s="2">
        <f>Table2[[#This Row],[TOTAL SALES]]-Table2[[#This Row],[TOTAL COST PRICE]]</f>
        <v>4162</v>
      </c>
      <c r="N450" s="2">
        <f>IF(Table2[[#This Row],[Amount Paid]]&gt;0,(SUMIF(Table2[Order ID],Table2[[#This Row],[Order ID]],Table2[Amount Paid])-SUMIF(Table2[Order ID],Table2[[#This Row],[Order ID]],Table2[TOTAL SALES])),0)</f>
        <v>6025</v>
      </c>
      <c r="O450" s="8">
        <v>43</v>
      </c>
      <c r="P450" s="8" t="s">
        <v>25</v>
      </c>
      <c r="Q450" s="8" t="s">
        <v>26</v>
      </c>
      <c r="R450" s="8" t="s">
        <v>44</v>
      </c>
      <c r="S450" s="8" t="s">
        <v>28</v>
      </c>
      <c r="T450" s="8">
        <f t="shared" si="7"/>
        <v>0</v>
      </c>
      <c r="U450" t="str" cm="1">
        <f t="array" ref="U450">_xlfn.IFNA(_xlfn.IFS(Table2[[#This Row],[DEFICIT /SURPLUS]]&lt;0,"Deficit",Table2[[#This Row],[DEFICIT /SURPLUS]]&gt;0,"surplus"),"-")</f>
        <v>surplus</v>
      </c>
    </row>
    <row r="451" spans="1:21" ht="14.5">
      <c r="A451" s="8" t="s">
        <v>337</v>
      </c>
      <c r="B451" s="9">
        <v>45657</v>
      </c>
      <c r="C451" s="8" t="s">
        <v>22</v>
      </c>
      <c r="D451" s="8" t="s">
        <v>29</v>
      </c>
      <c r="E451" s="8" t="s">
        <v>61</v>
      </c>
      <c r="F451" s="31">
        <f>_xlfn.XLOOKUP(Table2[[#This Row],[Shoe style]],val[SHOE STYLE],val[UNIT PRICE])</f>
        <v>12395</v>
      </c>
      <c r="H451" s="11">
        <v>1</v>
      </c>
      <c r="I451" s="6">
        <f>IF(Table2[[#This Row],[Discount]]&lt;(Table2[[#This Row],[UNIT PRICE]]*Table2[[#This Row],[Quantity sold]]),Table2[[#This Row],[UNIT PRICE]]*Table2[[#This Row],[Quantity sold]]-Table2[[#This Row],[Discount]],0)</f>
        <v>12395</v>
      </c>
      <c r="J451" s="10">
        <v>62000</v>
      </c>
      <c r="K451" s="2">
        <f>_xlfn.XLOOKUP(Table2[[#This Row],[Shoe style]],val[SHOE STYLE],val[COST PRICE])</f>
        <v>7909</v>
      </c>
      <c r="L451" s="2">
        <f>(Table2[[#This Row],[COST PRICE]]*Table2[[#This Row],[Quantity sold]])</f>
        <v>7909</v>
      </c>
      <c r="M451" s="2">
        <f>Table2[[#This Row],[TOTAL SALES]]-Table2[[#This Row],[TOTAL COST PRICE]]</f>
        <v>4486</v>
      </c>
      <c r="N451" s="2">
        <f>IF(Table2[[#This Row],[Amount Paid]]&gt;0,(SUMIF(Table2[Order ID],Table2[[#This Row],[Order ID]],Table2[Amount Paid])-SUMIF(Table2[Order ID],Table2[[#This Row],[Order ID]],Table2[TOTAL SALES])),0)</f>
        <v>17016</v>
      </c>
      <c r="O451" s="8">
        <v>38</v>
      </c>
      <c r="P451" s="8" t="s">
        <v>25</v>
      </c>
      <c r="Q451" s="8" t="s">
        <v>26</v>
      </c>
      <c r="R451" s="8" t="s">
        <v>292</v>
      </c>
      <c r="S451" s="8" t="s">
        <v>28</v>
      </c>
      <c r="T451" s="8">
        <f t="shared" si="7"/>
        <v>0</v>
      </c>
      <c r="U451" t="str" cm="1">
        <f t="array" ref="U451">_xlfn.IFNA(_xlfn.IFS(Table2[[#This Row],[DEFICIT /SURPLUS]]&lt;0,"Deficit",Table2[[#This Row],[DEFICIT /SURPLUS]]&gt;0,"surplus"),"-")</f>
        <v>surplus</v>
      </c>
    </row>
    <row r="452" spans="1:21" ht="14.5">
      <c r="A452" s="8" t="s">
        <v>337</v>
      </c>
      <c r="B452" s="9">
        <v>45657</v>
      </c>
      <c r="C452" s="8" t="s">
        <v>22</v>
      </c>
      <c r="D452" s="8" t="s">
        <v>42</v>
      </c>
      <c r="E452" s="8" t="s">
        <v>55</v>
      </c>
      <c r="F452" s="31">
        <f>_xlfn.XLOOKUP(Table2[[#This Row],[Shoe style]],val[SHOE STYLE],val[UNIT PRICE])</f>
        <v>17614</v>
      </c>
      <c r="H452" s="11">
        <v>1</v>
      </c>
      <c r="I452" s="6">
        <f>IF(Table2[[#This Row],[Discount]]&lt;(Table2[[#This Row],[UNIT PRICE]]*Table2[[#This Row],[Quantity sold]]),Table2[[#This Row],[UNIT PRICE]]*Table2[[#This Row],[Quantity sold]]-Table2[[#This Row],[Discount]],0)</f>
        <v>17614</v>
      </c>
      <c r="K452" s="2">
        <f>_xlfn.XLOOKUP(Table2[[#This Row],[Shoe style]],val[SHOE STYLE],val[COST PRICE])</f>
        <v>14912</v>
      </c>
      <c r="L452" s="2">
        <f>(Table2[[#This Row],[COST PRICE]]*Table2[[#This Row],[Quantity sold]])</f>
        <v>14912</v>
      </c>
      <c r="M452" s="2">
        <f>Table2[[#This Row],[TOTAL SALES]]-Table2[[#This Row],[TOTAL COST PRICE]]</f>
        <v>2702</v>
      </c>
      <c r="N452" s="2">
        <f>IF(Table2[[#This Row],[Amount Paid]]&gt;0,(SUMIF(Table2[Order ID],Table2[[#This Row],[Order ID]],Table2[Amount Paid])-SUMIF(Table2[Order ID],Table2[[#This Row],[Order ID]],Table2[TOTAL SALES])),0)</f>
        <v>0</v>
      </c>
      <c r="O452" s="8">
        <v>38</v>
      </c>
      <c r="P452" s="8" t="s">
        <v>25</v>
      </c>
      <c r="Q452" s="8" t="s">
        <v>26</v>
      </c>
      <c r="R452" s="8" t="s">
        <v>292</v>
      </c>
      <c r="S452" s="8" t="s">
        <v>28</v>
      </c>
      <c r="T452" s="8">
        <f t="shared" si="7"/>
        <v>0</v>
      </c>
      <c r="U452" t="str" cm="1">
        <f t="array" ref="U452">_xlfn.IFNA(_xlfn.IFS(Table2[[#This Row],[DEFICIT /SURPLUS]]&lt;0,"Deficit",Table2[[#This Row],[DEFICIT /SURPLUS]]&gt;0,"surplus"),"-")</f>
        <v>-</v>
      </c>
    </row>
    <row r="453" spans="1:21" ht="14.5">
      <c r="A453" s="8" t="s">
        <v>337</v>
      </c>
      <c r="B453" s="9">
        <v>45657</v>
      </c>
      <c r="C453" s="8" t="s">
        <v>22</v>
      </c>
      <c r="D453" s="8" t="s">
        <v>23</v>
      </c>
      <c r="E453" s="8" t="s">
        <v>24</v>
      </c>
      <c r="F453" s="31">
        <f>_xlfn.XLOOKUP(Table2[[#This Row],[Shoe style]],val[SHOE STYLE],val[UNIT PRICE])</f>
        <v>14975</v>
      </c>
      <c r="H453" s="11">
        <v>1</v>
      </c>
      <c r="I453" s="6">
        <f>IF(Table2[[#This Row],[Discount]]&lt;(Table2[[#This Row],[UNIT PRICE]]*Table2[[#This Row],[Quantity sold]]),Table2[[#This Row],[UNIT PRICE]]*Table2[[#This Row],[Quantity sold]]-Table2[[#This Row],[Discount]],0)</f>
        <v>14975</v>
      </c>
      <c r="K453" s="2">
        <f>_xlfn.XLOOKUP(Table2[[#This Row],[Shoe style]],val[SHOE STYLE],val[COST PRICE])</f>
        <v>10813</v>
      </c>
      <c r="L453" s="2">
        <f>(Table2[[#This Row],[COST PRICE]]*Table2[[#This Row],[Quantity sold]])</f>
        <v>10813</v>
      </c>
      <c r="M453" s="2">
        <f>Table2[[#This Row],[TOTAL SALES]]-Table2[[#This Row],[TOTAL COST PRICE]]</f>
        <v>4162</v>
      </c>
      <c r="N453" s="2">
        <f>IF(Table2[[#This Row],[Amount Paid]]&gt;0,(SUMIF(Table2[Order ID],Table2[[#This Row],[Order ID]],Table2[Amount Paid])-SUMIF(Table2[Order ID],Table2[[#This Row],[Order ID]],Table2[TOTAL SALES])),0)</f>
        <v>0</v>
      </c>
      <c r="O453" s="8">
        <v>38</v>
      </c>
      <c r="P453" s="8" t="s">
        <v>25</v>
      </c>
      <c r="Q453" s="8" t="s">
        <v>26</v>
      </c>
      <c r="R453" s="8" t="s">
        <v>292</v>
      </c>
      <c r="S453" s="8" t="s">
        <v>28</v>
      </c>
      <c r="T453" s="8">
        <f t="shared" si="7"/>
        <v>0</v>
      </c>
      <c r="U453" t="str" cm="1">
        <f t="array" ref="U453">_xlfn.IFNA(_xlfn.IFS(Table2[[#This Row],[DEFICIT /SURPLUS]]&lt;0,"Deficit",Table2[[#This Row],[DEFICIT /SURPLUS]]&gt;0,"surplus"),"-")</f>
        <v>-</v>
      </c>
    </row>
    <row r="454" spans="1:21" ht="14.5">
      <c r="A454" s="8" t="s">
        <v>338</v>
      </c>
      <c r="B454" s="9">
        <v>45660</v>
      </c>
      <c r="C454" s="8" t="s">
        <v>112</v>
      </c>
      <c r="D454" s="8" t="s">
        <v>53</v>
      </c>
      <c r="E454" s="8" t="s">
        <v>24</v>
      </c>
      <c r="F454" s="31">
        <f>_xlfn.XLOOKUP(Table2[[#This Row],[Shoe style]],val[SHOE STYLE],val[UNIT PRICE])</f>
        <v>9838</v>
      </c>
      <c r="H454" s="11">
        <v>1</v>
      </c>
      <c r="I454" s="6">
        <f>IF(Table2[[#This Row],[Discount]]&lt;(Table2[[#This Row],[UNIT PRICE]]*Table2[[#This Row],[Quantity sold]]),Table2[[#This Row],[UNIT PRICE]]*Table2[[#This Row],[Quantity sold]]-Table2[[#This Row],[Discount]],0)</f>
        <v>9838</v>
      </c>
      <c r="J454" s="10">
        <v>26000</v>
      </c>
      <c r="K454" s="2">
        <f>_xlfn.XLOOKUP(Table2[[#This Row],[Shoe style]],val[SHOE STYLE],val[COST PRICE])</f>
        <v>6687</v>
      </c>
      <c r="L454" s="2">
        <f>(Table2[[#This Row],[COST PRICE]]*Table2[[#This Row],[Quantity sold]])</f>
        <v>6687</v>
      </c>
      <c r="M454" s="2">
        <f>Table2[[#This Row],[TOTAL SALES]]-Table2[[#This Row],[TOTAL COST PRICE]]</f>
        <v>3151</v>
      </c>
      <c r="N454" s="2">
        <f>IF(Table2[[#This Row],[Amount Paid]]&gt;0,(SUMIF(Table2[Order ID],Table2[[#This Row],[Order ID]],Table2[Amount Paid])-SUMIF(Table2[Order ID],Table2[[#This Row],[Order ID]],Table2[TOTAL SALES])),0)</f>
        <v>16162</v>
      </c>
      <c r="O454" s="8">
        <v>42</v>
      </c>
      <c r="P454" s="8" t="s">
        <v>25</v>
      </c>
      <c r="Q454" s="8" t="s">
        <v>339</v>
      </c>
      <c r="R454" s="8" t="s">
        <v>292</v>
      </c>
      <c r="S454" s="8" t="s">
        <v>28</v>
      </c>
      <c r="T454" s="8">
        <f t="shared" si="7"/>
        <v>0</v>
      </c>
      <c r="U454" t="str" cm="1">
        <f t="array" ref="U454">_xlfn.IFNA(_xlfn.IFS(Table2[[#This Row],[DEFICIT /SURPLUS]]&lt;0,"Deficit",Table2[[#This Row],[DEFICIT /SURPLUS]]&gt;0,"surplus"),"-")</f>
        <v>surplus</v>
      </c>
    </row>
    <row r="455" spans="1:21" ht="14.5">
      <c r="A455" s="8" t="s">
        <v>340</v>
      </c>
      <c r="B455" s="9">
        <v>45660</v>
      </c>
      <c r="C455" s="8" t="s">
        <v>22</v>
      </c>
      <c r="D455" s="8" t="s">
        <v>29</v>
      </c>
      <c r="E455" s="8" t="s">
        <v>50</v>
      </c>
      <c r="F455" s="31">
        <f>_xlfn.XLOOKUP(Table2[[#This Row],[Shoe style]],val[SHOE STYLE],val[UNIT PRICE])</f>
        <v>12395</v>
      </c>
      <c r="H455" s="11">
        <v>1</v>
      </c>
      <c r="I455" s="6">
        <f>IF(Table2[[#This Row],[Discount]]&lt;(Table2[[#This Row],[UNIT PRICE]]*Table2[[#This Row],[Quantity sold]]),Table2[[#This Row],[UNIT PRICE]]*Table2[[#This Row],[Quantity sold]]-Table2[[#This Row],[Discount]],0)</f>
        <v>12395</v>
      </c>
      <c r="J455" s="10">
        <v>22500</v>
      </c>
      <c r="K455" s="2">
        <f>_xlfn.XLOOKUP(Table2[[#This Row],[Shoe style]],val[SHOE STYLE],val[COST PRICE])</f>
        <v>7909</v>
      </c>
      <c r="L455" s="2">
        <f>(Table2[[#This Row],[COST PRICE]]*Table2[[#This Row],[Quantity sold]])</f>
        <v>7909</v>
      </c>
      <c r="M455" s="2">
        <f>Table2[[#This Row],[TOTAL SALES]]-Table2[[#This Row],[TOTAL COST PRICE]]</f>
        <v>4486</v>
      </c>
      <c r="N455" s="2">
        <f>IF(Table2[[#This Row],[Amount Paid]]&gt;0,(SUMIF(Table2[Order ID],Table2[[#This Row],[Order ID]],Table2[Amount Paid])-SUMIF(Table2[Order ID],Table2[[#This Row],[Order ID]],Table2[TOTAL SALES])),0)</f>
        <v>10105</v>
      </c>
      <c r="O455" s="8">
        <v>40</v>
      </c>
      <c r="P455" s="8" t="s">
        <v>25</v>
      </c>
      <c r="Q455" s="8" t="s">
        <v>341</v>
      </c>
      <c r="R455" s="8" t="s">
        <v>27</v>
      </c>
      <c r="S455" s="8" t="s">
        <v>28</v>
      </c>
      <c r="T455" s="8">
        <f t="shared" si="7"/>
        <v>0</v>
      </c>
      <c r="U455" t="str" cm="1">
        <f t="array" ref="U455">_xlfn.IFNA(_xlfn.IFS(Table2[[#This Row],[DEFICIT /SURPLUS]]&lt;0,"Deficit",Table2[[#This Row],[DEFICIT /SURPLUS]]&gt;0,"surplus"),"-")</f>
        <v>surplus</v>
      </c>
    </row>
    <row r="456" spans="1:21" ht="14.5">
      <c r="A456" s="8" t="s">
        <v>342</v>
      </c>
      <c r="B456" s="9">
        <v>45661</v>
      </c>
      <c r="C456" s="8" t="s">
        <v>22</v>
      </c>
      <c r="D456" s="8" t="s">
        <v>53</v>
      </c>
      <c r="E456" s="8" t="s">
        <v>24</v>
      </c>
      <c r="F456" s="31">
        <f>_xlfn.XLOOKUP(Table2[[#This Row],[Shoe style]],val[SHOE STYLE],val[UNIT PRICE])</f>
        <v>9838</v>
      </c>
      <c r="H456" s="11">
        <v>1</v>
      </c>
      <c r="I456" s="6">
        <f>IF(Table2[[#This Row],[Discount]]&lt;(Table2[[#This Row],[UNIT PRICE]]*Table2[[#This Row],[Quantity sold]]),Table2[[#This Row],[UNIT PRICE]]*Table2[[#This Row],[Quantity sold]]-Table2[[#This Row],[Discount]],0)</f>
        <v>9838</v>
      </c>
      <c r="J456" s="10">
        <v>23350</v>
      </c>
      <c r="K456" s="2">
        <f>_xlfn.XLOOKUP(Table2[[#This Row],[Shoe style]],val[SHOE STYLE],val[COST PRICE])</f>
        <v>6687</v>
      </c>
      <c r="L456" s="2">
        <f>(Table2[[#This Row],[COST PRICE]]*Table2[[#This Row],[Quantity sold]])</f>
        <v>6687</v>
      </c>
      <c r="M456" s="2">
        <f>Table2[[#This Row],[TOTAL SALES]]-Table2[[#This Row],[TOTAL COST PRICE]]</f>
        <v>3151</v>
      </c>
      <c r="N456" s="2">
        <f>IF(Table2[[#This Row],[Amount Paid]]&gt;0,(SUMIF(Table2[Order ID],Table2[[#This Row],[Order ID]],Table2[Amount Paid])-SUMIF(Table2[Order ID],Table2[[#This Row],[Order ID]],Table2[TOTAL SALES])),0)</f>
        <v>13512</v>
      </c>
      <c r="O456" s="8">
        <v>43</v>
      </c>
      <c r="P456" s="8" t="s">
        <v>25</v>
      </c>
      <c r="Q456" s="8" t="s">
        <v>341</v>
      </c>
      <c r="R456" s="8" t="s">
        <v>292</v>
      </c>
      <c r="S456" s="8" t="s">
        <v>28</v>
      </c>
      <c r="T456" s="8">
        <f t="shared" si="7"/>
        <v>0</v>
      </c>
      <c r="U456" t="str" cm="1">
        <f t="array" ref="U456">_xlfn.IFNA(_xlfn.IFS(Table2[[#This Row],[DEFICIT /SURPLUS]]&lt;0,"Deficit",Table2[[#This Row],[DEFICIT /SURPLUS]]&gt;0,"surplus"),"-")</f>
        <v>surplus</v>
      </c>
    </row>
    <row r="457" spans="1:21" ht="14.5">
      <c r="A457" s="8" t="s">
        <v>343</v>
      </c>
      <c r="B457" s="9">
        <v>45661</v>
      </c>
      <c r="C457" s="8" t="s">
        <v>22</v>
      </c>
      <c r="D457" s="8" t="s">
        <v>53</v>
      </c>
      <c r="E457" s="8" t="s">
        <v>63</v>
      </c>
      <c r="F457" s="31">
        <f>_xlfn.XLOOKUP(Table2[[#This Row],[Shoe style]],val[SHOE STYLE],val[UNIT PRICE])</f>
        <v>9838</v>
      </c>
      <c r="H457" s="11">
        <v>1</v>
      </c>
      <c r="I457" s="6">
        <f>IF(Table2[[#This Row],[Discount]]&lt;(Table2[[#This Row],[UNIT PRICE]]*Table2[[#This Row],[Quantity sold]]),Table2[[#This Row],[UNIT PRICE]]*Table2[[#This Row],[Quantity sold]]-Table2[[#This Row],[Discount]],0)</f>
        <v>9838</v>
      </c>
      <c r="J457" s="10">
        <v>58500</v>
      </c>
      <c r="K457" s="2">
        <f>_xlfn.XLOOKUP(Table2[[#This Row],[Shoe style]],val[SHOE STYLE],val[COST PRICE])</f>
        <v>6687</v>
      </c>
      <c r="L457" s="2">
        <f>(Table2[[#This Row],[COST PRICE]]*Table2[[#This Row],[Quantity sold]])</f>
        <v>6687</v>
      </c>
      <c r="M457" s="2">
        <f>Table2[[#This Row],[TOTAL SALES]]-Table2[[#This Row],[TOTAL COST PRICE]]</f>
        <v>3151</v>
      </c>
      <c r="N457" s="2">
        <f>IF(Table2[[#This Row],[Amount Paid]]&gt;0,(SUMIF(Table2[Order ID],Table2[[#This Row],[Order ID]],Table2[Amount Paid])-SUMIF(Table2[Order ID],Table2[[#This Row],[Order ID]],Table2[TOTAL SALES])),0)</f>
        <v>16096</v>
      </c>
      <c r="O457" s="8">
        <v>42</v>
      </c>
      <c r="P457" s="8" t="s">
        <v>25</v>
      </c>
      <c r="Q457" s="8" t="s">
        <v>341</v>
      </c>
      <c r="R457" s="8" t="s">
        <v>292</v>
      </c>
      <c r="S457" s="8" t="s">
        <v>28</v>
      </c>
      <c r="T457" s="8">
        <f t="shared" si="7"/>
        <v>0</v>
      </c>
      <c r="U457" t="str" cm="1">
        <f t="array" ref="U457">_xlfn.IFNA(_xlfn.IFS(Table2[[#This Row],[DEFICIT /SURPLUS]]&lt;0,"Deficit",Table2[[#This Row],[DEFICIT /SURPLUS]]&gt;0,"surplus"),"-")</f>
        <v>surplus</v>
      </c>
    </row>
    <row r="458" spans="1:21" ht="14.5">
      <c r="A458" s="8" t="s">
        <v>343</v>
      </c>
      <c r="B458" s="9">
        <v>45661</v>
      </c>
      <c r="C458" s="8" t="s">
        <v>22</v>
      </c>
      <c r="D458" s="8" t="s">
        <v>37</v>
      </c>
      <c r="E458" s="8" t="s">
        <v>109</v>
      </c>
      <c r="F458" s="31">
        <f>_xlfn.XLOOKUP(Table2[[#This Row],[Shoe style]],val[SHOE STYLE],val[UNIT PRICE])</f>
        <v>22728</v>
      </c>
      <c r="H458" s="11">
        <v>1</v>
      </c>
      <c r="I458" s="6">
        <f>IF(Table2[[#This Row],[Discount]]&lt;(Table2[[#This Row],[UNIT PRICE]]*Table2[[#This Row],[Quantity sold]]),Table2[[#This Row],[UNIT PRICE]]*Table2[[#This Row],[Quantity sold]]-Table2[[#This Row],[Discount]],0)</f>
        <v>22728</v>
      </c>
      <c r="K458" s="2">
        <f>_xlfn.XLOOKUP(Table2[[#This Row],[Shoe style]],val[SHOE STYLE],val[COST PRICE])</f>
        <v>20451</v>
      </c>
      <c r="L458" s="2">
        <f>(Table2[[#This Row],[COST PRICE]]*Table2[[#This Row],[Quantity sold]])</f>
        <v>20451</v>
      </c>
      <c r="M458" s="2">
        <f>Table2[[#This Row],[TOTAL SALES]]-Table2[[#This Row],[TOTAL COST PRICE]]</f>
        <v>2277</v>
      </c>
      <c r="N458" s="2">
        <f>IF(Table2[[#This Row],[Amount Paid]]&gt;0,(SUMIF(Table2[Order ID],Table2[[#This Row],[Order ID]],Table2[Amount Paid])-SUMIF(Table2[Order ID],Table2[[#This Row],[Order ID]],Table2[TOTAL SALES])),0)</f>
        <v>0</v>
      </c>
      <c r="O458" s="8">
        <v>40</v>
      </c>
      <c r="P458" s="8" t="s">
        <v>25</v>
      </c>
      <c r="Q458" s="8" t="s">
        <v>26</v>
      </c>
      <c r="R458" s="8" t="s">
        <v>292</v>
      </c>
      <c r="S458" s="8" t="s">
        <v>28</v>
      </c>
      <c r="T458" s="8">
        <f t="shared" si="7"/>
        <v>0</v>
      </c>
      <c r="U458" t="str" cm="1">
        <f t="array" ref="U458">_xlfn.IFNA(_xlfn.IFS(Table2[[#This Row],[DEFICIT /SURPLUS]]&lt;0,"Deficit",Table2[[#This Row],[DEFICIT /SURPLUS]]&gt;0,"surplus"),"-")</f>
        <v>-</v>
      </c>
    </row>
    <row r="459" spans="1:21" ht="14.5">
      <c r="A459" s="8" t="s">
        <v>343</v>
      </c>
      <c r="B459" s="9">
        <v>45661</v>
      </c>
      <c r="C459" s="8" t="s">
        <v>22</v>
      </c>
      <c r="D459" s="8" t="s">
        <v>53</v>
      </c>
      <c r="E459" s="8" t="s">
        <v>78</v>
      </c>
      <c r="F459" s="31">
        <f>_xlfn.XLOOKUP(Table2[[#This Row],[Shoe style]],val[SHOE STYLE],val[UNIT PRICE])</f>
        <v>9838</v>
      </c>
      <c r="H459" s="11">
        <v>1</v>
      </c>
      <c r="I459" s="6">
        <f>IF(Table2[[#This Row],[Discount]]&lt;(Table2[[#This Row],[UNIT PRICE]]*Table2[[#This Row],[Quantity sold]]),Table2[[#This Row],[UNIT PRICE]]*Table2[[#This Row],[Quantity sold]]-Table2[[#This Row],[Discount]],0)</f>
        <v>9838</v>
      </c>
      <c r="K459" s="2">
        <f>_xlfn.XLOOKUP(Table2[[#This Row],[Shoe style]],val[SHOE STYLE],val[COST PRICE])</f>
        <v>6687</v>
      </c>
      <c r="L459" s="2">
        <f>(Table2[[#This Row],[COST PRICE]]*Table2[[#This Row],[Quantity sold]])</f>
        <v>6687</v>
      </c>
      <c r="M459" s="2">
        <f>Table2[[#This Row],[TOTAL SALES]]-Table2[[#This Row],[TOTAL COST PRICE]]</f>
        <v>3151</v>
      </c>
      <c r="N459" s="2">
        <f>IF(Table2[[#This Row],[Amount Paid]]&gt;0,(SUMIF(Table2[Order ID],Table2[[#This Row],[Order ID]],Table2[Amount Paid])-SUMIF(Table2[Order ID],Table2[[#This Row],[Order ID]],Table2[TOTAL SALES])),0)</f>
        <v>0</v>
      </c>
      <c r="O459" s="8">
        <v>40</v>
      </c>
      <c r="P459" s="8" t="s">
        <v>25</v>
      </c>
      <c r="Q459" s="8" t="s">
        <v>26</v>
      </c>
      <c r="R459" s="8" t="s">
        <v>292</v>
      </c>
      <c r="S459" s="8" t="s">
        <v>28</v>
      </c>
      <c r="T459" s="8">
        <f t="shared" si="7"/>
        <v>0</v>
      </c>
      <c r="U459" t="str" cm="1">
        <f t="array" ref="U459">_xlfn.IFNA(_xlfn.IFS(Table2[[#This Row],[DEFICIT /SURPLUS]]&lt;0,"Deficit",Table2[[#This Row],[DEFICIT /SURPLUS]]&gt;0,"surplus"),"-")</f>
        <v>-</v>
      </c>
    </row>
    <row r="460" spans="1:21" ht="14.5">
      <c r="A460" s="8" t="s">
        <v>344</v>
      </c>
      <c r="B460" s="9">
        <v>45664</v>
      </c>
      <c r="C460" s="8" t="s">
        <v>22</v>
      </c>
      <c r="D460" s="8" t="s">
        <v>37</v>
      </c>
      <c r="E460" s="8" t="s">
        <v>55</v>
      </c>
      <c r="F460" s="31">
        <f>_xlfn.XLOOKUP(Table2[[#This Row],[Shoe style]],val[SHOE STYLE],val[UNIT PRICE])</f>
        <v>22728</v>
      </c>
      <c r="H460" s="11">
        <v>1</v>
      </c>
      <c r="I460" s="6">
        <f>IF(Table2[[#This Row],[Discount]]&lt;(Table2[[#This Row],[UNIT PRICE]]*Table2[[#This Row],[Quantity sold]]),Table2[[#This Row],[UNIT PRICE]]*Table2[[#This Row],[Quantity sold]]-Table2[[#This Row],[Discount]],0)</f>
        <v>22728</v>
      </c>
      <c r="J460" s="10">
        <v>37732</v>
      </c>
      <c r="K460" s="2">
        <f>_xlfn.XLOOKUP(Table2[[#This Row],[Shoe style]],val[SHOE STYLE],val[COST PRICE])</f>
        <v>20451</v>
      </c>
      <c r="L460" s="2">
        <f>(Table2[[#This Row],[COST PRICE]]*Table2[[#This Row],[Quantity sold]])</f>
        <v>20451</v>
      </c>
      <c r="M460" s="2">
        <f>Table2[[#This Row],[TOTAL SALES]]-Table2[[#This Row],[TOTAL COST PRICE]]</f>
        <v>2277</v>
      </c>
      <c r="N460" s="2">
        <f>IF(Table2[[#This Row],[Amount Paid]]&gt;0,(SUMIF(Table2[Order ID],Table2[[#This Row],[Order ID]],Table2[Amount Paid])-SUMIF(Table2[Order ID],Table2[[#This Row],[Order ID]],Table2[TOTAL SALES])),0)</f>
        <v>4495</v>
      </c>
      <c r="O460" s="8">
        <v>39</v>
      </c>
      <c r="P460" s="8" t="s">
        <v>25</v>
      </c>
      <c r="Q460" s="8" t="s">
        <v>54</v>
      </c>
      <c r="R460" s="8" t="s">
        <v>27</v>
      </c>
      <c r="S460" s="8" t="s">
        <v>28</v>
      </c>
      <c r="T460" s="8">
        <f t="shared" si="7"/>
        <v>0</v>
      </c>
      <c r="U460" t="str" cm="1">
        <f t="array" ref="U460">_xlfn.IFNA(_xlfn.IFS(Table2[[#This Row],[DEFICIT /SURPLUS]]&lt;0,"Deficit",Table2[[#This Row],[DEFICIT /SURPLUS]]&gt;0,"surplus"),"-")</f>
        <v>surplus</v>
      </c>
    </row>
    <row r="461" spans="1:21" ht="14.5">
      <c r="A461" s="8" t="s">
        <v>344</v>
      </c>
      <c r="B461" s="9">
        <v>45664</v>
      </c>
      <c r="C461" s="8" t="s">
        <v>22</v>
      </c>
      <c r="D461" s="8" t="s">
        <v>68</v>
      </c>
      <c r="E461" s="8" t="s">
        <v>109</v>
      </c>
      <c r="F461" s="31">
        <f>_xlfn.XLOOKUP(Table2[[#This Row],[Shoe style]],val[SHOE STYLE],val[UNIT PRICE])</f>
        <v>10509</v>
      </c>
      <c r="H461" s="11">
        <v>1</v>
      </c>
      <c r="I461" s="6">
        <f>IF(Table2[[#This Row],[Discount]]&lt;(Table2[[#This Row],[UNIT PRICE]]*Table2[[#This Row],[Quantity sold]]),Table2[[#This Row],[UNIT PRICE]]*Table2[[#This Row],[Quantity sold]]-Table2[[#This Row],[Discount]],0)</f>
        <v>10509</v>
      </c>
      <c r="K461" s="2">
        <f>_xlfn.XLOOKUP(Table2[[#This Row],[Shoe style]],val[SHOE STYLE],val[COST PRICE])</f>
        <v>7573</v>
      </c>
      <c r="L461" s="2">
        <f>(Table2[[#This Row],[COST PRICE]]*Table2[[#This Row],[Quantity sold]])</f>
        <v>7573</v>
      </c>
      <c r="M461" s="2">
        <f>Table2[[#This Row],[TOTAL SALES]]-Table2[[#This Row],[TOTAL COST PRICE]]</f>
        <v>2936</v>
      </c>
      <c r="N461" s="2">
        <f>IF(Table2[[#This Row],[Amount Paid]]&gt;0,(SUMIF(Table2[Order ID],Table2[[#This Row],[Order ID]],Table2[Amount Paid])-SUMIF(Table2[Order ID],Table2[[#This Row],[Order ID]],Table2[TOTAL SALES])),0)</f>
        <v>0</v>
      </c>
      <c r="O461" s="8">
        <v>39</v>
      </c>
      <c r="P461" s="8" t="s">
        <v>25</v>
      </c>
      <c r="Q461" s="8" t="s">
        <v>54</v>
      </c>
      <c r="R461" s="8" t="s">
        <v>27</v>
      </c>
      <c r="S461" s="8" t="s">
        <v>28</v>
      </c>
      <c r="T461" s="8">
        <f t="shared" si="7"/>
        <v>0</v>
      </c>
      <c r="U461" t="str" cm="1">
        <f t="array" ref="U461">_xlfn.IFNA(_xlfn.IFS(Table2[[#This Row],[DEFICIT /SURPLUS]]&lt;0,"Deficit",Table2[[#This Row],[DEFICIT /SURPLUS]]&gt;0,"surplus"),"-")</f>
        <v>-</v>
      </c>
    </row>
    <row r="462" spans="1:21" ht="14.5">
      <c r="A462" s="8" t="s">
        <v>345</v>
      </c>
      <c r="B462" s="9">
        <v>45664</v>
      </c>
      <c r="C462" s="8" t="s">
        <v>104</v>
      </c>
      <c r="D462" s="8" t="s">
        <v>49</v>
      </c>
      <c r="E462" s="8" t="s">
        <v>50</v>
      </c>
      <c r="F462" s="31">
        <f>_xlfn.XLOOKUP(Table2[[#This Row],[Shoe style]],val[SHOE STYLE],val[UNIT PRICE])</f>
        <v>20500</v>
      </c>
      <c r="H462" s="11">
        <v>1</v>
      </c>
      <c r="I462" s="6">
        <f>IF(Table2[[#This Row],[Discount]]&lt;(Table2[[#This Row],[UNIT PRICE]]*Table2[[#This Row],[Quantity sold]]),Table2[[#This Row],[UNIT PRICE]]*Table2[[#This Row],[Quantity sold]]-Table2[[#This Row],[Discount]],0)</f>
        <v>20500</v>
      </c>
      <c r="J462" s="10">
        <v>72000</v>
      </c>
      <c r="K462" s="2">
        <f>_xlfn.XLOOKUP(Table2[[#This Row],[Shoe style]],val[SHOE STYLE],val[COST PRICE])</f>
        <v>17339</v>
      </c>
      <c r="L462" s="2">
        <f>(Table2[[#This Row],[COST PRICE]]*Table2[[#This Row],[Quantity sold]])</f>
        <v>17339</v>
      </c>
      <c r="M462" s="2">
        <f>Table2[[#This Row],[TOTAL SALES]]-Table2[[#This Row],[TOTAL COST PRICE]]</f>
        <v>3161</v>
      </c>
      <c r="N462" s="2">
        <f>IF(Table2[[#This Row],[Amount Paid]]&gt;0,(SUMIF(Table2[Order ID],Table2[[#This Row],[Order ID]],Table2[Amount Paid])-SUMIF(Table2[Order ID],Table2[[#This Row],[Order ID]],Table2[TOTAL SALES])),0)</f>
        <v>5132</v>
      </c>
      <c r="O462" s="8">
        <v>42</v>
      </c>
      <c r="P462" s="8" t="s">
        <v>25</v>
      </c>
      <c r="Q462" s="8" t="s">
        <v>16</v>
      </c>
      <c r="R462" s="8" t="s">
        <v>27</v>
      </c>
      <c r="S462" s="8" t="s">
        <v>28</v>
      </c>
      <c r="T462" s="8">
        <f t="shared" si="7"/>
        <v>0</v>
      </c>
      <c r="U462" t="str" cm="1">
        <f t="array" ref="U462">_xlfn.IFNA(_xlfn.IFS(Table2[[#This Row],[DEFICIT /SURPLUS]]&lt;0,"Deficit",Table2[[#This Row],[DEFICIT /SURPLUS]]&gt;0,"surplus"),"-")</f>
        <v>surplus</v>
      </c>
    </row>
    <row r="463" spans="1:21" ht="14.5">
      <c r="A463" s="8" t="s">
        <v>345</v>
      </c>
      <c r="B463" s="9">
        <v>45664</v>
      </c>
      <c r="C463" s="8" t="s">
        <v>104</v>
      </c>
      <c r="D463" s="8" t="s">
        <v>37</v>
      </c>
      <c r="E463" s="8" t="s">
        <v>50</v>
      </c>
      <c r="F463" s="31">
        <f>_xlfn.XLOOKUP(Table2[[#This Row],[Shoe style]],val[SHOE STYLE],val[UNIT PRICE])</f>
        <v>22728</v>
      </c>
      <c r="H463" s="11">
        <v>1</v>
      </c>
      <c r="I463" s="6">
        <f>IF(Table2[[#This Row],[Discount]]&lt;(Table2[[#This Row],[UNIT PRICE]]*Table2[[#This Row],[Quantity sold]]),Table2[[#This Row],[UNIT PRICE]]*Table2[[#This Row],[Quantity sold]]-Table2[[#This Row],[Discount]],0)</f>
        <v>22728</v>
      </c>
      <c r="K463" s="2">
        <f>_xlfn.XLOOKUP(Table2[[#This Row],[Shoe style]],val[SHOE STYLE],val[COST PRICE])</f>
        <v>20451</v>
      </c>
      <c r="L463" s="2">
        <f>(Table2[[#This Row],[COST PRICE]]*Table2[[#This Row],[Quantity sold]])</f>
        <v>20451</v>
      </c>
      <c r="M463" s="2">
        <f>Table2[[#This Row],[TOTAL SALES]]-Table2[[#This Row],[TOTAL COST PRICE]]</f>
        <v>2277</v>
      </c>
      <c r="N463" s="2">
        <f>IF(Table2[[#This Row],[Amount Paid]]&gt;0,(SUMIF(Table2[Order ID],Table2[[#This Row],[Order ID]],Table2[Amount Paid])-SUMIF(Table2[Order ID],Table2[[#This Row],[Order ID]],Table2[TOTAL SALES])),0)</f>
        <v>0</v>
      </c>
      <c r="O463" s="8">
        <v>42</v>
      </c>
      <c r="P463" s="8" t="s">
        <v>25</v>
      </c>
      <c r="Q463" s="8" t="s">
        <v>16</v>
      </c>
      <c r="R463" s="8" t="s">
        <v>27</v>
      </c>
      <c r="S463" s="8" t="s">
        <v>28</v>
      </c>
      <c r="T463" s="8">
        <f t="shared" si="7"/>
        <v>0</v>
      </c>
      <c r="U463" t="str" cm="1">
        <f t="array" ref="U463">_xlfn.IFNA(_xlfn.IFS(Table2[[#This Row],[DEFICIT /SURPLUS]]&lt;0,"Deficit",Table2[[#This Row],[DEFICIT /SURPLUS]]&gt;0,"surplus"),"-")</f>
        <v>-</v>
      </c>
    </row>
    <row r="464" spans="1:21" ht="14.5">
      <c r="A464" s="8" t="s">
        <v>345</v>
      </c>
      <c r="B464" s="9">
        <v>45664</v>
      </c>
      <c r="C464" s="8" t="s">
        <v>104</v>
      </c>
      <c r="D464" s="8" t="s">
        <v>346</v>
      </c>
      <c r="E464" s="8" t="s">
        <v>24</v>
      </c>
      <c r="F464" s="31">
        <f>_xlfn.XLOOKUP(Table2[[#This Row],[Shoe style]],val[SHOE STYLE],val[UNIT PRICE])</f>
        <v>12633</v>
      </c>
      <c r="H464" s="11">
        <v>1</v>
      </c>
      <c r="I464" s="6">
        <f>IF(Table2[[#This Row],[Discount]]&lt;(Table2[[#This Row],[UNIT PRICE]]*Table2[[#This Row],[Quantity sold]]),Table2[[#This Row],[UNIT PRICE]]*Table2[[#This Row],[Quantity sold]]-Table2[[#This Row],[Discount]],0)</f>
        <v>12633</v>
      </c>
      <c r="K464" s="2">
        <f>_xlfn.XLOOKUP(Table2[[#This Row],[Shoe style]],val[SHOE STYLE],val[COST PRICE])</f>
        <v>8399</v>
      </c>
      <c r="L464" s="2">
        <f>(Table2[[#This Row],[COST PRICE]]*Table2[[#This Row],[Quantity sold]])</f>
        <v>8399</v>
      </c>
      <c r="M464" s="2">
        <f>Table2[[#This Row],[TOTAL SALES]]-Table2[[#This Row],[TOTAL COST PRICE]]</f>
        <v>4234</v>
      </c>
      <c r="N464" s="2">
        <f>IF(Table2[[#This Row],[Amount Paid]]&gt;0,(SUMIF(Table2[Order ID],Table2[[#This Row],[Order ID]],Table2[Amount Paid])-SUMIF(Table2[Order ID],Table2[[#This Row],[Order ID]],Table2[TOTAL SALES])),0)</f>
        <v>0</v>
      </c>
      <c r="O464" s="8">
        <v>45</v>
      </c>
      <c r="P464" s="8" t="s">
        <v>25</v>
      </c>
      <c r="Q464" s="8" t="s">
        <v>16</v>
      </c>
      <c r="R464" s="8" t="s">
        <v>27</v>
      </c>
      <c r="S464" s="8" t="s">
        <v>28</v>
      </c>
      <c r="T464" s="8">
        <f t="shared" si="7"/>
        <v>0</v>
      </c>
      <c r="U464" t="str" cm="1">
        <f t="array" ref="U464">_xlfn.IFNA(_xlfn.IFS(Table2[[#This Row],[DEFICIT /SURPLUS]]&lt;0,"Deficit",Table2[[#This Row],[DEFICIT /SURPLUS]]&gt;0,"surplus"),"-")</f>
        <v>-</v>
      </c>
    </row>
    <row r="465" spans="1:21" ht="14.5">
      <c r="A465" s="8" t="s">
        <v>345</v>
      </c>
      <c r="B465" s="9">
        <v>45664</v>
      </c>
      <c r="C465" s="8" t="s">
        <v>104</v>
      </c>
      <c r="D465" s="8" t="s">
        <v>51</v>
      </c>
      <c r="E465" s="8" t="s">
        <v>62</v>
      </c>
      <c r="F465" s="31">
        <f>_xlfn.XLOOKUP(Table2[[#This Row],[Shoe style]],val[SHOE STYLE],val[UNIT PRICE])</f>
        <v>11007</v>
      </c>
      <c r="H465" s="11">
        <v>1</v>
      </c>
      <c r="I465" s="6">
        <f>IF(Table2[[#This Row],[Discount]]&lt;(Table2[[#This Row],[UNIT PRICE]]*Table2[[#This Row],[Quantity sold]]),Table2[[#This Row],[UNIT PRICE]]*Table2[[#This Row],[Quantity sold]]-Table2[[#This Row],[Discount]],0)</f>
        <v>11007</v>
      </c>
      <c r="K465" s="2">
        <f>_xlfn.XLOOKUP(Table2[[#This Row],[Shoe style]],val[SHOE STYLE],val[COST PRICE])</f>
        <v>8327</v>
      </c>
      <c r="L465" s="2">
        <f>(Table2[[#This Row],[COST PRICE]]*Table2[[#This Row],[Quantity sold]])</f>
        <v>8327</v>
      </c>
      <c r="M465" s="2">
        <f>Table2[[#This Row],[TOTAL SALES]]-Table2[[#This Row],[TOTAL COST PRICE]]</f>
        <v>2680</v>
      </c>
      <c r="N465" s="2">
        <f>IF(Table2[[#This Row],[Amount Paid]]&gt;0,(SUMIF(Table2[Order ID],Table2[[#This Row],[Order ID]],Table2[Amount Paid])-SUMIF(Table2[Order ID],Table2[[#This Row],[Order ID]],Table2[TOTAL SALES])),0)</f>
        <v>0</v>
      </c>
      <c r="O465" s="8">
        <v>45</v>
      </c>
      <c r="P465" s="8" t="s">
        <v>25</v>
      </c>
      <c r="Q465" s="8" t="s">
        <v>16</v>
      </c>
      <c r="R465" s="8" t="s">
        <v>27</v>
      </c>
      <c r="S465" s="8" t="s">
        <v>28</v>
      </c>
      <c r="T465" s="8">
        <f t="shared" si="7"/>
        <v>0</v>
      </c>
      <c r="U465" t="str" cm="1">
        <f t="array" ref="U465">_xlfn.IFNA(_xlfn.IFS(Table2[[#This Row],[DEFICIT /SURPLUS]]&lt;0,"Deficit",Table2[[#This Row],[DEFICIT /SURPLUS]]&gt;0,"surplus"),"-")</f>
        <v>-</v>
      </c>
    </row>
    <row r="466" spans="1:21" ht="14.5">
      <c r="A466" s="8" t="s">
        <v>347</v>
      </c>
      <c r="B466" s="9">
        <v>45664</v>
      </c>
      <c r="C466" s="8" t="s">
        <v>22</v>
      </c>
      <c r="D466" s="8" t="s">
        <v>37</v>
      </c>
      <c r="E466" s="8" t="s">
        <v>50</v>
      </c>
      <c r="F466" s="31">
        <f>_xlfn.XLOOKUP(Table2[[#This Row],[Shoe style]],val[SHOE STYLE],val[UNIT PRICE])</f>
        <v>22728</v>
      </c>
      <c r="H466" s="11">
        <v>1</v>
      </c>
      <c r="I466" s="6">
        <f>IF(Table2[[#This Row],[Discount]]&lt;(Table2[[#This Row],[UNIT PRICE]]*Table2[[#This Row],[Quantity sold]]),Table2[[#This Row],[UNIT PRICE]]*Table2[[#This Row],[Quantity sold]]-Table2[[#This Row],[Discount]],0)</f>
        <v>22728</v>
      </c>
      <c r="J466" s="10">
        <v>37732</v>
      </c>
      <c r="K466" s="2">
        <f>_xlfn.XLOOKUP(Table2[[#This Row],[Shoe style]],val[SHOE STYLE],val[COST PRICE])</f>
        <v>20451</v>
      </c>
      <c r="L466" s="2">
        <f>(Table2[[#This Row],[COST PRICE]]*Table2[[#This Row],[Quantity sold]])</f>
        <v>20451</v>
      </c>
      <c r="M466" s="2">
        <f>Table2[[#This Row],[TOTAL SALES]]-Table2[[#This Row],[TOTAL COST PRICE]]</f>
        <v>2277</v>
      </c>
      <c r="N466" s="2">
        <f>IF(Table2[[#This Row],[Amount Paid]]&gt;0,(SUMIF(Table2[Order ID],Table2[[#This Row],[Order ID]],Table2[Amount Paid])-SUMIF(Table2[Order ID],Table2[[#This Row],[Order ID]],Table2[TOTAL SALES])),0)</f>
        <v>-7724</v>
      </c>
      <c r="O466" s="8">
        <v>40</v>
      </c>
      <c r="P466" s="8" t="s">
        <v>25</v>
      </c>
      <c r="Q466" s="8" t="s">
        <v>54</v>
      </c>
      <c r="R466" s="8" t="s">
        <v>44</v>
      </c>
      <c r="S466" s="8" t="s">
        <v>28</v>
      </c>
      <c r="T466" s="8">
        <f t="shared" si="7"/>
        <v>0</v>
      </c>
      <c r="U466" t="str" cm="1">
        <f t="array" ref="U466">_xlfn.IFNA(_xlfn.IFS(Table2[[#This Row],[DEFICIT /SURPLUS]]&lt;0,"Deficit",Table2[[#This Row],[DEFICIT /SURPLUS]]&gt;0,"surplus"),"-")</f>
        <v>Deficit</v>
      </c>
    </row>
    <row r="467" spans="1:21" ht="14.5">
      <c r="A467" s="8" t="s">
        <v>347</v>
      </c>
      <c r="B467" s="9">
        <v>45664</v>
      </c>
      <c r="C467" s="8" t="s">
        <v>22</v>
      </c>
      <c r="D467" s="8" t="s">
        <v>37</v>
      </c>
      <c r="E467" s="8" t="s">
        <v>55</v>
      </c>
      <c r="F467" s="31">
        <f>_xlfn.XLOOKUP(Table2[[#This Row],[Shoe style]],val[SHOE STYLE],val[UNIT PRICE])</f>
        <v>22728</v>
      </c>
      <c r="H467" s="11">
        <v>1</v>
      </c>
      <c r="I467" s="6">
        <f>IF(Table2[[#This Row],[Discount]]&lt;(Table2[[#This Row],[UNIT PRICE]]*Table2[[#This Row],[Quantity sold]]),Table2[[#This Row],[UNIT PRICE]]*Table2[[#This Row],[Quantity sold]]-Table2[[#This Row],[Discount]],0)</f>
        <v>22728</v>
      </c>
      <c r="K467" s="2">
        <f>_xlfn.XLOOKUP(Table2[[#This Row],[Shoe style]],val[SHOE STYLE],val[COST PRICE])</f>
        <v>20451</v>
      </c>
      <c r="L467" s="2">
        <f>(Table2[[#This Row],[COST PRICE]]*Table2[[#This Row],[Quantity sold]])</f>
        <v>20451</v>
      </c>
      <c r="M467" s="2">
        <f>Table2[[#This Row],[TOTAL SALES]]-Table2[[#This Row],[TOTAL COST PRICE]]</f>
        <v>2277</v>
      </c>
      <c r="N467" s="2">
        <f>IF(Table2[[#This Row],[Amount Paid]]&gt;0,(SUMIF(Table2[Order ID],Table2[[#This Row],[Order ID]],Table2[Amount Paid])-SUMIF(Table2[Order ID],Table2[[#This Row],[Order ID]],Table2[TOTAL SALES])),0)</f>
        <v>0</v>
      </c>
      <c r="O467" s="8">
        <v>40</v>
      </c>
      <c r="P467" s="8" t="s">
        <v>25</v>
      </c>
      <c r="Q467" s="8" t="s">
        <v>54</v>
      </c>
      <c r="R467" s="8" t="s">
        <v>44</v>
      </c>
      <c r="S467" s="8" t="s">
        <v>28</v>
      </c>
      <c r="T467" s="8">
        <f t="shared" si="7"/>
        <v>0</v>
      </c>
      <c r="U467" t="str" cm="1">
        <f t="array" ref="U467">_xlfn.IFNA(_xlfn.IFS(Table2[[#This Row],[DEFICIT /SURPLUS]]&lt;0,"Deficit",Table2[[#This Row],[DEFICIT /SURPLUS]]&gt;0,"surplus"),"-")</f>
        <v>-</v>
      </c>
    </row>
    <row r="468" spans="1:21" ht="14.5">
      <c r="A468" s="8" t="s">
        <v>348</v>
      </c>
      <c r="B468" s="9">
        <v>45665</v>
      </c>
      <c r="C468" s="8" t="s">
        <v>22</v>
      </c>
      <c r="D468" s="8" t="s">
        <v>37</v>
      </c>
      <c r="E468" s="8" t="s">
        <v>109</v>
      </c>
      <c r="F468" s="31">
        <f>_xlfn.XLOOKUP(Table2[[#This Row],[Shoe style]],val[SHOE STYLE],val[UNIT PRICE])</f>
        <v>22728</v>
      </c>
      <c r="H468" s="11">
        <v>1</v>
      </c>
      <c r="I468" s="6">
        <f>IF(Table2[[#This Row],[Discount]]&lt;(Table2[[#This Row],[UNIT PRICE]]*Table2[[#This Row],[Quantity sold]]),Table2[[#This Row],[UNIT PRICE]]*Table2[[#This Row],[Quantity sold]]-Table2[[#This Row],[Discount]],0)</f>
        <v>22728</v>
      </c>
      <c r="J468" s="10">
        <v>19500</v>
      </c>
      <c r="K468" s="2">
        <f>_xlfn.XLOOKUP(Table2[[#This Row],[Shoe style]],val[SHOE STYLE],val[COST PRICE])</f>
        <v>20451</v>
      </c>
      <c r="L468" s="2">
        <f>(Table2[[#This Row],[COST PRICE]]*Table2[[#This Row],[Quantity sold]])</f>
        <v>20451</v>
      </c>
      <c r="M468" s="2">
        <f>Table2[[#This Row],[TOTAL SALES]]-Table2[[#This Row],[TOTAL COST PRICE]]</f>
        <v>2277</v>
      </c>
      <c r="N468" s="2">
        <f>IF(Table2[[#This Row],[Amount Paid]]&gt;0,(SUMIF(Table2[Order ID],Table2[[#This Row],[Order ID]],Table2[Amount Paid])-SUMIF(Table2[Order ID],Table2[[#This Row],[Order ID]],Table2[TOTAL SALES])),0)</f>
        <v>-3228</v>
      </c>
      <c r="O468" s="8">
        <v>40</v>
      </c>
      <c r="P468" s="8" t="s">
        <v>25</v>
      </c>
      <c r="Q468" s="8" t="s">
        <v>26</v>
      </c>
      <c r="R468" s="8" t="s">
        <v>292</v>
      </c>
      <c r="S468" s="8" t="s">
        <v>28</v>
      </c>
      <c r="T468" s="8">
        <f t="shared" si="7"/>
        <v>0</v>
      </c>
      <c r="U468" t="str" cm="1">
        <f t="array" ref="U468">_xlfn.IFNA(_xlfn.IFS(Table2[[#This Row],[DEFICIT /SURPLUS]]&lt;0,"Deficit",Table2[[#This Row],[DEFICIT /SURPLUS]]&gt;0,"surplus"),"-")</f>
        <v>Deficit</v>
      </c>
    </row>
    <row r="469" spans="1:21" ht="14.5">
      <c r="A469" s="8" t="s">
        <v>349</v>
      </c>
      <c r="B469" s="9">
        <v>45665</v>
      </c>
      <c r="C469" s="8" t="s">
        <v>22</v>
      </c>
      <c r="D469" s="8" t="s">
        <v>68</v>
      </c>
      <c r="E469" s="8" t="s">
        <v>24</v>
      </c>
      <c r="F469" s="31">
        <f>_xlfn.XLOOKUP(Table2[[#This Row],[Shoe style]],val[SHOE STYLE],val[UNIT PRICE])</f>
        <v>10509</v>
      </c>
      <c r="H469" s="11">
        <v>1</v>
      </c>
      <c r="I469" s="6">
        <f>IF(Table2[[#This Row],[Discount]]&lt;(Table2[[#This Row],[UNIT PRICE]]*Table2[[#This Row],[Quantity sold]]),Table2[[#This Row],[UNIT PRICE]]*Table2[[#This Row],[Quantity sold]]-Table2[[#This Row],[Discount]],0)</f>
        <v>10509</v>
      </c>
      <c r="J469" s="10">
        <v>19500</v>
      </c>
      <c r="K469" s="2">
        <f>_xlfn.XLOOKUP(Table2[[#This Row],[Shoe style]],val[SHOE STYLE],val[COST PRICE])</f>
        <v>7573</v>
      </c>
      <c r="L469" s="2">
        <f>(Table2[[#This Row],[COST PRICE]]*Table2[[#This Row],[Quantity sold]])</f>
        <v>7573</v>
      </c>
      <c r="M469" s="2">
        <f>Table2[[#This Row],[TOTAL SALES]]-Table2[[#This Row],[TOTAL COST PRICE]]</f>
        <v>2936</v>
      </c>
      <c r="N469" s="2">
        <f>IF(Table2[[#This Row],[Amount Paid]]&gt;0,(SUMIF(Table2[Order ID],Table2[[#This Row],[Order ID]],Table2[Amount Paid])-SUMIF(Table2[Order ID],Table2[[#This Row],[Order ID]],Table2[TOTAL SALES])),0)</f>
        <v>8991</v>
      </c>
      <c r="O469" s="8">
        <v>39</v>
      </c>
      <c r="P469" s="8" t="s">
        <v>25</v>
      </c>
      <c r="Q469" s="8" t="s">
        <v>26</v>
      </c>
      <c r="R469" s="8" t="s">
        <v>292</v>
      </c>
      <c r="S469" s="8" t="s">
        <v>28</v>
      </c>
      <c r="T469" s="8">
        <f t="shared" si="7"/>
        <v>0</v>
      </c>
      <c r="U469" t="str" cm="1">
        <f t="array" ref="U469">_xlfn.IFNA(_xlfn.IFS(Table2[[#This Row],[DEFICIT /SURPLUS]]&lt;0,"Deficit",Table2[[#This Row],[DEFICIT /SURPLUS]]&gt;0,"surplus"),"-")</f>
        <v>surplus</v>
      </c>
    </row>
    <row r="470" spans="1:21" ht="14.5">
      <c r="A470" s="8" t="s">
        <v>350</v>
      </c>
      <c r="B470" s="9">
        <v>45665</v>
      </c>
      <c r="C470" s="8" t="s">
        <v>22</v>
      </c>
      <c r="D470" s="8" t="s">
        <v>68</v>
      </c>
      <c r="E470" s="8" t="s">
        <v>24</v>
      </c>
      <c r="F470" s="31">
        <f>_xlfn.XLOOKUP(Table2[[#This Row],[Shoe style]],val[SHOE STYLE],val[UNIT PRICE])</f>
        <v>10509</v>
      </c>
      <c r="H470" s="11">
        <v>1</v>
      </c>
      <c r="I470" s="6">
        <f>IF(Table2[[#This Row],[Discount]]&lt;(Table2[[#This Row],[UNIT PRICE]]*Table2[[#This Row],[Quantity sold]]),Table2[[#This Row],[UNIT PRICE]]*Table2[[#This Row],[Quantity sold]]-Table2[[#This Row],[Discount]],0)</f>
        <v>10509</v>
      </c>
      <c r="J470" s="10">
        <v>19500</v>
      </c>
      <c r="K470" s="2">
        <f>_xlfn.XLOOKUP(Table2[[#This Row],[Shoe style]],val[SHOE STYLE],val[COST PRICE])</f>
        <v>7573</v>
      </c>
      <c r="L470" s="2">
        <f>(Table2[[#This Row],[COST PRICE]]*Table2[[#This Row],[Quantity sold]])</f>
        <v>7573</v>
      </c>
      <c r="M470" s="2">
        <f>Table2[[#This Row],[TOTAL SALES]]-Table2[[#This Row],[TOTAL COST PRICE]]</f>
        <v>2936</v>
      </c>
      <c r="N470" s="2">
        <f>IF(Table2[[#This Row],[Amount Paid]]&gt;0,(SUMIF(Table2[Order ID],Table2[[#This Row],[Order ID]],Table2[Amount Paid])-SUMIF(Table2[Order ID],Table2[[#This Row],[Order ID]],Table2[TOTAL SALES])),0)</f>
        <v>8991</v>
      </c>
      <c r="O470" s="8">
        <v>39</v>
      </c>
      <c r="P470" s="8" t="s">
        <v>25</v>
      </c>
      <c r="Q470" s="8" t="s">
        <v>341</v>
      </c>
      <c r="R470" s="8" t="s">
        <v>27</v>
      </c>
      <c r="S470" s="8" t="s">
        <v>28</v>
      </c>
      <c r="T470" s="8">
        <f t="shared" si="7"/>
        <v>0</v>
      </c>
      <c r="U470" t="str" cm="1">
        <f t="array" ref="U470">_xlfn.IFNA(_xlfn.IFS(Table2[[#This Row],[DEFICIT /SURPLUS]]&lt;0,"Deficit",Table2[[#This Row],[DEFICIT /SURPLUS]]&gt;0,"surplus"),"-")</f>
        <v>surplus</v>
      </c>
    </row>
    <row r="471" spans="1:21" ht="14.5">
      <c r="A471" s="8" t="s">
        <v>351</v>
      </c>
      <c r="B471" s="9">
        <v>45666</v>
      </c>
      <c r="C471" s="8" t="s">
        <v>22</v>
      </c>
      <c r="D471" s="8" t="s">
        <v>29</v>
      </c>
      <c r="E471" s="8" t="s">
        <v>109</v>
      </c>
      <c r="F471" s="31">
        <f>_xlfn.XLOOKUP(Table2[[#This Row],[Shoe style]],val[SHOE STYLE],val[UNIT PRICE])</f>
        <v>12395</v>
      </c>
      <c r="H471" s="11">
        <v>1</v>
      </c>
      <c r="I471" s="6">
        <f>IF(Table2[[#This Row],[Discount]]&lt;(Table2[[#This Row],[UNIT PRICE]]*Table2[[#This Row],[Quantity sold]]),Table2[[#This Row],[UNIT PRICE]]*Table2[[#This Row],[Quantity sold]]-Table2[[#This Row],[Discount]],0)</f>
        <v>12395</v>
      </c>
      <c r="J471" s="10">
        <v>19500</v>
      </c>
      <c r="K471" s="2">
        <f>_xlfn.XLOOKUP(Table2[[#This Row],[Shoe style]],val[SHOE STYLE],val[COST PRICE])</f>
        <v>7909</v>
      </c>
      <c r="L471" s="2">
        <f>(Table2[[#This Row],[COST PRICE]]*Table2[[#This Row],[Quantity sold]])</f>
        <v>7909</v>
      </c>
      <c r="M471" s="2">
        <f>Table2[[#This Row],[TOTAL SALES]]-Table2[[#This Row],[TOTAL COST PRICE]]</f>
        <v>4486</v>
      </c>
      <c r="N471" s="2">
        <f>IF(Table2[[#This Row],[Amount Paid]]&gt;0,(SUMIF(Table2[Order ID],Table2[[#This Row],[Order ID]],Table2[Amount Paid])-SUMIF(Table2[Order ID],Table2[[#This Row],[Order ID]],Table2[TOTAL SALES])),0)</f>
        <v>7105</v>
      </c>
      <c r="O471" s="8">
        <v>39</v>
      </c>
      <c r="P471" s="8" t="s">
        <v>25</v>
      </c>
      <c r="Q471" s="8" t="s">
        <v>341</v>
      </c>
      <c r="R471" s="8" t="s">
        <v>27</v>
      </c>
      <c r="S471" s="8" t="s">
        <v>28</v>
      </c>
      <c r="T471" s="8">
        <f t="shared" si="7"/>
        <v>0</v>
      </c>
      <c r="U471" t="str" cm="1">
        <f t="array" ref="U471">_xlfn.IFNA(_xlfn.IFS(Table2[[#This Row],[DEFICIT /SURPLUS]]&lt;0,"Deficit",Table2[[#This Row],[DEFICIT /SURPLUS]]&gt;0,"surplus"),"-")</f>
        <v>surplus</v>
      </c>
    </row>
    <row r="472" spans="1:21" ht="14.5">
      <c r="A472" s="8" t="s">
        <v>352</v>
      </c>
      <c r="B472" s="9">
        <v>45666</v>
      </c>
      <c r="C472" s="8" t="s">
        <v>22</v>
      </c>
      <c r="D472" s="8" t="s">
        <v>57</v>
      </c>
      <c r="E472" s="8" t="s">
        <v>61</v>
      </c>
      <c r="F472" s="31">
        <f>_xlfn.XLOOKUP(Table2[[#This Row],[Shoe style]],val[SHOE STYLE],val[UNIT PRICE])</f>
        <v>10196</v>
      </c>
      <c r="H472" s="11">
        <v>1</v>
      </c>
      <c r="I472" s="6">
        <f>IF(Table2[[#This Row],[Discount]]&lt;(Table2[[#This Row],[UNIT PRICE]]*Table2[[#This Row],[Quantity sold]]),Table2[[#This Row],[UNIT PRICE]]*Table2[[#This Row],[Quantity sold]]-Table2[[#This Row],[Discount]],0)</f>
        <v>10196</v>
      </c>
      <c r="J472" s="10">
        <v>84200</v>
      </c>
      <c r="K472" s="2">
        <f>_xlfn.XLOOKUP(Table2[[#This Row],[Shoe style]],val[SHOE STYLE],val[COST PRICE])</f>
        <v>7050</v>
      </c>
      <c r="L472" s="2">
        <f>(Table2[[#This Row],[COST PRICE]]*Table2[[#This Row],[Quantity sold]])</f>
        <v>7050</v>
      </c>
      <c r="M472" s="2">
        <f>Table2[[#This Row],[TOTAL SALES]]-Table2[[#This Row],[TOTAL COST PRICE]]</f>
        <v>3146</v>
      </c>
      <c r="N472" s="2">
        <f>IF(Table2[[#This Row],[Amount Paid]]&gt;0,(SUMIF(Table2[Order ID],Table2[[#This Row],[Order ID]],Table2[Amount Paid])-SUMIF(Table2[Order ID],Table2[[#This Row],[Order ID]],Table2[TOTAL SALES])),0)</f>
        <v>53612</v>
      </c>
      <c r="O472" s="8">
        <v>40</v>
      </c>
      <c r="P472" s="8" t="s">
        <v>25</v>
      </c>
      <c r="Q472" s="8" t="s">
        <v>54</v>
      </c>
      <c r="R472" s="8" t="s">
        <v>27</v>
      </c>
      <c r="S472" s="8" t="s">
        <v>28</v>
      </c>
      <c r="T472" s="8">
        <f t="shared" si="7"/>
        <v>0</v>
      </c>
      <c r="U472" t="str" cm="1">
        <f t="array" ref="U472">_xlfn.IFNA(_xlfn.IFS(Table2[[#This Row],[DEFICIT /SURPLUS]]&lt;0,"Deficit",Table2[[#This Row],[DEFICIT /SURPLUS]]&gt;0,"surplus"),"-")</f>
        <v>surplus</v>
      </c>
    </row>
    <row r="473" spans="1:21" ht="14.5">
      <c r="A473" s="8" t="s">
        <v>352</v>
      </c>
      <c r="B473" s="9">
        <v>45666</v>
      </c>
      <c r="C473" s="8" t="s">
        <v>22</v>
      </c>
      <c r="D473" s="8" t="s">
        <v>57</v>
      </c>
      <c r="E473" s="8" t="s">
        <v>43</v>
      </c>
      <c r="F473" s="31">
        <f>_xlfn.XLOOKUP(Table2[[#This Row],[Shoe style]],val[SHOE STYLE],val[UNIT PRICE])</f>
        <v>10196</v>
      </c>
      <c r="H473" s="11">
        <v>1</v>
      </c>
      <c r="I473" s="6">
        <f>IF(Table2[[#This Row],[Discount]]&lt;(Table2[[#This Row],[UNIT PRICE]]*Table2[[#This Row],[Quantity sold]]),Table2[[#This Row],[UNIT PRICE]]*Table2[[#This Row],[Quantity sold]]-Table2[[#This Row],[Discount]],0)</f>
        <v>10196</v>
      </c>
      <c r="K473" s="2">
        <f>_xlfn.XLOOKUP(Table2[[#This Row],[Shoe style]],val[SHOE STYLE],val[COST PRICE])</f>
        <v>7050</v>
      </c>
      <c r="L473" s="2">
        <f>(Table2[[#This Row],[COST PRICE]]*Table2[[#This Row],[Quantity sold]])</f>
        <v>7050</v>
      </c>
      <c r="M473" s="2">
        <f>Table2[[#This Row],[TOTAL SALES]]-Table2[[#This Row],[TOTAL COST PRICE]]</f>
        <v>3146</v>
      </c>
      <c r="N473" s="2">
        <f>IF(Table2[[#This Row],[Amount Paid]]&gt;0,(SUMIF(Table2[Order ID],Table2[[#This Row],[Order ID]],Table2[Amount Paid])-SUMIF(Table2[Order ID],Table2[[#This Row],[Order ID]],Table2[TOTAL SALES])),0)</f>
        <v>0</v>
      </c>
      <c r="O473" s="8">
        <v>40</v>
      </c>
      <c r="P473" s="8" t="s">
        <v>25</v>
      </c>
      <c r="Q473" s="8" t="s">
        <v>54</v>
      </c>
      <c r="R473" s="8" t="s">
        <v>27</v>
      </c>
      <c r="S473" s="8" t="s">
        <v>28</v>
      </c>
      <c r="T473" s="8">
        <f t="shared" si="7"/>
        <v>0</v>
      </c>
      <c r="U473" t="str" cm="1">
        <f t="array" ref="U473">_xlfn.IFNA(_xlfn.IFS(Table2[[#This Row],[DEFICIT /SURPLUS]]&lt;0,"Deficit",Table2[[#This Row],[DEFICIT /SURPLUS]]&gt;0,"surplus"),"-")</f>
        <v>-</v>
      </c>
    </row>
    <row r="474" spans="1:21" ht="14.5">
      <c r="A474" s="8" t="s">
        <v>352</v>
      </c>
      <c r="B474" s="9">
        <v>45666</v>
      </c>
      <c r="C474" s="8" t="s">
        <v>22</v>
      </c>
      <c r="D474" s="8" t="s">
        <v>57</v>
      </c>
      <c r="E474" s="8" t="s">
        <v>61</v>
      </c>
      <c r="F474" s="31">
        <f>_xlfn.XLOOKUP(Table2[[#This Row],[Shoe style]],val[SHOE STYLE],val[UNIT PRICE])</f>
        <v>10196</v>
      </c>
      <c r="H474" s="11">
        <v>1</v>
      </c>
      <c r="I474" s="6">
        <f>IF(Table2[[#This Row],[Discount]]&lt;(Table2[[#This Row],[UNIT PRICE]]*Table2[[#This Row],[Quantity sold]]),Table2[[#This Row],[UNIT PRICE]]*Table2[[#This Row],[Quantity sold]]-Table2[[#This Row],[Discount]],0)</f>
        <v>10196</v>
      </c>
      <c r="K474" s="2">
        <f>_xlfn.XLOOKUP(Table2[[#This Row],[Shoe style]],val[SHOE STYLE],val[COST PRICE])</f>
        <v>7050</v>
      </c>
      <c r="L474" s="2">
        <f>(Table2[[#This Row],[COST PRICE]]*Table2[[#This Row],[Quantity sold]])</f>
        <v>7050</v>
      </c>
      <c r="M474" s="2">
        <f>Table2[[#This Row],[TOTAL SALES]]-Table2[[#This Row],[TOTAL COST PRICE]]</f>
        <v>3146</v>
      </c>
      <c r="N474" s="2">
        <f>IF(Table2[[#This Row],[Amount Paid]]&gt;0,(SUMIF(Table2[Order ID],Table2[[#This Row],[Order ID]],Table2[Amount Paid])-SUMIF(Table2[Order ID],Table2[[#This Row],[Order ID]],Table2[TOTAL SALES])),0)</f>
        <v>0</v>
      </c>
      <c r="O474" s="8">
        <v>40</v>
      </c>
      <c r="P474" s="8" t="s">
        <v>25</v>
      </c>
      <c r="Q474" s="8" t="s">
        <v>54</v>
      </c>
      <c r="R474" s="8" t="s">
        <v>27</v>
      </c>
      <c r="S474" s="8" t="s">
        <v>28</v>
      </c>
      <c r="T474" s="8">
        <f t="shared" si="7"/>
        <v>0</v>
      </c>
      <c r="U474" t="str" cm="1">
        <f t="array" ref="U474">_xlfn.IFNA(_xlfn.IFS(Table2[[#This Row],[DEFICIT /SURPLUS]]&lt;0,"Deficit",Table2[[#This Row],[DEFICIT /SURPLUS]]&gt;0,"surplus"),"-")</f>
        <v>-</v>
      </c>
    </row>
    <row r="475" spans="1:21" ht="14.5">
      <c r="A475" s="8" t="s">
        <v>353</v>
      </c>
      <c r="B475" s="9">
        <v>45666</v>
      </c>
      <c r="C475" s="8" t="s">
        <v>22</v>
      </c>
      <c r="D475" s="8" t="s">
        <v>68</v>
      </c>
      <c r="E475" s="8" t="s">
        <v>109</v>
      </c>
      <c r="F475" s="31">
        <f>_xlfn.XLOOKUP(Table2[[#This Row],[Shoe style]],val[SHOE STYLE],val[UNIT PRICE])</f>
        <v>10509</v>
      </c>
      <c r="H475" s="11">
        <v>1</v>
      </c>
      <c r="I475" s="6">
        <f>IF(Table2[[#This Row],[Discount]]&lt;(Table2[[#This Row],[UNIT PRICE]]*Table2[[#This Row],[Quantity sold]]),Table2[[#This Row],[UNIT PRICE]]*Table2[[#This Row],[Quantity sold]]-Table2[[#This Row],[Discount]],0)</f>
        <v>10509</v>
      </c>
      <c r="J475" s="10">
        <v>64000</v>
      </c>
      <c r="K475" s="2">
        <f>_xlfn.XLOOKUP(Table2[[#This Row],[Shoe style]],val[SHOE STYLE],val[COST PRICE])</f>
        <v>7573</v>
      </c>
      <c r="L475" s="2">
        <f>(Table2[[#This Row],[COST PRICE]]*Table2[[#This Row],[Quantity sold]])</f>
        <v>7573</v>
      </c>
      <c r="M475" s="2">
        <f>Table2[[#This Row],[TOTAL SALES]]-Table2[[#This Row],[TOTAL COST PRICE]]</f>
        <v>2936</v>
      </c>
      <c r="N475" s="2">
        <f>IF(Table2[[#This Row],[Amount Paid]]&gt;0,(SUMIF(Table2[Order ID],Table2[[#This Row],[Order ID]],Table2[Amount Paid])-SUMIF(Table2[Order ID],Table2[[#This Row],[Order ID]],Table2[TOTAL SALES])),0)</f>
        <v>10474</v>
      </c>
      <c r="O475" s="8">
        <v>40</v>
      </c>
      <c r="P475" s="8" t="s">
        <v>25</v>
      </c>
      <c r="Q475" s="8" t="s">
        <v>195</v>
      </c>
      <c r="R475" s="8" t="s">
        <v>27</v>
      </c>
      <c r="S475" s="8" t="s">
        <v>28</v>
      </c>
      <c r="T475" s="8">
        <f t="shared" si="7"/>
        <v>0</v>
      </c>
      <c r="U475" t="str" cm="1">
        <f t="array" ref="U475">_xlfn.IFNA(_xlfn.IFS(Table2[[#This Row],[DEFICIT /SURPLUS]]&lt;0,"Deficit",Table2[[#This Row],[DEFICIT /SURPLUS]]&gt;0,"surplus"),"-")</f>
        <v>surplus</v>
      </c>
    </row>
    <row r="476" spans="1:21" ht="14.5">
      <c r="A476" s="8" t="s">
        <v>353</v>
      </c>
      <c r="B476" s="9">
        <v>45666</v>
      </c>
      <c r="C476" s="8" t="s">
        <v>22</v>
      </c>
      <c r="D476" s="8" t="s">
        <v>49</v>
      </c>
      <c r="E476" s="8" t="s">
        <v>50</v>
      </c>
      <c r="F476" s="31">
        <f>_xlfn.XLOOKUP(Table2[[#This Row],[Shoe style]],val[SHOE STYLE],val[UNIT PRICE])</f>
        <v>20500</v>
      </c>
      <c r="H476" s="11">
        <v>1</v>
      </c>
      <c r="I476" s="6">
        <f>IF(Table2[[#This Row],[Discount]]&lt;(Table2[[#This Row],[UNIT PRICE]]*Table2[[#This Row],[Quantity sold]]),Table2[[#This Row],[UNIT PRICE]]*Table2[[#This Row],[Quantity sold]]-Table2[[#This Row],[Discount]],0)</f>
        <v>20500</v>
      </c>
      <c r="K476" s="2">
        <f>_xlfn.XLOOKUP(Table2[[#This Row],[Shoe style]],val[SHOE STYLE],val[COST PRICE])</f>
        <v>17339</v>
      </c>
      <c r="L476" s="2">
        <f>(Table2[[#This Row],[COST PRICE]]*Table2[[#This Row],[Quantity sold]])</f>
        <v>17339</v>
      </c>
      <c r="M476" s="2">
        <f>Table2[[#This Row],[TOTAL SALES]]-Table2[[#This Row],[TOTAL COST PRICE]]</f>
        <v>3161</v>
      </c>
      <c r="N476" s="2">
        <f>IF(Table2[[#This Row],[Amount Paid]]&gt;0,(SUMIF(Table2[Order ID],Table2[[#This Row],[Order ID]],Table2[Amount Paid])-SUMIF(Table2[Order ID],Table2[[#This Row],[Order ID]],Table2[TOTAL SALES])),0)</f>
        <v>0</v>
      </c>
      <c r="O476" s="8">
        <v>40</v>
      </c>
      <c r="P476" s="8" t="s">
        <v>25</v>
      </c>
      <c r="Q476" s="8" t="s">
        <v>195</v>
      </c>
      <c r="R476" s="8" t="s">
        <v>27</v>
      </c>
      <c r="S476" s="8" t="s">
        <v>28</v>
      </c>
      <c r="T476" s="8">
        <f t="shared" si="7"/>
        <v>0</v>
      </c>
      <c r="U476" t="str" cm="1">
        <f t="array" ref="U476">_xlfn.IFNA(_xlfn.IFS(Table2[[#This Row],[DEFICIT /SURPLUS]]&lt;0,"Deficit",Table2[[#This Row],[DEFICIT /SURPLUS]]&gt;0,"surplus"),"-")</f>
        <v>-</v>
      </c>
    </row>
    <row r="477" spans="1:21" ht="14.5">
      <c r="A477" s="8" t="s">
        <v>353</v>
      </c>
      <c r="B477" s="9">
        <v>45666</v>
      </c>
      <c r="C477" s="8" t="s">
        <v>22</v>
      </c>
      <c r="D477" s="8" t="s">
        <v>140</v>
      </c>
      <c r="E477" s="8" t="s">
        <v>43</v>
      </c>
      <c r="F477" s="31">
        <f>_xlfn.XLOOKUP(Table2[[#This Row],[Shoe style]],val[SHOE STYLE],val[UNIT PRICE])</f>
        <v>22517</v>
      </c>
      <c r="H477" s="11">
        <v>1</v>
      </c>
      <c r="I477" s="6">
        <f>IF(Table2[[#This Row],[Discount]]&lt;(Table2[[#This Row],[UNIT PRICE]]*Table2[[#This Row],[Quantity sold]]),Table2[[#This Row],[UNIT PRICE]]*Table2[[#This Row],[Quantity sold]]-Table2[[#This Row],[Discount]],0)</f>
        <v>22517</v>
      </c>
      <c r="K477" s="2">
        <f>_xlfn.XLOOKUP(Table2[[#This Row],[Shoe style]],val[SHOE STYLE],val[COST PRICE])</f>
        <v>18931</v>
      </c>
      <c r="L477" s="2">
        <f>(Table2[[#This Row],[COST PRICE]]*Table2[[#This Row],[Quantity sold]])</f>
        <v>18931</v>
      </c>
      <c r="M477" s="2">
        <f>Table2[[#This Row],[TOTAL SALES]]-Table2[[#This Row],[TOTAL COST PRICE]]</f>
        <v>3586</v>
      </c>
      <c r="N477" s="2">
        <f>IF(Table2[[#This Row],[Amount Paid]]&gt;0,(SUMIF(Table2[Order ID],Table2[[#This Row],[Order ID]],Table2[Amount Paid])-SUMIF(Table2[Order ID],Table2[[#This Row],[Order ID]],Table2[TOTAL SALES])),0)</f>
        <v>0</v>
      </c>
      <c r="O477" s="8">
        <v>40</v>
      </c>
      <c r="P477" s="8" t="s">
        <v>25</v>
      </c>
      <c r="Q477" s="8" t="s">
        <v>195</v>
      </c>
      <c r="R477" s="8" t="s">
        <v>27</v>
      </c>
      <c r="S477" s="8" t="s">
        <v>28</v>
      </c>
      <c r="T477" s="8">
        <f t="shared" si="7"/>
        <v>0</v>
      </c>
      <c r="U477" t="str" cm="1">
        <f t="array" ref="U477">_xlfn.IFNA(_xlfn.IFS(Table2[[#This Row],[DEFICIT /SURPLUS]]&lt;0,"Deficit",Table2[[#This Row],[DEFICIT /SURPLUS]]&gt;0,"surplus"),"-")</f>
        <v>-</v>
      </c>
    </row>
    <row r="478" spans="1:21" ht="14.5">
      <c r="A478" s="8" t="s">
        <v>354</v>
      </c>
      <c r="B478" s="9">
        <v>45667</v>
      </c>
      <c r="C478" s="8" t="s">
        <v>22</v>
      </c>
      <c r="D478" s="8" t="s">
        <v>49</v>
      </c>
      <c r="E478" s="8" t="s">
        <v>78</v>
      </c>
      <c r="F478" s="31">
        <f>_xlfn.XLOOKUP(Table2[[#This Row],[Shoe style]],val[SHOE STYLE],val[UNIT PRICE])</f>
        <v>20500</v>
      </c>
      <c r="H478" s="11">
        <v>1</v>
      </c>
      <c r="I478" s="6">
        <f>IF(Table2[[#This Row],[Discount]]&lt;(Table2[[#This Row],[UNIT PRICE]]*Table2[[#This Row],[Quantity sold]]),Table2[[#This Row],[UNIT PRICE]]*Table2[[#This Row],[Quantity sold]]-Table2[[#This Row],[Discount]],0)</f>
        <v>20500</v>
      </c>
      <c r="J478" s="10">
        <v>46225</v>
      </c>
      <c r="K478" s="2">
        <f>_xlfn.XLOOKUP(Table2[[#This Row],[Shoe style]],val[SHOE STYLE],val[COST PRICE])</f>
        <v>17339</v>
      </c>
      <c r="L478" s="2">
        <f>(Table2[[#This Row],[COST PRICE]]*Table2[[#This Row],[Quantity sold]])</f>
        <v>17339</v>
      </c>
      <c r="M478" s="2">
        <f>Table2[[#This Row],[TOTAL SALES]]-Table2[[#This Row],[TOTAL COST PRICE]]</f>
        <v>3161</v>
      </c>
      <c r="N478" s="2">
        <f>IF(Table2[[#This Row],[Amount Paid]]&gt;0,(SUMIF(Table2[Order ID],Table2[[#This Row],[Order ID]],Table2[Amount Paid])-SUMIF(Table2[Order ID],Table2[[#This Row],[Order ID]],Table2[TOTAL SALES])),0)</f>
        <v>5225</v>
      </c>
      <c r="O478" s="8">
        <v>42</v>
      </c>
      <c r="P478" s="8" t="s">
        <v>25</v>
      </c>
      <c r="Q478" s="8" t="s">
        <v>54</v>
      </c>
      <c r="R478" s="8" t="s">
        <v>44</v>
      </c>
      <c r="S478" s="8" t="s">
        <v>28</v>
      </c>
      <c r="T478" s="8">
        <f t="shared" si="7"/>
        <v>0</v>
      </c>
      <c r="U478" t="str" cm="1">
        <f t="array" ref="U478">_xlfn.IFNA(_xlfn.IFS(Table2[[#This Row],[DEFICIT /SURPLUS]]&lt;0,"Deficit",Table2[[#This Row],[DEFICIT /SURPLUS]]&gt;0,"surplus"),"-")</f>
        <v>surplus</v>
      </c>
    </row>
    <row r="479" spans="1:21" ht="14.5">
      <c r="A479" s="8" t="s">
        <v>354</v>
      </c>
      <c r="B479" s="9">
        <v>45667</v>
      </c>
      <c r="C479" s="8" t="s">
        <v>22</v>
      </c>
      <c r="D479" s="8" t="s">
        <v>49</v>
      </c>
      <c r="E479" s="8" t="s">
        <v>78</v>
      </c>
      <c r="F479" s="31">
        <f>_xlfn.XLOOKUP(Table2[[#This Row],[Shoe style]],val[SHOE STYLE],val[UNIT PRICE])</f>
        <v>20500</v>
      </c>
      <c r="H479" s="11">
        <v>1</v>
      </c>
      <c r="I479" s="6">
        <f>IF(Table2[[#This Row],[Discount]]&lt;(Table2[[#This Row],[UNIT PRICE]]*Table2[[#This Row],[Quantity sold]]),Table2[[#This Row],[UNIT PRICE]]*Table2[[#This Row],[Quantity sold]]-Table2[[#This Row],[Discount]],0)</f>
        <v>20500</v>
      </c>
      <c r="K479" s="2">
        <f>_xlfn.XLOOKUP(Table2[[#This Row],[Shoe style]],val[SHOE STYLE],val[COST PRICE])</f>
        <v>17339</v>
      </c>
      <c r="L479" s="2">
        <f>(Table2[[#This Row],[COST PRICE]]*Table2[[#This Row],[Quantity sold]])</f>
        <v>17339</v>
      </c>
      <c r="M479" s="2">
        <f>Table2[[#This Row],[TOTAL SALES]]-Table2[[#This Row],[TOTAL COST PRICE]]</f>
        <v>3161</v>
      </c>
      <c r="N479" s="2">
        <f>IF(Table2[[#This Row],[Amount Paid]]&gt;0,(SUMIF(Table2[Order ID],Table2[[#This Row],[Order ID]],Table2[Amount Paid])-SUMIF(Table2[Order ID],Table2[[#This Row],[Order ID]],Table2[TOTAL SALES])),0)</f>
        <v>0</v>
      </c>
      <c r="O479" s="8">
        <v>42</v>
      </c>
      <c r="P479" s="8" t="s">
        <v>25</v>
      </c>
      <c r="Q479" s="8" t="s">
        <v>54</v>
      </c>
      <c r="R479" s="8" t="s">
        <v>44</v>
      </c>
      <c r="S479" s="8" t="s">
        <v>28</v>
      </c>
      <c r="T479" s="8">
        <f t="shared" si="7"/>
        <v>0</v>
      </c>
      <c r="U479" t="str" cm="1">
        <f t="array" ref="U479">_xlfn.IFNA(_xlfn.IFS(Table2[[#This Row],[DEFICIT /SURPLUS]]&lt;0,"Deficit",Table2[[#This Row],[DEFICIT /SURPLUS]]&gt;0,"surplus"),"-")</f>
        <v>-</v>
      </c>
    </row>
    <row r="480" spans="1:21" ht="14.5">
      <c r="A480" s="8" t="s">
        <v>355</v>
      </c>
      <c r="B480" s="9">
        <v>45667</v>
      </c>
      <c r="C480" s="8" t="s">
        <v>22</v>
      </c>
      <c r="D480" s="8" t="s">
        <v>29</v>
      </c>
      <c r="E480" s="8" t="s">
        <v>24</v>
      </c>
      <c r="F480" s="31">
        <f>_xlfn.XLOOKUP(Table2[[#This Row],[Shoe style]],val[SHOE STYLE],val[UNIT PRICE])</f>
        <v>12395</v>
      </c>
      <c r="H480" s="11">
        <v>1</v>
      </c>
      <c r="I480" s="6">
        <f>IF(Table2[[#This Row],[Discount]]&lt;(Table2[[#This Row],[UNIT PRICE]]*Table2[[#This Row],[Quantity sold]]),Table2[[#This Row],[UNIT PRICE]]*Table2[[#This Row],[Quantity sold]]-Table2[[#This Row],[Discount]],0)</f>
        <v>12395</v>
      </c>
      <c r="J480" s="10">
        <v>20962.5</v>
      </c>
      <c r="K480" s="2">
        <f>_xlfn.XLOOKUP(Table2[[#This Row],[Shoe style]],val[SHOE STYLE],val[COST PRICE])</f>
        <v>7909</v>
      </c>
      <c r="L480" s="2">
        <f>(Table2[[#This Row],[COST PRICE]]*Table2[[#This Row],[Quantity sold]])</f>
        <v>7909</v>
      </c>
      <c r="M480" s="2">
        <f>Table2[[#This Row],[TOTAL SALES]]-Table2[[#This Row],[TOTAL COST PRICE]]</f>
        <v>4486</v>
      </c>
      <c r="N480" s="2">
        <f>IF(Table2[[#This Row],[Amount Paid]]&gt;0,(SUMIF(Table2[Order ID],Table2[[#This Row],[Order ID]],Table2[Amount Paid])-SUMIF(Table2[Order ID],Table2[[#This Row],[Order ID]],Table2[TOTAL SALES])),0)</f>
        <v>8567.5</v>
      </c>
      <c r="O480" s="8">
        <v>39</v>
      </c>
      <c r="P480" s="8" t="s">
        <v>25</v>
      </c>
      <c r="Q480" s="8" t="s">
        <v>54</v>
      </c>
      <c r="R480" s="8" t="s">
        <v>44</v>
      </c>
      <c r="S480" s="8" t="s">
        <v>28</v>
      </c>
      <c r="T480" s="8">
        <f t="shared" si="7"/>
        <v>0</v>
      </c>
      <c r="U480" t="str" cm="1">
        <f t="array" ref="U480">_xlfn.IFNA(_xlfn.IFS(Table2[[#This Row],[DEFICIT /SURPLUS]]&lt;0,"Deficit",Table2[[#This Row],[DEFICIT /SURPLUS]]&gt;0,"surplus"),"-")</f>
        <v>surplus</v>
      </c>
    </row>
    <row r="481" spans="1:21" ht="14.5">
      <c r="A481" s="8" t="s">
        <v>356</v>
      </c>
      <c r="B481" s="9">
        <v>45667</v>
      </c>
      <c r="C481" s="8" t="s">
        <v>22</v>
      </c>
      <c r="D481" s="8" t="s">
        <v>29</v>
      </c>
      <c r="E481" s="8" t="s">
        <v>30</v>
      </c>
      <c r="F481" s="31">
        <f>_xlfn.XLOOKUP(Table2[[#This Row],[Shoe style]],val[SHOE STYLE],val[UNIT PRICE])</f>
        <v>12395</v>
      </c>
      <c r="H481" s="11">
        <v>1</v>
      </c>
      <c r="I481" s="6">
        <f>IF(Table2[[#This Row],[Discount]]&lt;(Table2[[#This Row],[UNIT PRICE]]*Table2[[#This Row],[Quantity sold]]),Table2[[#This Row],[UNIT PRICE]]*Table2[[#This Row],[Quantity sold]]-Table2[[#This Row],[Discount]],0)</f>
        <v>12395</v>
      </c>
      <c r="J481" s="10">
        <v>93300</v>
      </c>
      <c r="K481" s="2">
        <f>_xlfn.XLOOKUP(Table2[[#This Row],[Shoe style]],val[SHOE STYLE],val[COST PRICE])</f>
        <v>7909</v>
      </c>
      <c r="L481" s="2">
        <f>(Table2[[#This Row],[COST PRICE]]*Table2[[#This Row],[Quantity sold]])</f>
        <v>7909</v>
      </c>
      <c r="M481" s="2">
        <f>Table2[[#This Row],[TOTAL SALES]]-Table2[[#This Row],[TOTAL COST PRICE]]</f>
        <v>4486</v>
      </c>
      <c r="N481" s="2">
        <f>IF(Table2[[#This Row],[Amount Paid]]&gt;0,(SUMIF(Table2[Order ID],Table2[[#This Row],[Order ID]],Table2[Amount Paid])-SUMIF(Table2[Order ID],Table2[[#This Row],[Order ID]],Table2[TOTAL SALES])),0)</f>
        <v>33119</v>
      </c>
      <c r="O481" s="8">
        <v>40</v>
      </c>
      <c r="P481" s="8" t="s">
        <v>25</v>
      </c>
      <c r="Q481" s="8" t="s">
        <v>54</v>
      </c>
      <c r="R481" s="8" t="s">
        <v>27</v>
      </c>
      <c r="S481" s="8" t="s">
        <v>28</v>
      </c>
      <c r="T481" s="8">
        <f t="shared" si="7"/>
        <v>0</v>
      </c>
      <c r="U481" t="str" cm="1">
        <f t="array" ref="U481">_xlfn.IFNA(_xlfn.IFS(Table2[[#This Row],[DEFICIT /SURPLUS]]&lt;0,"Deficit",Table2[[#This Row],[DEFICIT /SURPLUS]]&gt;0,"surplus"),"-")</f>
        <v>surplus</v>
      </c>
    </row>
    <row r="482" spans="1:21" ht="14.5">
      <c r="A482" s="8" t="s">
        <v>356</v>
      </c>
      <c r="B482" s="9">
        <v>45667</v>
      </c>
      <c r="C482" s="8" t="s">
        <v>22</v>
      </c>
      <c r="D482" s="8" t="s">
        <v>37</v>
      </c>
      <c r="E482" s="8" t="s">
        <v>55</v>
      </c>
      <c r="F482" s="31">
        <f>_xlfn.XLOOKUP(Table2[[#This Row],[Shoe style]],val[SHOE STYLE],val[UNIT PRICE])</f>
        <v>22728</v>
      </c>
      <c r="H482" s="11">
        <v>1</v>
      </c>
      <c r="I482" s="6">
        <f>IF(Table2[[#This Row],[Discount]]&lt;(Table2[[#This Row],[UNIT PRICE]]*Table2[[#This Row],[Quantity sold]]),Table2[[#This Row],[UNIT PRICE]]*Table2[[#This Row],[Quantity sold]]-Table2[[#This Row],[Discount]],0)</f>
        <v>22728</v>
      </c>
      <c r="K482" s="2">
        <f>_xlfn.XLOOKUP(Table2[[#This Row],[Shoe style]],val[SHOE STYLE],val[COST PRICE])</f>
        <v>20451</v>
      </c>
      <c r="L482" s="2">
        <f>(Table2[[#This Row],[COST PRICE]]*Table2[[#This Row],[Quantity sold]])</f>
        <v>20451</v>
      </c>
      <c r="M482" s="2">
        <f>Table2[[#This Row],[TOTAL SALES]]-Table2[[#This Row],[TOTAL COST PRICE]]</f>
        <v>2277</v>
      </c>
      <c r="N482" s="2">
        <f>IF(Table2[[#This Row],[Amount Paid]]&gt;0,(SUMIF(Table2[Order ID],Table2[[#This Row],[Order ID]],Table2[Amount Paid])-SUMIF(Table2[Order ID],Table2[[#This Row],[Order ID]],Table2[TOTAL SALES])),0)</f>
        <v>0</v>
      </c>
      <c r="O482" s="8">
        <v>40</v>
      </c>
      <c r="P482" s="8" t="s">
        <v>25</v>
      </c>
      <c r="Q482" s="8" t="s">
        <v>54</v>
      </c>
      <c r="R482" s="8" t="s">
        <v>27</v>
      </c>
      <c r="S482" s="8" t="s">
        <v>28</v>
      </c>
      <c r="T482" s="8">
        <f t="shared" si="7"/>
        <v>0</v>
      </c>
      <c r="U482" t="str" cm="1">
        <f t="array" ref="U482">_xlfn.IFNA(_xlfn.IFS(Table2[[#This Row],[DEFICIT /SURPLUS]]&lt;0,"Deficit",Table2[[#This Row],[DEFICIT /SURPLUS]]&gt;0,"surplus"),"-")</f>
        <v>-</v>
      </c>
    </row>
    <row r="483" spans="1:21" ht="14.5">
      <c r="A483" s="8" t="s">
        <v>356</v>
      </c>
      <c r="B483" s="9">
        <v>45667</v>
      </c>
      <c r="C483" s="8" t="s">
        <v>22</v>
      </c>
      <c r="D483" s="8" t="s">
        <v>357</v>
      </c>
      <c r="E483" s="8" t="s">
        <v>62</v>
      </c>
      <c r="F483" s="31">
        <f>_xlfn.XLOOKUP(Table2[[#This Row],[Shoe style]],val[SHOE STYLE],val[UNIT PRICE])</f>
        <v>14862</v>
      </c>
      <c r="H483" s="11">
        <v>1</v>
      </c>
      <c r="I483" s="6">
        <f>IF(Table2[[#This Row],[Discount]]&lt;(Table2[[#This Row],[UNIT PRICE]]*Table2[[#This Row],[Quantity sold]]),Table2[[#This Row],[UNIT PRICE]]*Table2[[#This Row],[Quantity sold]]-Table2[[#This Row],[Discount]],0)</f>
        <v>14862</v>
      </c>
      <c r="K483" s="2">
        <f>_xlfn.XLOOKUP(Table2[[#This Row],[Shoe style]],val[SHOE STYLE],val[COST PRICE])</f>
        <v>10157</v>
      </c>
      <c r="L483" s="2">
        <f>(Table2[[#This Row],[COST PRICE]]*Table2[[#This Row],[Quantity sold]])</f>
        <v>10157</v>
      </c>
      <c r="M483" s="2">
        <f>Table2[[#This Row],[TOTAL SALES]]-Table2[[#This Row],[TOTAL COST PRICE]]</f>
        <v>4705</v>
      </c>
      <c r="N483" s="2">
        <f>IF(Table2[[#This Row],[Amount Paid]]&gt;0,(SUMIF(Table2[Order ID],Table2[[#This Row],[Order ID]],Table2[Amount Paid])-SUMIF(Table2[Order ID],Table2[[#This Row],[Order ID]],Table2[TOTAL SALES])),0)</f>
        <v>0</v>
      </c>
      <c r="O483" s="8">
        <v>40</v>
      </c>
      <c r="P483" s="8" t="s">
        <v>25</v>
      </c>
      <c r="Q483" s="8" t="s">
        <v>54</v>
      </c>
      <c r="R483" s="8" t="s">
        <v>27</v>
      </c>
      <c r="S483" s="8" t="s">
        <v>28</v>
      </c>
      <c r="T483" s="8">
        <f t="shared" si="7"/>
        <v>0</v>
      </c>
      <c r="U483" t="str" cm="1">
        <f t="array" ref="U483">_xlfn.IFNA(_xlfn.IFS(Table2[[#This Row],[DEFICIT /SURPLUS]]&lt;0,"Deficit",Table2[[#This Row],[DEFICIT /SURPLUS]]&gt;0,"surplus"),"-")</f>
        <v>-</v>
      </c>
    </row>
    <row r="484" spans="1:21" ht="14.5">
      <c r="A484" s="8" t="s">
        <v>356</v>
      </c>
      <c r="B484" s="9">
        <v>45667</v>
      </c>
      <c r="C484" s="8" t="s">
        <v>22</v>
      </c>
      <c r="D484" s="8" t="s">
        <v>57</v>
      </c>
      <c r="E484" s="8" t="s">
        <v>30</v>
      </c>
      <c r="F484" s="31">
        <f>_xlfn.XLOOKUP(Table2[[#This Row],[Shoe style]],val[SHOE STYLE],val[UNIT PRICE])</f>
        <v>10196</v>
      </c>
      <c r="H484" s="11">
        <v>1</v>
      </c>
      <c r="I484" s="6">
        <f>IF(Table2[[#This Row],[Discount]]&lt;(Table2[[#This Row],[UNIT PRICE]]*Table2[[#This Row],[Quantity sold]]),Table2[[#This Row],[UNIT PRICE]]*Table2[[#This Row],[Quantity sold]]-Table2[[#This Row],[Discount]],0)</f>
        <v>10196</v>
      </c>
      <c r="K484" s="2">
        <f>_xlfn.XLOOKUP(Table2[[#This Row],[Shoe style]],val[SHOE STYLE],val[COST PRICE])</f>
        <v>7050</v>
      </c>
      <c r="L484" s="2">
        <f>(Table2[[#This Row],[COST PRICE]]*Table2[[#This Row],[Quantity sold]])</f>
        <v>7050</v>
      </c>
      <c r="M484" s="2">
        <f>Table2[[#This Row],[TOTAL SALES]]-Table2[[#This Row],[TOTAL COST PRICE]]</f>
        <v>3146</v>
      </c>
      <c r="N484" s="2">
        <f>IF(Table2[[#This Row],[Amount Paid]]&gt;0,(SUMIF(Table2[Order ID],Table2[[#This Row],[Order ID]],Table2[Amount Paid])-SUMIF(Table2[Order ID],Table2[[#This Row],[Order ID]],Table2[TOTAL SALES])),0)</f>
        <v>0</v>
      </c>
      <c r="O484" s="8">
        <v>40</v>
      </c>
      <c r="P484" s="8" t="s">
        <v>25</v>
      </c>
      <c r="Q484" s="8" t="s">
        <v>54</v>
      </c>
      <c r="R484" s="8" t="s">
        <v>27</v>
      </c>
      <c r="S484" s="8" t="s">
        <v>28</v>
      </c>
      <c r="T484" s="8">
        <f t="shared" si="7"/>
        <v>0</v>
      </c>
      <c r="U484" t="str" cm="1">
        <f t="array" ref="U484">_xlfn.IFNA(_xlfn.IFS(Table2[[#This Row],[DEFICIT /SURPLUS]]&lt;0,"Deficit",Table2[[#This Row],[DEFICIT /SURPLUS]]&gt;0,"surplus"),"-")</f>
        <v>-</v>
      </c>
    </row>
    <row r="485" spans="1:21" ht="14.5">
      <c r="A485" s="8" t="s">
        <v>358</v>
      </c>
      <c r="B485" s="9">
        <v>45670</v>
      </c>
      <c r="C485" s="8" t="s">
        <v>22</v>
      </c>
      <c r="D485" s="8" t="s">
        <v>53</v>
      </c>
      <c r="E485" s="8" t="s">
        <v>261</v>
      </c>
      <c r="F485" s="31">
        <f>_xlfn.XLOOKUP(Table2[[#This Row],[Shoe style]],val[SHOE STYLE],val[UNIT PRICE])</f>
        <v>9838</v>
      </c>
      <c r="H485" s="11">
        <v>1</v>
      </c>
      <c r="I485" s="6">
        <f>IF(Table2[[#This Row],[Discount]]&lt;(Table2[[#This Row],[UNIT PRICE]]*Table2[[#This Row],[Quantity sold]]),Table2[[#This Row],[UNIT PRICE]]*Table2[[#This Row],[Quantity sold]]-Table2[[#This Row],[Discount]],0)</f>
        <v>9838</v>
      </c>
      <c r="J485" s="10">
        <v>22500</v>
      </c>
      <c r="K485" s="2">
        <f>_xlfn.XLOOKUP(Table2[[#This Row],[Shoe style]],val[SHOE STYLE],val[COST PRICE])</f>
        <v>6687</v>
      </c>
      <c r="L485" s="2">
        <f>(Table2[[#This Row],[COST PRICE]]*Table2[[#This Row],[Quantity sold]])</f>
        <v>6687</v>
      </c>
      <c r="M485" s="2">
        <f>Table2[[#This Row],[TOTAL SALES]]-Table2[[#This Row],[TOTAL COST PRICE]]</f>
        <v>3151</v>
      </c>
      <c r="N485" s="2">
        <f>IF(Table2[[#This Row],[Amount Paid]]&gt;0,(SUMIF(Table2[Order ID],Table2[[#This Row],[Order ID]],Table2[Amount Paid])-SUMIF(Table2[Order ID],Table2[[#This Row],[Order ID]],Table2[TOTAL SALES])),0)</f>
        <v>12662</v>
      </c>
      <c r="O485" s="8">
        <v>38</v>
      </c>
      <c r="P485" s="8" t="s">
        <v>25</v>
      </c>
      <c r="Q485" s="8" t="s">
        <v>26</v>
      </c>
      <c r="R485" s="8" t="s">
        <v>292</v>
      </c>
      <c r="S485" s="8" t="s">
        <v>28</v>
      </c>
      <c r="T485" s="8">
        <f t="shared" si="7"/>
        <v>0</v>
      </c>
      <c r="U485" t="str" cm="1">
        <f t="array" ref="U485">_xlfn.IFNA(_xlfn.IFS(Table2[[#This Row],[DEFICIT /SURPLUS]]&lt;0,"Deficit",Table2[[#This Row],[DEFICIT /SURPLUS]]&gt;0,"surplus"),"-")</f>
        <v>surplus</v>
      </c>
    </row>
    <row r="486" spans="1:21" ht="14.5">
      <c r="A486" s="8" t="s">
        <v>359</v>
      </c>
      <c r="B486" s="9">
        <v>45670</v>
      </c>
      <c r="C486" s="8" t="s">
        <v>22</v>
      </c>
      <c r="D486" s="8" t="s">
        <v>49</v>
      </c>
      <c r="E486" s="8" t="s">
        <v>63</v>
      </c>
      <c r="F486" s="31">
        <f>_xlfn.XLOOKUP(Table2[[#This Row],[Shoe style]],val[SHOE STYLE],val[UNIT PRICE])</f>
        <v>20500</v>
      </c>
      <c r="H486" s="11">
        <v>1</v>
      </c>
      <c r="I486" s="6">
        <f>IF(Table2[[#This Row],[Discount]]&lt;(Table2[[#This Row],[UNIT PRICE]]*Table2[[#This Row],[Quantity sold]]),Table2[[#This Row],[UNIT PRICE]]*Table2[[#This Row],[Quantity sold]]-Table2[[#This Row],[Discount]],0)</f>
        <v>20500</v>
      </c>
      <c r="J486" s="10">
        <v>58000</v>
      </c>
      <c r="K486" s="2">
        <f>_xlfn.XLOOKUP(Table2[[#This Row],[Shoe style]],val[SHOE STYLE],val[COST PRICE])</f>
        <v>17339</v>
      </c>
      <c r="L486" s="2">
        <f>(Table2[[#This Row],[COST PRICE]]*Table2[[#This Row],[Quantity sold]])</f>
        <v>17339</v>
      </c>
      <c r="M486" s="2">
        <f>Table2[[#This Row],[TOTAL SALES]]-Table2[[#This Row],[TOTAL COST PRICE]]</f>
        <v>3161</v>
      </c>
      <c r="N486" s="2">
        <f>IF(Table2[[#This Row],[Amount Paid]]&gt;0,(SUMIF(Table2[Order ID],Table2[[#This Row],[Order ID]],Table2[Amount Paid])-SUMIF(Table2[Order ID],Table2[[#This Row],[Order ID]],Table2[TOTAL SALES])),0)</f>
        <v>14596</v>
      </c>
      <c r="O486" s="8">
        <v>40</v>
      </c>
      <c r="P486" s="8" t="s">
        <v>25</v>
      </c>
      <c r="Q486" s="8" t="s">
        <v>195</v>
      </c>
      <c r="R486" s="8" t="s">
        <v>292</v>
      </c>
      <c r="S486" s="8" t="s">
        <v>28</v>
      </c>
      <c r="T486" s="8">
        <f t="shared" si="7"/>
        <v>0</v>
      </c>
      <c r="U486" t="str" cm="1">
        <f t="array" ref="U486">_xlfn.IFNA(_xlfn.IFS(Table2[[#This Row],[DEFICIT /SURPLUS]]&lt;0,"Deficit",Table2[[#This Row],[DEFICIT /SURPLUS]]&gt;0,"surplus"),"-")</f>
        <v>surplus</v>
      </c>
    </row>
    <row r="487" spans="1:21" ht="14.5">
      <c r="A487" s="8" t="s">
        <v>359</v>
      </c>
      <c r="B487" s="9">
        <v>45670</v>
      </c>
      <c r="C487" s="8" t="s">
        <v>22</v>
      </c>
      <c r="D487" s="8" t="s">
        <v>68</v>
      </c>
      <c r="E487" s="8" t="s">
        <v>43</v>
      </c>
      <c r="F487" s="31">
        <f>_xlfn.XLOOKUP(Table2[[#This Row],[Shoe style]],val[SHOE STYLE],val[UNIT PRICE])</f>
        <v>10509</v>
      </c>
      <c r="H487" s="11">
        <v>1</v>
      </c>
      <c r="I487" s="6">
        <f>IF(Table2[[#This Row],[Discount]]&lt;(Table2[[#This Row],[UNIT PRICE]]*Table2[[#This Row],[Quantity sold]]),Table2[[#This Row],[UNIT PRICE]]*Table2[[#This Row],[Quantity sold]]-Table2[[#This Row],[Discount]],0)</f>
        <v>10509</v>
      </c>
      <c r="K487" s="2">
        <f>_xlfn.XLOOKUP(Table2[[#This Row],[Shoe style]],val[SHOE STYLE],val[COST PRICE])</f>
        <v>7573</v>
      </c>
      <c r="L487" s="2">
        <f>(Table2[[#This Row],[COST PRICE]]*Table2[[#This Row],[Quantity sold]])</f>
        <v>7573</v>
      </c>
      <c r="M487" s="2">
        <f>Table2[[#This Row],[TOTAL SALES]]-Table2[[#This Row],[TOTAL COST PRICE]]</f>
        <v>2936</v>
      </c>
      <c r="N487" s="2">
        <f>IF(Table2[[#This Row],[Amount Paid]]&gt;0,(SUMIF(Table2[Order ID],Table2[[#This Row],[Order ID]],Table2[Amount Paid])-SUMIF(Table2[Order ID],Table2[[#This Row],[Order ID]],Table2[TOTAL SALES])),0)</f>
        <v>0</v>
      </c>
      <c r="O487" s="8">
        <v>39</v>
      </c>
      <c r="P487" s="8" t="s">
        <v>25</v>
      </c>
      <c r="Q487" s="8" t="s">
        <v>195</v>
      </c>
      <c r="R487" s="8" t="s">
        <v>292</v>
      </c>
      <c r="S487" s="8" t="s">
        <v>28</v>
      </c>
      <c r="T487" s="8">
        <f t="shared" si="7"/>
        <v>0</v>
      </c>
      <c r="U487" t="str" cm="1">
        <f t="array" ref="U487">_xlfn.IFNA(_xlfn.IFS(Table2[[#This Row],[DEFICIT /SURPLUS]]&lt;0,"Deficit",Table2[[#This Row],[DEFICIT /SURPLUS]]&gt;0,"surplus"),"-")</f>
        <v>-</v>
      </c>
    </row>
    <row r="488" spans="1:21" ht="14.5">
      <c r="A488" s="8" t="s">
        <v>359</v>
      </c>
      <c r="B488" s="9">
        <v>45670</v>
      </c>
      <c r="C488" s="8" t="s">
        <v>22</v>
      </c>
      <c r="D488" s="8" t="s">
        <v>29</v>
      </c>
      <c r="E488" s="8" t="s">
        <v>87</v>
      </c>
      <c r="F488" s="31">
        <f>_xlfn.XLOOKUP(Table2[[#This Row],[Shoe style]],val[SHOE STYLE],val[UNIT PRICE])</f>
        <v>12395</v>
      </c>
      <c r="H488" s="11">
        <v>1</v>
      </c>
      <c r="I488" s="6">
        <f>IF(Table2[[#This Row],[Discount]]&lt;(Table2[[#This Row],[UNIT PRICE]]*Table2[[#This Row],[Quantity sold]]),Table2[[#This Row],[UNIT PRICE]]*Table2[[#This Row],[Quantity sold]]-Table2[[#This Row],[Discount]],0)</f>
        <v>12395</v>
      </c>
      <c r="K488" s="2">
        <f>_xlfn.XLOOKUP(Table2[[#This Row],[Shoe style]],val[SHOE STYLE],val[COST PRICE])</f>
        <v>7909</v>
      </c>
      <c r="L488" s="2">
        <f>(Table2[[#This Row],[COST PRICE]]*Table2[[#This Row],[Quantity sold]])</f>
        <v>7909</v>
      </c>
      <c r="M488" s="2">
        <f>Table2[[#This Row],[TOTAL SALES]]-Table2[[#This Row],[TOTAL COST PRICE]]</f>
        <v>4486</v>
      </c>
      <c r="N488" s="2">
        <f>IF(Table2[[#This Row],[Amount Paid]]&gt;0,(SUMIF(Table2[Order ID],Table2[[#This Row],[Order ID]],Table2[Amount Paid])-SUMIF(Table2[Order ID],Table2[[#This Row],[Order ID]],Table2[TOTAL SALES])),0)</f>
        <v>0</v>
      </c>
      <c r="O488" s="8">
        <v>40</v>
      </c>
      <c r="P488" s="8" t="s">
        <v>25</v>
      </c>
      <c r="Q488" s="8" t="s">
        <v>195</v>
      </c>
      <c r="R488" s="8" t="s">
        <v>292</v>
      </c>
      <c r="S488" s="8" t="s">
        <v>28</v>
      </c>
      <c r="T488" s="8">
        <f t="shared" si="7"/>
        <v>0</v>
      </c>
      <c r="U488" t="str" cm="1">
        <f t="array" ref="U488">_xlfn.IFNA(_xlfn.IFS(Table2[[#This Row],[DEFICIT /SURPLUS]]&lt;0,"Deficit",Table2[[#This Row],[DEFICIT /SURPLUS]]&gt;0,"surplus"),"-")</f>
        <v>-</v>
      </c>
    </row>
    <row r="489" spans="1:21" ht="14.5">
      <c r="A489" s="8" t="s">
        <v>360</v>
      </c>
      <c r="B489" s="9">
        <v>45670</v>
      </c>
      <c r="C489" s="8" t="s">
        <v>22</v>
      </c>
      <c r="D489" s="8" t="s">
        <v>53</v>
      </c>
      <c r="E489" s="8" t="s">
        <v>261</v>
      </c>
      <c r="F489" s="31">
        <f>_xlfn.XLOOKUP(Table2[[#This Row],[Shoe style]],val[SHOE STYLE],val[UNIT PRICE])</f>
        <v>9838</v>
      </c>
      <c r="H489" s="11">
        <v>1</v>
      </c>
      <c r="I489" s="6">
        <f>IF(Table2[[#This Row],[Discount]]&lt;(Table2[[#This Row],[UNIT PRICE]]*Table2[[#This Row],[Quantity sold]]),Table2[[#This Row],[UNIT PRICE]]*Table2[[#This Row],[Quantity sold]]-Table2[[#This Row],[Discount]],0)</f>
        <v>9838</v>
      </c>
      <c r="J489" s="10">
        <v>28272.5</v>
      </c>
      <c r="K489" s="2">
        <f>_xlfn.XLOOKUP(Table2[[#This Row],[Shoe style]],val[SHOE STYLE],val[COST PRICE])</f>
        <v>6687</v>
      </c>
      <c r="L489" s="2">
        <f>(Table2[[#This Row],[COST PRICE]]*Table2[[#This Row],[Quantity sold]])</f>
        <v>6687</v>
      </c>
      <c r="M489" s="2">
        <f>Table2[[#This Row],[TOTAL SALES]]-Table2[[#This Row],[TOTAL COST PRICE]]</f>
        <v>3151</v>
      </c>
      <c r="N489" s="2">
        <f>IF(Table2[[#This Row],[Amount Paid]]&gt;0,(SUMIF(Table2[Order ID],Table2[[#This Row],[Order ID]],Table2[Amount Paid])-SUMIF(Table2[Order ID],Table2[[#This Row],[Order ID]],Table2[TOTAL SALES])),0)</f>
        <v>18434.5</v>
      </c>
      <c r="O489" s="8">
        <v>38</v>
      </c>
      <c r="P489" s="8" t="s">
        <v>25</v>
      </c>
      <c r="Q489" s="8" t="s">
        <v>54</v>
      </c>
      <c r="R489" s="8" t="s">
        <v>292</v>
      </c>
      <c r="S489" s="8" t="s">
        <v>28</v>
      </c>
      <c r="T489" s="8">
        <f t="shared" si="7"/>
        <v>0</v>
      </c>
      <c r="U489" t="str" cm="1">
        <f t="array" ref="U489">_xlfn.IFNA(_xlfn.IFS(Table2[[#This Row],[DEFICIT /SURPLUS]]&lt;0,"Deficit",Table2[[#This Row],[DEFICIT /SURPLUS]]&gt;0,"surplus"),"-")</f>
        <v>surplus</v>
      </c>
    </row>
    <row r="490" spans="1:21" ht="14.5">
      <c r="A490" s="8" t="s">
        <v>361</v>
      </c>
      <c r="B490" s="9">
        <v>45672</v>
      </c>
      <c r="C490" s="8" t="s">
        <v>22</v>
      </c>
      <c r="D490" s="8" t="s">
        <v>29</v>
      </c>
      <c r="E490" s="8" t="s">
        <v>89</v>
      </c>
      <c r="F490" s="31">
        <f>_xlfn.XLOOKUP(Table2[[#This Row],[Shoe style]],val[SHOE STYLE],val[UNIT PRICE])</f>
        <v>12395</v>
      </c>
      <c r="H490" s="11">
        <v>1</v>
      </c>
      <c r="I490" s="6">
        <f>IF(Table2[[#This Row],[Discount]]&lt;(Table2[[#This Row],[UNIT PRICE]]*Table2[[#This Row],[Quantity sold]]),Table2[[#This Row],[UNIT PRICE]]*Table2[[#This Row],[Quantity sold]]-Table2[[#This Row],[Discount]],0)</f>
        <v>12395</v>
      </c>
      <c r="J490" s="10">
        <v>83000</v>
      </c>
      <c r="K490" s="2">
        <f>_xlfn.XLOOKUP(Table2[[#This Row],[Shoe style]],val[SHOE STYLE],val[COST PRICE])</f>
        <v>7909</v>
      </c>
      <c r="L490" s="2">
        <f>(Table2[[#This Row],[COST PRICE]]*Table2[[#This Row],[Quantity sold]])</f>
        <v>7909</v>
      </c>
      <c r="M490" s="2">
        <f>Table2[[#This Row],[TOTAL SALES]]-Table2[[#This Row],[TOTAL COST PRICE]]</f>
        <v>4486</v>
      </c>
      <c r="N490" s="2">
        <f>IF(Table2[[#This Row],[Amount Paid]]&gt;0,(SUMIF(Table2[Order ID],Table2[[#This Row],[Order ID]],Table2[Amount Paid])-SUMIF(Table2[Order ID],Table2[[#This Row],[Order ID]],Table2[TOTAL SALES])),0)</f>
        <v>7225</v>
      </c>
      <c r="O490" s="8">
        <v>40</v>
      </c>
      <c r="P490" s="8" t="s">
        <v>25</v>
      </c>
      <c r="Q490" s="8" t="s">
        <v>26</v>
      </c>
      <c r="R490" s="8" t="s">
        <v>292</v>
      </c>
      <c r="S490" s="8" t="s">
        <v>28</v>
      </c>
      <c r="T490" s="8">
        <f t="shared" si="7"/>
        <v>0</v>
      </c>
      <c r="U490" t="str" cm="1">
        <f t="array" ref="U490">_xlfn.IFNA(_xlfn.IFS(Table2[[#This Row],[DEFICIT /SURPLUS]]&lt;0,"Deficit",Table2[[#This Row],[DEFICIT /SURPLUS]]&gt;0,"surplus"),"-")</f>
        <v>surplus</v>
      </c>
    </row>
    <row r="491" spans="1:21" ht="14.5">
      <c r="A491" s="8" t="s">
        <v>361</v>
      </c>
      <c r="B491" s="9">
        <v>45672</v>
      </c>
      <c r="C491" s="8" t="s">
        <v>22</v>
      </c>
      <c r="D491" s="8" t="s">
        <v>29</v>
      </c>
      <c r="E491" s="8" t="s">
        <v>109</v>
      </c>
      <c r="F491" s="31">
        <f>_xlfn.XLOOKUP(Table2[[#This Row],[Shoe style]],val[SHOE STYLE],val[UNIT PRICE])</f>
        <v>12395</v>
      </c>
      <c r="H491" s="11">
        <v>1</v>
      </c>
      <c r="I491" s="6">
        <f>IF(Table2[[#This Row],[Discount]]&lt;(Table2[[#This Row],[UNIT PRICE]]*Table2[[#This Row],[Quantity sold]]),Table2[[#This Row],[UNIT PRICE]]*Table2[[#This Row],[Quantity sold]]-Table2[[#This Row],[Discount]],0)</f>
        <v>12395</v>
      </c>
      <c r="K491" s="2">
        <f>_xlfn.XLOOKUP(Table2[[#This Row],[Shoe style]],val[SHOE STYLE],val[COST PRICE])</f>
        <v>7909</v>
      </c>
      <c r="L491" s="2">
        <f>(Table2[[#This Row],[COST PRICE]]*Table2[[#This Row],[Quantity sold]])</f>
        <v>7909</v>
      </c>
      <c r="M491" s="2">
        <f>Table2[[#This Row],[TOTAL SALES]]-Table2[[#This Row],[TOTAL COST PRICE]]</f>
        <v>4486</v>
      </c>
      <c r="N491" s="2">
        <f>IF(Table2[[#This Row],[Amount Paid]]&gt;0,(SUMIF(Table2[Order ID],Table2[[#This Row],[Order ID]],Table2[Amount Paid])-SUMIF(Table2[Order ID],Table2[[#This Row],[Order ID]],Table2[TOTAL SALES])),0)</f>
        <v>0</v>
      </c>
      <c r="O491" s="8">
        <v>40</v>
      </c>
      <c r="P491" s="8" t="s">
        <v>25</v>
      </c>
      <c r="Q491" s="8" t="s">
        <v>26</v>
      </c>
      <c r="R491" s="8" t="s">
        <v>292</v>
      </c>
      <c r="S491" s="8" t="s">
        <v>28</v>
      </c>
      <c r="T491" s="8">
        <f t="shared" si="7"/>
        <v>0</v>
      </c>
      <c r="U491" t="str" cm="1">
        <f t="array" ref="U491">_xlfn.IFNA(_xlfn.IFS(Table2[[#This Row],[DEFICIT /SURPLUS]]&lt;0,"Deficit",Table2[[#This Row],[DEFICIT /SURPLUS]]&gt;0,"surplus"),"-")</f>
        <v>-</v>
      </c>
    </row>
    <row r="492" spans="1:21" ht="14.5">
      <c r="A492" s="8" t="s">
        <v>361</v>
      </c>
      <c r="B492" s="9">
        <v>45672</v>
      </c>
      <c r="C492" s="8" t="s">
        <v>22</v>
      </c>
      <c r="D492" s="8" t="s">
        <v>29</v>
      </c>
      <c r="E492" s="8" t="s">
        <v>235</v>
      </c>
      <c r="F492" s="31">
        <f>_xlfn.XLOOKUP(Table2[[#This Row],[Shoe style]],val[SHOE STYLE],val[UNIT PRICE])</f>
        <v>12395</v>
      </c>
      <c r="H492" s="11">
        <v>1</v>
      </c>
      <c r="I492" s="6">
        <f>IF(Table2[[#This Row],[Discount]]&lt;(Table2[[#This Row],[UNIT PRICE]]*Table2[[#This Row],[Quantity sold]]),Table2[[#This Row],[UNIT PRICE]]*Table2[[#This Row],[Quantity sold]]-Table2[[#This Row],[Discount]],0)</f>
        <v>12395</v>
      </c>
      <c r="K492" s="2">
        <f>_xlfn.XLOOKUP(Table2[[#This Row],[Shoe style]],val[SHOE STYLE],val[COST PRICE])</f>
        <v>7909</v>
      </c>
      <c r="L492" s="2">
        <f>(Table2[[#This Row],[COST PRICE]]*Table2[[#This Row],[Quantity sold]])</f>
        <v>7909</v>
      </c>
      <c r="M492" s="2">
        <f>Table2[[#This Row],[TOTAL SALES]]-Table2[[#This Row],[TOTAL COST PRICE]]</f>
        <v>4486</v>
      </c>
      <c r="N492" s="2">
        <f>IF(Table2[[#This Row],[Amount Paid]]&gt;0,(SUMIF(Table2[Order ID],Table2[[#This Row],[Order ID]],Table2[Amount Paid])-SUMIF(Table2[Order ID],Table2[[#This Row],[Order ID]],Table2[TOTAL SALES])),0)</f>
        <v>0</v>
      </c>
      <c r="O492" s="8">
        <v>40</v>
      </c>
      <c r="P492" s="8" t="s">
        <v>25</v>
      </c>
      <c r="Q492" s="8" t="s">
        <v>26</v>
      </c>
      <c r="R492" s="8" t="s">
        <v>292</v>
      </c>
      <c r="S492" s="8" t="s">
        <v>28</v>
      </c>
      <c r="T492" s="8">
        <f t="shared" si="7"/>
        <v>0</v>
      </c>
      <c r="U492" t="str" cm="1">
        <f t="array" ref="U492">_xlfn.IFNA(_xlfn.IFS(Table2[[#This Row],[DEFICIT /SURPLUS]]&lt;0,"Deficit",Table2[[#This Row],[DEFICIT /SURPLUS]]&gt;0,"surplus"),"-")</f>
        <v>-</v>
      </c>
    </row>
    <row r="493" spans="1:21" ht="14.5">
      <c r="A493" s="8" t="s">
        <v>361</v>
      </c>
      <c r="B493" s="9">
        <v>45672</v>
      </c>
      <c r="C493" s="8" t="s">
        <v>22</v>
      </c>
      <c r="D493" s="8" t="s">
        <v>32</v>
      </c>
      <c r="E493" s="8" t="s">
        <v>40</v>
      </c>
      <c r="F493" s="31">
        <f>_xlfn.XLOOKUP(Table2[[#This Row],[Shoe style]],val[SHOE STYLE],val[UNIT PRICE])</f>
        <v>19295</v>
      </c>
      <c r="H493" s="11">
        <v>1</v>
      </c>
      <c r="I493" s="6">
        <f>IF(Table2[[#This Row],[Discount]]&lt;(Table2[[#This Row],[UNIT PRICE]]*Table2[[#This Row],[Quantity sold]]),Table2[[#This Row],[UNIT PRICE]]*Table2[[#This Row],[Quantity sold]]-Table2[[#This Row],[Discount]],0)</f>
        <v>19295</v>
      </c>
      <c r="K493" s="2">
        <f>_xlfn.XLOOKUP(Table2[[#This Row],[Shoe style]],val[SHOE STYLE],val[COST PRICE])</f>
        <v>16705</v>
      </c>
      <c r="L493" s="2">
        <f>(Table2[[#This Row],[COST PRICE]]*Table2[[#This Row],[Quantity sold]])</f>
        <v>16705</v>
      </c>
      <c r="M493" s="2">
        <f>Table2[[#This Row],[TOTAL SALES]]-Table2[[#This Row],[TOTAL COST PRICE]]</f>
        <v>2590</v>
      </c>
      <c r="N493" s="2">
        <f>IF(Table2[[#This Row],[Amount Paid]]&gt;0,(SUMIF(Table2[Order ID],Table2[[#This Row],[Order ID]],Table2[Amount Paid])-SUMIF(Table2[Order ID],Table2[[#This Row],[Order ID]],Table2[TOTAL SALES])),0)</f>
        <v>0</v>
      </c>
      <c r="O493" s="8">
        <v>40</v>
      </c>
      <c r="P493" s="8" t="s">
        <v>25</v>
      </c>
      <c r="Q493" s="8" t="s">
        <v>26</v>
      </c>
      <c r="R493" s="8" t="s">
        <v>292</v>
      </c>
      <c r="S493" s="8" t="s">
        <v>28</v>
      </c>
      <c r="T493" s="8">
        <f t="shared" si="7"/>
        <v>0</v>
      </c>
      <c r="U493" t="str" cm="1">
        <f t="array" ref="U493">_xlfn.IFNA(_xlfn.IFS(Table2[[#This Row],[DEFICIT /SURPLUS]]&lt;0,"Deficit",Table2[[#This Row],[DEFICIT /SURPLUS]]&gt;0,"surplus"),"-")</f>
        <v>-</v>
      </c>
    </row>
    <row r="494" spans="1:21" ht="14.5">
      <c r="A494" s="8" t="s">
        <v>361</v>
      </c>
      <c r="B494" s="9">
        <v>45672</v>
      </c>
      <c r="C494" s="8" t="s">
        <v>22</v>
      </c>
      <c r="D494" s="8" t="s">
        <v>32</v>
      </c>
      <c r="E494" s="8" t="s">
        <v>24</v>
      </c>
      <c r="F494" s="31">
        <f>_xlfn.XLOOKUP(Table2[[#This Row],[Shoe style]],val[SHOE STYLE],val[UNIT PRICE])</f>
        <v>19295</v>
      </c>
      <c r="H494" s="11">
        <v>1</v>
      </c>
      <c r="I494" s="6">
        <f>IF(Table2[[#This Row],[Discount]]&lt;(Table2[[#This Row],[UNIT PRICE]]*Table2[[#This Row],[Quantity sold]]),Table2[[#This Row],[UNIT PRICE]]*Table2[[#This Row],[Quantity sold]]-Table2[[#This Row],[Discount]],0)</f>
        <v>19295</v>
      </c>
      <c r="K494" s="2">
        <f>_xlfn.XLOOKUP(Table2[[#This Row],[Shoe style]],val[SHOE STYLE],val[COST PRICE])</f>
        <v>16705</v>
      </c>
      <c r="L494" s="2">
        <f>(Table2[[#This Row],[COST PRICE]]*Table2[[#This Row],[Quantity sold]])</f>
        <v>16705</v>
      </c>
      <c r="M494" s="2">
        <f>Table2[[#This Row],[TOTAL SALES]]-Table2[[#This Row],[TOTAL COST PRICE]]</f>
        <v>2590</v>
      </c>
      <c r="N494" s="2">
        <f>IF(Table2[[#This Row],[Amount Paid]]&gt;0,(SUMIF(Table2[Order ID],Table2[[#This Row],[Order ID]],Table2[Amount Paid])-SUMIF(Table2[Order ID],Table2[[#This Row],[Order ID]],Table2[TOTAL SALES])),0)</f>
        <v>0</v>
      </c>
      <c r="O494" s="8">
        <v>40</v>
      </c>
      <c r="P494" s="8" t="s">
        <v>25</v>
      </c>
      <c r="Q494" s="8" t="s">
        <v>26</v>
      </c>
      <c r="R494" s="8" t="s">
        <v>292</v>
      </c>
      <c r="S494" s="8" t="s">
        <v>28</v>
      </c>
      <c r="T494" s="8">
        <f t="shared" si="7"/>
        <v>0</v>
      </c>
      <c r="U494" t="str" cm="1">
        <f t="array" ref="U494">_xlfn.IFNA(_xlfn.IFS(Table2[[#This Row],[DEFICIT /SURPLUS]]&lt;0,"Deficit",Table2[[#This Row],[DEFICIT /SURPLUS]]&gt;0,"surplus"),"-")</f>
        <v>-</v>
      </c>
    </row>
    <row r="495" spans="1:21" ht="14.5">
      <c r="A495" s="8" t="s">
        <v>362</v>
      </c>
      <c r="B495" s="9">
        <v>45673</v>
      </c>
      <c r="C495" s="8" t="s">
        <v>22</v>
      </c>
      <c r="D495" s="8" t="s">
        <v>37</v>
      </c>
      <c r="E495" s="8" t="s">
        <v>237</v>
      </c>
      <c r="F495" s="31">
        <f>_xlfn.XLOOKUP(Table2[[#This Row],[Shoe style]],val[SHOE STYLE],val[UNIT PRICE])</f>
        <v>22728</v>
      </c>
      <c r="H495" s="11">
        <v>1</v>
      </c>
      <c r="I495" s="6">
        <f>IF(Table2[[#This Row],[Discount]]&lt;(Table2[[#This Row],[UNIT PRICE]]*Table2[[#This Row],[Quantity sold]]),Table2[[#This Row],[UNIT PRICE]]*Table2[[#This Row],[Quantity sold]]-Table2[[#This Row],[Discount]],0)</f>
        <v>22728</v>
      </c>
      <c r="J495" s="10">
        <v>23000</v>
      </c>
      <c r="K495" s="2">
        <f>_xlfn.XLOOKUP(Table2[[#This Row],[Shoe style]],val[SHOE STYLE],val[COST PRICE])</f>
        <v>20451</v>
      </c>
      <c r="L495" s="2">
        <f>(Table2[[#This Row],[COST PRICE]]*Table2[[#This Row],[Quantity sold]])</f>
        <v>20451</v>
      </c>
      <c r="M495" s="2">
        <f>Table2[[#This Row],[TOTAL SALES]]-Table2[[#This Row],[TOTAL COST PRICE]]</f>
        <v>2277</v>
      </c>
      <c r="N495" s="2">
        <f>IF(Table2[[#This Row],[Amount Paid]]&gt;0,(SUMIF(Table2[Order ID],Table2[[#This Row],[Order ID]],Table2[Amount Paid])-SUMIF(Table2[Order ID],Table2[[#This Row],[Order ID]],Table2[TOTAL SALES])),0)</f>
        <v>272</v>
      </c>
      <c r="O495" s="8">
        <v>37</v>
      </c>
      <c r="P495" s="8" t="s">
        <v>25</v>
      </c>
      <c r="Q495" s="8" t="s">
        <v>341</v>
      </c>
      <c r="R495" s="8" t="s">
        <v>292</v>
      </c>
      <c r="S495" s="8" t="s">
        <v>28</v>
      </c>
      <c r="T495" s="8">
        <f t="shared" si="7"/>
        <v>0</v>
      </c>
      <c r="U495" t="str" cm="1">
        <f t="array" ref="U495">_xlfn.IFNA(_xlfn.IFS(Table2[[#This Row],[DEFICIT /SURPLUS]]&lt;0,"Deficit",Table2[[#This Row],[DEFICIT /SURPLUS]]&gt;0,"surplus"),"-")</f>
        <v>surplus</v>
      </c>
    </row>
    <row r="496" spans="1:21" ht="14.5">
      <c r="A496" s="8" t="s">
        <v>363</v>
      </c>
      <c r="B496" s="9">
        <v>45676</v>
      </c>
      <c r="C496" s="8" t="s">
        <v>22</v>
      </c>
      <c r="D496" s="8" t="s">
        <v>29</v>
      </c>
      <c r="E496" s="8" t="s">
        <v>38</v>
      </c>
      <c r="F496" s="31">
        <f>_xlfn.XLOOKUP(Table2[[#This Row],[Shoe style]],val[SHOE STYLE],val[UNIT PRICE])</f>
        <v>12395</v>
      </c>
      <c r="H496" s="11">
        <v>1</v>
      </c>
      <c r="I496" s="6">
        <f>IF(Table2[[#This Row],[Discount]]&lt;(Table2[[#This Row],[UNIT PRICE]]*Table2[[#This Row],[Quantity sold]]),Table2[[#This Row],[UNIT PRICE]]*Table2[[#This Row],[Quantity sold]]-Table2[[#This Row],[Discount]],0)</f>
        <v>12395</v>
      </c>
      <c r="J496" s="10">
        <v>39000</v>
      </c>
      <c r="K496" s="2">
        <f>_xlfn.XLOOKUP(Table2[[#This Row],[Shoe style]],val[SHOE STYLE],val[COST PRICE])</f>
        <v>7909</v>
      </c>
      <c r="L496" s="2">
        <f>(Table2[[#This Row],[COST PRICE]]*Table2[[#This Row],[Quantity sold]])</f>
        <v>7909</v>
      </c>
      <c r="M496" s="2">
        <f>Table2[[#This Row],[TOTAL SALES]]-Table2[[#This Row],[TOTAL COST PRICE]]</f>
        <v>4486</v>
      </c>
      <c r="N496" s="2">
        <f>IF(Table2[[#This Row],[Amount Paid]]&gt;0,(SUMIF(Table2[Order ID],Table2[[#This Row],[Order ID]],Table2[Amount Paid])-SUMIF(Table2[Order ID],Table2[[#This Row],[Order ID]],Table2[TOTAL SALES])),0)</f>
        <v>3877</v>
      </c>
      <c r="O496" s="8">
        <v>38</v>
      </c>
      <c r="P496" s="8" t="s">
        <v>25</v>
      </c>
      <c r="Q496" s="8" t="s">
        <v>341</v>
      </c>
      <c r="R496" s="8" t="s">
        <v>27</v>
      </c>
      <c r="S496" s="8" t="s">
        <v>28</v>
      </c>
      <c r="T496" s="8">
        <f t="shared" si="7"/>
        <v>0</v>
      </c>
      <c r="U496" t="str" cm="1">
        <f t="array" ref="U496">_xlfn.IFNA(_xlfn.IFS(Table2[[#This Row],[DEFICIT /SURPLUS]]&lt;0,"Deficit",Table2[[#This Row],[DEFICIT /SURPLUS]]&gt;0,"surplus"),"-")</f>
        <v>surplus</v>
      </c>
    </row>
    <row r="497" spans="1:21" ht="14.5">
      <c r="A497" s="8" t="s">
        <v>363</v>
      </c>
      <c r="B497" s="9">
        <v>45676</v>
      </c>
      <c r="C497" s="8" t="s">
        <v>22</v>
      </c>
      <c r="D497" s="8" t="s">
        <v>37</v>
      </c>
      <c r="E497" s="8" t="s">
        <v>78</v>
      </c>
      <c r="F497" s="31">
        <f>_xlfn.XLOOKUP(Table2[[#This Row],[Shoe style]],val[SHOE STYLE],val[UNIT PRICE])</f>
        <v>22728</v>
      </c>
      <c r="H497" s="11">
        <v>1</v>
      </c>
      <c r="I497" s="6">
        <f>IF(Table2[[#This Row],[Discount]]&lt;(Table2[[#This Row],[UNIT PRICE]]*Table2[[#This Row],[Quantity sold]]),Table2[[#This Row],[UNIT PRICE]]*Table2[[#This Row],[Quantity sold]]-Table2[[#This Row],[Discount]],0)</f>
        <v>22728</v>
      </c>
      <c r="K497" s="2">
        <f>_xlfn.XLOOKUP(Table2[[#This Row],[Shoe style]],val[SHOE STYLE],val[COST PRICE])</f>
        <v>20451</v>
      </c>
      <c r="L497" s="2">
        <f>(Table2[[#This Row],[COST PRICE]]*Table2[[#This Row],[Quantity sold]])</f>
        <v>20451</v>
      </c>
      <c r="M497" s="2">
        <f>Table2[[#This Row],[TOTAL SALES]]-Table2[[#This Row],[TOTAL COST PRICE]]</f>
        <v>2277</v>
      </c>
      <c r="N497" s="2">
        <f>IF(Table2[[#This Row],[Amount Paid]]&gt;0,(SUMIF(Table2[Order ID],Table2[[#This Row],[Order ID]],Table2[Amount Paid])-SUMIF(Table2[Order ID],Table2[[#This Row],[Order ID]],Table2[TOTAL SALES])),0)</f>
        <v>0</v>
      </c>
      <c r="O497" s="8">
        <v>38</v>
      </c>
      <c r="P497" s="8" t="s">
        <v>25</v>
      </c>
      <c r="Q497" s="8" t="s">
        <v>341</v>
      </c>
      <c r="R497" s="8" t="s">
        <v>27</v>
      </c>
      <c r="S497" s="8" t="s">
        <v>28</v>
      </c>
      <c r="T497" s="8">
        <f t="shared" si="7"/>
        <v>0</v>
      </c>
      <c r="U497" t="str" cm="1">
        <f t="array" ref="U497">_xlfn.IFNA(_xlfn.IFS(Table2[[#This Row],[DEFICIT /SURPLUS]]&lt;0,"Deficit",Table2[[#This Row],[DEFICIT /SURPLUS]]&gt;0,"surplus"),"-")</f>
        <v>-</v>
      </c>
    </row>
    <row r="498" spans="1:21" ht="14.5">
      <c r="A498" s="8" t="s">
        <v>364</v>
      </c>
      <c r="B498" s="9">
        <v>45676</v>
      </c>
      <c r="C498" s="8" t="s">
        <v>22</v>
      </c>
      <c r="D498" s="8" t="s">
        <v>29</v>
      </c>
      <c r="E498" s="8" t="s">
        <v>40</v>
      </c>
      <c r="F498" s="31">
        <f>_xlfn.XLOOKUP(Table2[[#This Row],[Shoe style]],val[SHOE STYLE],val[UNIT PRICE])</f>
        <v>12395</v>
      </c>
      <c r="H498" s="11">
        <v>1</v>
      </c>
      <c r="I498" s="6">
        <f>IF(Table2[[#This Row],[Discount]]&lt;(Table2[[#This Row],[UNIT PRICE]]*Table2[[#This Row],[Quantity sold]]),Table2[[#This Row],[UNIT PRICE]]*Table2[[#This Row],[Quantity sold]]-Table2[[#This Row],[Discount]],0)</f>
        <v>12395</v>
      </c>
      <c r="J498" s="10">
        <v>19500</v>
      </c>
      <c r="K498" s="2">
        <f>_xlfn.XLOOKUP(Table2[[#This Row],[Shoe style]],val[SHOE STYLE],val[COST PRICE])</f>
        <v>7909</v>
      </c>
      <c r="L498" s="2">
        <f>(Table2[[#This Row],[COST PRICE]]*Table2[[#This Row],[Quantity sold]])</f>
        <v>7909</v>
      </c>
      <c r="M498" s="2">
        <f>Table2[[#This Row],[TOTAL SALES]]-Table2[[#This Row],[TOTAL COST PRICE]]</f>
        <v>4486</v>
      </c>
      <c r="N498" s="2">
        <f>IF(Table2[[#This Row],[Amount Paid]]&gt;0,(SUMIF(Table2[Order ID],Table2[[#This Row],[Order ID]],Table2[Amount Paid])-SUMIF(Table2[Order ID],Table2[[#This Row],[Order ID]],Table2[TOTAL SALES])),0)</f>
        <v>7105</v>
      </c>
      <c r="O498" s="8">
        <v>37</v>
      </c>
      <c r="P498" s="8" t="s">
        <v>25</v>
      </c>
      <c r="Q498" s="8" t="s">
        <v>341</v>
      </c>
      <c r="R498" s="8" t="s">
        <v>27</v>
      </c>
      <c r="S498" s="8" t="s">
        <v>28</v>
      </c>
      <c r="T498" s="8">
        <f t="shared" si="7"/>
        <v>0</v>
      </c>
      <c r="U498" t="str" cm="1">
        <f t="array" ref="U498">_xlfn.IFNA(_xlfn.IFS(Table2[[#This Row],[DEFICIT /SURPLUS]]&lt;0,"Deficit",Table2[[#This Row],[DEFICIT /SURPLUS]]&gt;0,"surplus"),"-")</f>
        <v>surplus</v>
      </c>
    </row>
    <row r="499" spans="1:21" ht="14.5">
      <c r="A499" s="8" t="s">
        <v>365</v>
      </c>
      <c r="B499" s="9">
        <v>45679</v>
      </c>
      <c r="C499" s="8" t="s">
        <v>22</v>
      </c>
      <c r="D499" s="8" t="s">
        <v>29</v>
      </c>
      <c r="E499" s="8" t="s">
        <v>24</v>
      </c>
      <c r="F499" s="31">
        <f>_xlfn.XLOOKUP(Table2[[#This Row],[Shoe style]],val[SHOE STYLE],val[UNIT PRICE])</f>
        <v>12395</v>
      </c>
      <c r="H499" s="11">
        <v>1</v>
      </c>
      <c r="I499" s="6">
        <f>IF(Table2[[#This Row],[Discount]]&lt;(Table2[[#This Row],[UNIT PRICE]]*Table2[[#This Row],[Quantity sold]]),Table2[[#This Row],[UNIT PRICE]]*Table2[[#This Row],[Quantity sold]]-Table2[[#This Row],[Discount]],0)</f>
        <v>12395</v>
      </c>
      <c r="J499" s="10">
        <v>19500</v>
      </c>
      <c r="K499" s="2">
        <f>_xlfn.XLOOKUP(Table2[[#This Row],[Shoe style]],val[SHOE STYLE],val[COST PRICE])</f>
        <v>7909</v>
      </c>
      <c r="L499" s="2">
        <f>(Table2[[#This Row],[COST PRICE]]*Table2[[#This Row],[Quantity sold]])</f>
        <v>7909</v>
      </c>
      <c r="M499" s="2">
        <f>Table2[[#This Row],[TOTAL SALES]]-Table2[[#This Row],[TOTAL COST PRICE]]</f>
        <v>4486</v>
      </c>
      <c r="N499" s="2">
        <f>IF(Table2[[#This Row],[Amount Paid]]&gt;0,(SUMIF(Table2[Order ID],Table2[[#This Row],[Order ID]],Table2[Amount Paid])-SUMIF(Table2[Order ID],Table2[[#This Row],[Order ID]],Table2[TOTAL SALES])),0)</f>
        <v>7105</v>
      </c>
      <c r="O499" s="8">
        <v>42</v>
      </c>
      <c r="P499" s="8" t="s">
        <v>25</v>
      </c>
      <c r="Q499" s="8" t="s">
        <v>26</v>
      </c>
      <c r="R499" s="8" t="s">
        <v>27</v>
      </c>
      <c r="S499" s="8" t="s">
        <v>28</v>
      </c>
      <c r="T499" s="8">
        <f t="shared" si="7"/>
        <v>0</v>
      </c>
      <c r="U499" t="str" cm="1">
        <f t="array" ref="U499">_xlfn.IFNA(_xlfn.IFS(Table2[[#This Row],[DEFICIT /SURPLUS]]&lt;0,"Deficit",Table2[[#This Row],[DEFICIT /SURPLUS]]&gt;0,"surplus"),"-")</f>
        <v>surplus</v>
      </c>
    </row>
    <row r="500" spans="1:21" ht="14.5">
      <c r="A500" s="8" t="s">
        <v>366</v>
      </c>
      <c r="B500" s="9">
        <v>45679</v>
      </c>
      <c r="C500" s="8" t="s">
        <v>22</v>
      </c>
      <c r="D500" s="8" t="s">
        <v>29</v>
      </c>
      <c r="E500" s="8" t="s">
        <v>367</v>
      </c>
      <c r="F500" s="31">
        <f>_xlfn.XLOOKUP(Table2[[#This Row],[Shoe style]],val[SHOE STYLE],val[UNIT PRICE])</f>
        <v>12395</v>
      </c>
      <c r="H500" s="11">
        <v>1</v>
      </c>
      <c r="I500" s="6">
        <f>IF(Table2[[#This Row],[Discount]]&lt;(Table2[[#This Row],[UNIT PRICE]]*Table2[[#This Row],[Quantity sold]]),Table2[[#This Row],[UNIT PRICE]]*Table2[[#This Row],[Quantity sold]]-Table2[[#This Row],[Discount]],0)</f>
        <v>12395</v>
      </c>
      <c r="J500" s="10">
        <v>44000</v>
      </c>
      <c r="K500" s="2">
        <f>_xlfn.XLOOKUP(Table2[[#This Row],[Shoe style]],val[SHOE STYLE],val[COST PRICE])</f>
        <v>7909</v>
      </c>
      <c r="L500" s="2">
        <f>(Table2[[#This Row],[COST PRICE]]*Table2[[#This Row],[Quantity sold]])</f>
        <v>7909</v>
      </c>
      <c r="M500" s="2">
        <f>Table2[[#This Row],[TOTAL SALES]]-Table2[[#This Row],[TOTAL COST PRICE]]</f>
        <v>4486</v>
      </c>
      <c r="N500" s="2">
        <f>IF(Table2[[#This Row],[Amount Paid]]&gt;0,(SUMIF(Table2[Order ID],Table2[[#This Row],[Order ID]],Table2[Amount Paid])-SUMIF(Table2[Order ID],Table2[[#This Row],[Order ID]],Table2[TOTAL SALES])),0)</f>
        <v>19210</v>
      </c>
      <c r="O500" s="8">
        <v>40</v>
      </c>
      <c r="P500" s="8" t="s">
        <v>25</v>
      </c>
      <c r="Q500" s="8" t="s">
        <v>341</v>
      </c>
      <c r="R500" s="8" t="s">
        <v>44</v>
      </c>
      <c r="S500" s="8" t="s">
        <v>28</v>
      </c>
      <c r="T500" s="8">
        <f t="shared" si="7"/>
        <v>0</v>
      </c>
      <c r="U500" t="str" cm="1">
        <f t="array" ref="U500">_xlfn.IFNA(_xlfn.IFS(Table2[[#This Row],[DEFICIT /SURPLUS]]&lt;0,"Deficit",Table2[[#This Row],[DEFICIT /SURPLUS]]&gt;0,"surplus"),"-")</f>
        <v>surplus</v>
      </c>
    </row>
    <row r="501" spans="1:21" ht="14.5">
      <c r="A501" s="8" t="s">
        <v>366</v>
      </c>
      <c r="B501" s="9">
        <v>45679</v>
      </c>
      <c r="C501" s="8" t="s">
        <v>22</v>
      </c>
      <c r="D501" s="8" t="s">
        <v>29</v>
      </c>
      <c r="E501" s="8" t="s">
        <v>367</v>
      </c>
      <c r="F501" s="31">
        <f>_xlfn.XLOOKUP(Table2[[#This Row],[Shoe style]],val[SHOE STYLE],val[UNIT PRICE])</f>
        <v>12395</v>
      </c>
      <c r="H501" s="11">
        <v>1</v>
      </c>
      <c r="I501" s="6">
        <f>IF(Table2[[#This Row],[Discount]]&lt;(Table2[[#This Row],[UNIT PRICE]]*Table2[[#This Row],[Quantity sold]]),Table2[[#This Row],[UNIT PRICE]]*Table2[[#This Row],[Quantity sold]]-Table2[[#This Row],[Discount]],0)</f>
        <v>12395</v>
      </c>
      <c r="K501" s="2">
        <f>_xlfn.XLOOKUP(Table2[[#This Row],[Shoe style]],val[SHOE STYLE],val[COST PRICE])</f>
        <v>7909</v>
      </c>
      <c r="L501" s="2">
        <f>(Table2[[#This Row],[COST PRICE]]*Table2[[#This Row],[Quantity sold]])</f>
        <v>7909</v>
      </c>
      <c r="M501" s="2">
        <f>Table2[[#This Row],[TOTAL SALES]]-Table2[[#This Row],[TOTAL COST PRICE]]</f>
        <v>4486</v>
      </c>
      <c r="N501" s="2">
        <f>IF(Table2[[#This Row],[Amount Paid]]&gt;0,(SUMIF(Table2[Order ID],Table2[[#This Row],[Order ID]],Table2[Amount Paid])-SUMIF(Table2[Order ID],Table2[[#This Row],[Order ID]],Table2[TOTAL SALES])),0)</f>
        <v>0</v>
      </c>
      <c r="O501" s="8">
        <v>40</v>
      </c>
      <c r="P501" s="8" t="s">
        <v>25</v>
      </c>
      <c r="Q501" s="8" t="s">
        <v>341</v>
      </c>
      <c r="R501" s="8" t="s">
        <v>44</v>
      </c>
      <c r="S501" s="8" t="s">
        <v>28</v>
      </c>
      <c r="T501" s="8">
        <f t="shared" si="7"/>
        <v>0</v>
      </c>
      <c r="U501" t="str" cm="1">
        <f t="array" ref="U501">_xlfn.IFNA(_xlfn.IFS(Table2[[#This Row],[DEFICIT /SURPLUS]]&lt;0,"Deficit",Table2[[#This Row],[DEFICIT /SURPLUS]]&gt;0,"surplus"),"-")</f>
        <v>-</v>
      </c>
    </row>
    <row r="502" spans="1:21" ht="14.5">
      <c r="A502" s="8" t="s">
        <v>368</v>
      </c>
      <c r="B502" s="9">
        <v>45679</v>
      </c>
      <c r="C502" s="8" t="s">
        <v>98</v>
      </c>
      <c r="D502" s="8" t="s">
        <v>168</v>
      </c>
      <c r="E502" s="8" t="s">
        <v>24</v>
      </c>
      <c r="F502" s="31">
        <f>_xlfn.XLOOKUP(Table2[[#This Row],[Shoe style]],val[SHOE STYLE],val[UNIT PRICE])</f>
        <v>18661</v>
      </c>
      <c r="H502" s="11">
        <v>1</v>
      </c>
      <c r="I502" s="6">
        <f>IF(Table2[[#This Row],[Discount]]&lt;(Table2[[#This Row],[UNIT PRICE]]*Table2[[#This Row],[Quantity sold]]),Table2[[#This Row],[UNIT PRICE]]*Table2[[#This Row],[Quantity sold]]-Table2[[#This Row],[Discount]],0)</f>
        <v>18661</v>
      </c>
      <c r="J502" s="10">
        <v>39000</v>
      </c>
      <c r="K502" s="2">
        <f>_xlfn.XLOOKUP(Table2[[#This Row],[Shoe style]],val[SHOE STYLE],val[COST PRICE])</f>
        <v>13922</v>
      </c>
      <c r="L502" s="2">
        <f>(Table2[[#This Row],[COST PRICE]]*Table2[[#This Row],[Quantity sold]])</f>
        <v>13922</v>
      </c>
      <c r="M502" s="2">
        <f>Table2[[#This Row],[TOTAL SALES]]-Table2[[#This Row],[TOTAL COST PRICE]]</f>
        <v>4739</v>
      </c>
      <c r="N502" s="2">
        <f>IF(Table2[[#This Row],[Amount Paid]]&gt;0,(SUMIF(Table2[Order ID],Table2[[#This Row],[Order ID]],Table2[Amount Paid])-SUMIF(Table2[Order ID],Table2[[#This Row],[Order ID]],Table2[TOTAL SALES])),0)</f>
        <v>20339</v>
      </c>
      <c r="O502" s="8">
        <v>37</v>
      </c>
      <c r="P502" s="8" t="s">
        <v>25</v>
      </c>
      <c r="Q502" s="8" t="s">
        <v>26</v>
      </c>
      <c r="R502" s="8" t="s">
        <v>292</v>
      </c>
      <c r="S502" s="8" t="s">
        <v>28</v>
      </c>
      <c r="T502" s="8">
        <f t="shared" si="7"/>
        <v>0</v>
      </c>
      <c r="U502" t="str" cm="1">
        <f t="array" ref="U502">_xlfn.IFNA(_xlfn.IFS(Table2[[#This Row],[DEFICIT /SURPLUS]]&lt;0,"Deficit",Table2[[#This Row],[DEFICIT /SURPLUS]]&gt;0,"surplus"),"-")</f>
        <v>surplus</v>
      </c>
    </row>
    <row r="503" spans="1:21" ht="14.5">
      <c r="A503" s="8" t="s">
        <v>369</v>
      </c>
      <c r="B503" s="9">
        <v>45679</v>
      </c>
      <c r="C503" s="8" t="s">
        <v>22</v>
      </c>
      <c r="D503" s="8" t="s">
        <v>29</v>
      </c>
      <c r="E503" s="8" t="s">
        <v>89</v>
      </c>
      <c r="F503" s="31">
        <f>_xlfn.XLOOKUP(Table2[[#This Row],[Shoe style]],val[SHOE STYLE],val[UNIT PRICE])</f>
        <v>12395</v>
      </c>
      <c r="H503" s="11">
        <v>1</v>
      </c>
      <c r="I503" s="6">
        <f>IF(Table2[[#This Row],[Discount]]&lt;(Table2[[#This Row],[UNIT PRICE]]*Table2[[#This Row],[Quantity sold]]),Table2[[#This Row],[UNIT PRICE]]*Table2[[#This Row],[Quantity sold]]-Table2[[#This Row],[Discount]],0)</f>
        <v>12395</v>
      </c>
      <c r="J503" s="10">
        <v>82000</v>
      </c>
      <c r="K503" s="2">
        <f>_xlfn.XLOOKUP(Table2[[#This Row],[Shoe style]],val[SHOE STYLE],val[COST PRICE])</f>
        <v>7909</v>
      </c>
      <c r="L503" s="2">
        <f>(Table2[[#This Row],[COST PRICE]]*Table2[[#This Row],[Quantity sold]])</f>
        <v>7909</v>
      </c>
      <c r="M503" s="2">
        <f>Table2[[#This Row],[TOTAL SALES]]-Table2[[#This Row],[TOTAL COST PRICE]]</f>
        <v>4486</v>
      </c>
      <c r="N503" s="2">
        <f>IF(Table2[[#This Row],[Amount Paid]]&gt;0,(SUMIF(Table2[Order ID],Table2[[#This Row],[Order ID]],Table2[Amount Paid])-SUMIF(Table2[Order ID],Table2[[#This Row],[Order ID]],Table2[TOTAL SALES])),0)</f>
        <v>11754</v>
      </c>
      <c r="O503" s="8">
        <v>39</v>
      </c>
      <c r="P503" s="8" t="s">
        <v>25</v>
      </c>
      <c r="Q503" s="8" t="s">
        <v>341</v>
      </c>
      <c r="R503" s="8" t="s">
        <v>27</v>
      </c>
      <c r="S503" s="8" t="s">
        <v>28</v>
      </c>
      <c r="T503" s="8">
        <f t="shared" si="7"/>
        <v>0</v>
      </c>
      <c r="U503" t="str" cm="1">
        <f t="array" ref="U503">_xlfn.IFNA(_xlfn.IFS(Table2[[#This Row],[DEFICIT /SURPLUS]]&lt;0,"Deficit",Table2[[#This Row],[DEFICIT /SURPLUS]]&gt;0,"surplus"),"-")</f>
        <v>surplus</v>
      </c>
    </row>
    <row r="504" spans="1:21" ht="14.5">
      <c r="A504" s="8" t="s">
        <v>369</v>
      </c>
      <c r="B504" s="9">
        <v>45679</v>
      </c>
      <c r="C504" s="8" t="s">
        <v>22</v>
      </c>
      <c r="D504" s="8" t="s">
        <v>37</v>
      </c>
      <c r="E504" s="8" t="s">
        <v>78</v>
      </c>
      <c r="F504" s="31">
        <f>_xlfn.XLOOKUP(Table2[[#This Row],[Shoe style]],val[SHOE STYLE],val[UNIT PRICE])</f>
        <v>22728</v>
      </c>
      <c r="H504" s="11">
        <v>1</v>
      </c>
      <c r="I504" s="6">
        <f>IF(Table2[[#This Row],[Discount]]&lt;(Table2[[#This Row],[UNIT PRICE]]*Table2[[#This Row],[Quantity sold]]),Table2[[#This Row],[UNIT PRICE]]*Table2[[#This Row],[Quantity sold]]-Table2[[#This Row],[Discount]],0)</f>
        <v>22728</v>
      </c>
      <c r="K504" s="2">
        <f>_xlfn.XLOOKUP(Table2[[#This Row],[Shoe style]],val[SHOE STYLE],val[COST PRICE])</f>
        <v>20451</v>
      </c>
      <c r="L504" s="2">
        <f>(Table2[[#This Row],[COST PRICE]]*Table2[[#This Row],[Quantity sold]])</f>
        <v>20451</v>
      </c>
      <c r="M504" s="2">
        <f>Table2[[#This Row],[TOTAL SALES]]-Table2[[#This Row],[TOTAL COST PRICE]]</f>
        <v>2277</v>
      </c>
      <c r="N504" s="2">
        <f>IF(Table2[[#This Row],[Amount Paid]]&gt;0,(SUMIF(Table2[Order ID],Table2[[#This Row],[Order ID]],Table2[Amount Paid])-SUMIF(Table2[Order ID],Table2[[#This Row],[Order ID]],Table2[TOTAL SALES])),0)</f>
        <v>0</v>
      </c>
      <c r="O504" s="8">
        <v>39</v>
      </c>
      <c r="P504" s="8" t="s">
        <v>25</v>
      </c>
      <c r="Q504" s="8" t="s">
        <v>341</v>
      </c>
      <c r="R504" s="8" t="s">
        <v>27</v>
      </c>
      <c r="S504" s="8" t="s">
        <v>28</v>
      </c>
      <c r="T504" s="8">
        <f t="shared" ref="T504:T564" si="8">IF(S504="NO",1,0)</f>
        <v>0</v>
      </c>
      <c r="U504" t="str" cm="1">
        <f t="array" ref="U504">_xlfn.IFNA(_xlfn.IFS(Table2[[#This Row],[DEFICIT /SURPLUS]]&lt;0,"Deficit",Table2[[#This Row],[DEFICIT /SURPLUS]]&gt;0,"surplus"),"-")</f>
        <v>-</v>
      </c>
    </row>
    <row r="505" spans="1:21" ht="14.5">
      <c r="A505" s="8" t="s">
        <v>369</v>
      </c>
      <c r="B505" s="9">
        <v>45679</v>
      </c>
      <c r="C505" s="8" t="s">
        <v>22</v>
      </c>
      <c r="D505" s="8" t="s">
        <v>29</v>
      </c>
      <c r="E505" s="8" t="s">
        <v>122</v>
      </c>
      <c r="F505" s="31">
        <f>_xlfn.XLOOKUP(Table2[[#This Row],[Shoe style]],val[SHOE STYLE],val[UNIT PRICE])</f>
        <v>12395</v>
      </c>
      <c r="H505" s="11">
        <v>1</v>
      </c>
      <c r="I505" s="6">
        <f>IF(Table2[[#This Row],[Discount]]&lt;(Table2[[#This Row],[UNIT PRICE]]*Table2[[#This Row],[Quantity sold]]),Table2[[#This Row],[UNIT PRICE]]*Table2[[#This Row],[Quantity sold]]-Table2[[#This Row],[Discount]],0)</f>
        <v>12395</v>
      </c>
      <c r="K505" s="2">
        <f>_xlfn.XLOOKUP(Table2[[#This Row],[Shoe style]],val[SHOE STYLE],val[COST PRICE])</f>
        <v>7909</v>
      </c>
      <c r="L505" s="2">
        <f>(Table2[[#This Row],[COST PRICE]]*Table2[[#This Row],[Quantity sold]])</f>
        <v>7909</v>
      </c>
      <c r="M505" s="2">
        <f>Table2[[#This Row],[TOTAL SALES]]-Table2[[#This Row],[TOTAL COST PRICE]]</f>
        <v>4486</v>
      </c>
      <c r="N505" s="2">
        <f>IF(Table2[[#This Row],[Amount Paid]]&gt;0,(SUMIF(Table2[Order ID],Table2[[#This Row],[Order ID]],Table2[Amount Paid])-SUMIF(Table2[Order ID],Table2[[#This Row],[Order ID]],Table2[TOTAL SALES])),0)</f>
        <v>0</v>
      </c>
      <c r="O505" s="8">
        <v>39</v>
      </c>
      <c r="P505" s="8" t="s">
        <v>25</v>
      </c>
      <c r="Q505" s="8" t="s">
        <v>341</v>
      </c>
      <c r="R505" s="8" t="s">
        <v>27</v>
      </c>
      <c r="S505" s="8" t="s">
        <v>28</v>
      </c>
      <c r="T505" s="8">
        <f t="shared" si="8"/>
        <v>0</v>
      </c>
      <c r="U505" t="str" cm="1">
        <f t="array" ref="U505">_xlfn.IFNA(_xlfn.IFS(Table2[[#This Row],[DEFICIT /SURPLUS]]&lt;0,"Deficit",Table2[[#This Row],[DEFICIT /SURPLUS]]&gt;0,"surplus"),"-")</f>
        <v>-</v>
      </c>
    </row>
    <row r="506" spans="1:21" ht="14.5">
      <c r="A506" s="8" t="s">
        <v>369</v>
      </c>
      <c r="B506" s="9">
        <v>45679</v>
      </c>
      <c r="C506" s="8" t="s">
        <v>22</v>
      </c>
      <c r="D506" s="8" t="s">
        <v>37</v>
      </c>
      <c r="E506" s="8" t="s">
        <v>55</v>
      </c>
      <c r="F506" s="31">
        <f>_xlfn.XLOOKUP(Table2[[#This Row],[Shoe style]],val[SHOE STYLE],val[UNIT PRICE])</f>
        <v>22728</v>
      </c>
      <c r="H506" s="11">
        <v>1</v>
      </c>
      <c r="I506" s="6">
        <f>IF(Table2[[#This Row],[Discount]]&lt;(Table2[[#This Row],[UNIT PRICE]]*Table2[[#This Row],[Quantity sold]]),Table2[[#This Row],[UNIT PRICE]]*Table2[[#This Row],[Quantity sold]]-Table2[[#This Row],[Discount]],0)</f>
        <v>22728</v>
      </c>
      <c r="K506" s="2">
        <f>_xlfn.XLOOKUP(Table2[[#This Row],[Shoe style]],val[SHOE STYLE],val[COST PRICE])</f>
        <v>20451</v>
      </c>
      <c r="L506" s="2">
        <f>(Table2[[#This Row],[COST PRICE]]*Table2[[#This Row],[Quantity sold]])</f>
        <v>20451</v>
      </c>
      <c r="M506" s="2">
        <f>Table2[[#This Row],[TOTAL SALES]]-Table2[[#This Row],[TOTAL COST PRICE]]</f>
        <v>2277</v>
      </c>
      <c r="N506" s="2">
        <f>IF(Table2[[#This Row],[Amount Paid]]&gt;0,(SUMIF(Table2[Order ID],Table2[[#This Row],[Order ID]],Table2[Amount Paid])-SUMIF(Table2[Order ID],Table2[[#This Row],[Order ID]],Table2[TOTAL SALES])),0)</f>
        <v>0</v>
      </c>
      <c r="O506" s="8">
        <v>39</v>
      </c>
      <c r="P506" s="8" t="s">
        <v>25</v>
      </c>
      <c r="Q506" s="8" t="s">
        <v>341</v>
      </c>
      <c r="R506" s="8" t="s">
        <v>27</v>
      </c>
      <c r="S506" s="8" t="s">
        <v>28</v>
      </c>
      <c r="T506" s="8">
        <f t="shared" si="8"/>
        <v>0</v>
      </c>
      <c r="U506" t="str" cm="1">
        <f t="array" ref="U506">_xlfn.IFNA(_xlfn.IFS(Table2[[#This Row],[DEFICIT /SURPLUS]]&lt;0,"Deficit",Table2[[#This Row],[DEFICIT /SURPLUS]]&gt;0,"surplus"),"-")</f>
        <v>-</v>
      </c>
    </row>
    <row r="507" spans="1:21" ht="14.5">
      <c r="A507" s="8" t="s">
        <v>370</v>
      </c>
      <c r="B507" s="9">
        <v>45679</v>
      </c>
      <c r="C507" s="8" t="s">
        <v>95</v>
      </c>
      <c r="D507" s="8" t="s">
        <v>29</v>
      </c>
      <c r="E507" s="8" t="s">
        <v>109</v>
      </c>
      <c r="F507" s="31">
        <f>_xlfn.XLOOKUP(Table2[[#This Row],[Shoe style]],val[SHOE STYLE],val[UNIT PRICE])</f>
        <v>12395</v>
      </c>
      <c r="H507" s="11">
        <v>1</v>
      </c>
      <c r="I507" s="6">
        <f>IF(Table2[[#This Row],[Discount]]&lt;(Table2[[#This Row],[UNIT PRICE]]*Table2[[#This Row],[Quantity sold]]),Table2[[#This Row],[UNIT PRICE]]*Table2[[#This Row],[Quantity sold]]-Table2[[#This Row],[Discount]],0)</f>
        <v>12395</v>
      </c>
      <c r="K507" s="2">
        <f>_xlfn.XLOOKUP(Table2[[#This Row],[Shoe style]],val[SHOE STYLE],val[COST PRICE])</f>
        <v>7909</v>
      </c>
      <c r="L507" s="2">
        <f>(Table2[[#This Row],[COST PRICE]]*Table2[[#This Row],[Quantity sold]])</f>
        <v>7909</v>
      </c>
      <c r="M507" s="2">
        <f>Table2[[#This Row],[TOTAL SALES]]-Table2[[#This Row],[TOTAL COST PRICE]]</f>
        <v>4486</v>
      </c>
      <c r="N507" s="2">
        <f>IF(Table2[[#This Row],[Amount Paid]]&gt;0,(SUMIF(Table2[Order ID],Table2[[#This Row],[Order ID]],Table2[Amount Paid])-SUMIF(Table2[Order ID],Table2[[#This Row],[Order ID]],Table2[TOTAL SALES])),0)</f>
        <v>0</v>
      </c>
      <c r="O507" s="8">
        <v>39</v>
      </c>
      <c r="P507" s="8" t="s">
        <v>25</v>
      </c>
      <c r="Q507" s="8" t="s">
        <v>54</v>
      </c>
      <c r="R507" s="8" t="s">
        <v>44</v>
      </c>
      <c r="S507" s="8" t="s">
        <v>28</v>
      </c>
      <c r="T507" s="8">
        <f t="shared" si="8"/>
        <v>0</v>
      </c>
      <c r="U507" t="str" cm="1">
        <f t="array" ref="U507">_xlfn.IFNA(_xlfn.IFS(Table2[[#This Row],[DEFICIT /SURPLUS]]&lt;0,"Deficit",Table2[[#This Row],[DEFICIT /SURPLUS]]&gt;0,"surplus"),"-")</f>
        <v>-</v>
      </c>
    </row>
    <row r="508" spans="1:21" ht="14.5">
      <c r="A508" s="8" t="s">
        <v>370</v>
      </c>
      <c r="B508" s="9">
        <v>45679</v>
      </c>
      <c r="C508" s="8" t="s">
        <v>95</v>
      </c>
      <c r="D508" s="8" t="s">
        <v>57</v>
      </c>
      <c r="E508" s="8" t="s">
        <v>43</v>
      </c>
      <c r="F508" s="31">
        <f>_xlfn.XLOOKUP(Table2[[#This Row],[Shoe style]],val[SHOE STYLE],val[UNIT PRICE])</f>
        <v>10196</v>
      </c>
      <c r="H508" s="11">
        <v>1</v>
      </c>
      <c r="I508" s="6">
        <f>IF(Table2[[#This Row],[Discount]]&lt;(Table2[[#This Row],[UNIT PRICE]]*Table2[[#This Row],[Quantity sold]]),Table2[[#This Row],[UNIT PRICE]]*Table2[[#This Row],[Quantity sold]]-Table2[[#This Row],[Discount]],0)</f>
        <v>10196</v>
      </c>
      <c r="K508" s="2">
        <f>_xlfn.XLOOKUP(Table2[[#This Row],[Shoe style]],val[SHOE STYLE],val[COST PRICE])</f>
        <v>7050</v>
      </c>
      <c r="L508" s="2">
        <f>(Table2[[#This Row],[COST PRICE]]*Table2[[#This Row],[Quantity sold]])</f>
        <v>7050</v>
      </c>
      <c r="M508" s="2">
        <f>Table2[[#This Row],[TOTAL SALES]]-Table2[[#This Row],[TOTAL COST PRICE]]</f>
        <v>3146</v>
      </c>
      <c r="N508" s="2">
        <f>IF(Table2[[#This Row],[Amount Paid]]&gt;0,(SUMIF(Table2[Order ID],Table2[[#This Row],[Order ID]],Table2[Amount Paid])-SUMIF(Table2[Order ID],Table2[[#This Row],[Order ID]],Table2[TOTAL SALES])),0)</f>
        <v>0</v>
      </c>
      <c r="O508" s="8">
        <v>39</v>
      </c>
      <c r="P508" s="8" t="s">
        <v>25</v>
      </c>
      <c r="Q508" s="8" t="s">
        <v>54</v>
      </c>
      <c r="R508" s="8" t="s">
        <v>44</v>
      </c>
      <c r="S508" s="8" t="s">
        <v>28</v>
      </c>
      <c r="T508" s="8">
        <f t="shared" si="8"/>
        <v>0</v>
      </c>
      <c r="U508" t="str" cm="1">
        <f t="array" ref="U508">_xlfn.IFNA(_xlfn.IFS(Table2[[#This Row],[DEFICIT /SURPLUS]]&lt;0,"Deficit",Table2[[#This Row],[DEFICIT /SURPLUS]]&gt;0,"surplus"),"-")</f>
        <v>-</v>
      </c>
    </row>
    <row r="509" spans="1:21" ht="14.5">
      <c r="A509" s="8" t="s">
        <v>371</v>
      </c>
      <c r="B509" s="9">
        <v>45679</v>
      </c>
      <c r="C509" s="8" t="s">
        <v>22</v>
      </c>
      <c r="D509" s="8" t="s">
        <v>29</v>
      </c>
      <c r="E509" s="8" t="s">
        <v>43</v>
      </c>
      <c r="F509" s="31">
        <f>_xlfn.XLOOKUP(Table2[[#This Row],[Shoe style]],val[SHOE STYLE],val[UNIT PRICE])</f>
        <v>12395</v>
      </c>
      <c r="H509" s="11">
        <v>1</v>
      </c>
      <c r="I509" s="6">
        <f>IF(Table2[[#This Row],[Discount]]&lt;(Table2[[#This Row],[UNIT PRICE]]*Table2[[#This Row],[Quantity sold]]),Table2[[#This Row],[UNIT PRICE]]*Table2[[#This Row],[Quantity sold]]-Table2[[#This Row],[Discount]],0)</f>
        <v>12395</v>
      </c>
      <c r="J509" s="10">
        <v>23000</v>
      </c>
      <c r="K509" s="2">
        <f>_xlfn.XLOOKUP(Table2[[#This Row],[Shoe style]],val[SHOE STYLE],val[COST PRICE])</f>
        <v>7909</v>
      </c>
      <c r="L509" s="2">
        <f>(Table2[[#This Row],[COST PRICE]]*Table2[[#This Row],[Quantity sold]])</f>
        <v>7909</v>
      </c>
      <c r="M509" s="2">
        <f>Table2[[#This Row],[TOTAL SALES]]-Table2[[#This Row],[TOTAL COST PRICE]]</f>
        <v>4486</v>
      </c>
      <c r="N509" s="2">
        <f>IF(Table2[[#This Row],[Amount Paid]]&gt;0,(SUMIF(Table2[Order ID],Table2[[#This Row],[Order ID]],Table2[Amount Paid])-SUMIF(Table2[Order ID],Table2[[#This Row],[Order ID]],Table2[TOTAL SALES])),0)</f>
        <v>10605</v>
      </c>
      <c r="O509" s="8">
        <v>39</v>
      </c>
      <c r="P509" s="8" t="s">
        <v>25</v>
      </c>
      <c r="Q509" s="8" t="s">
        <v>341</v>
      </c>
      <c r="R509" s="8" t="s">
        <v>292</v>
      </c>
      <c r="S509" s="8" t="s">
        <v>28</v>
      </c>
      <c r="T509" s="8">
        <f t="shared" si="8"/>
        <v>0</v>
      </c>
      <c r="U509" t="str" cm="1">
        <f t="array" ref="U509">_xlfn.IFNA(_xlfn.IFS(Table2[[#This Row],[DEFICIT /SURPLUS]]&lt;0,"Deficit",Table2[[#This Row],[DEFICIT /SURPLUS]]&gt;0,"surplus"),"-")</f>
        <v>surplus</v>
      </c>
    </row>
    <row r="510" spans="1:21" ht="14.5">
      <c r="A510" s="8" t="s">
        <v>372</v>
      </c>
      <c r="B510" s="9">
        <v>45680</v>
      </c>
      <c r="C510" s="8" t="s">
        <v>22</v>
      </c>
      <c r="D510" s="8" t="s">
        <v>37</v>
      </c>
      <c r="E510" s="8" t="s">
        <v>109</v>
      </c>
      <c r="F510" s="31">
        <f>_xlfn.XLOOKUP(Table2[[#This Row],[Shoe style]],val[SHOE STYLE],val[UNIT PRICE])</f>
        <v>22728</v>
      </c>
      <c r="H510" s="11">
        <v>1</v>
      </c>
      <c r="I510" s="6">
        <f>IF(Table2[[#This Row],[Discount]]&lt;(Table2[[#This Row],[UNIT PRICE]]*Table2[[#This Row],[Quantity sold]]),Table2[[#This Row],[UNIT PRICE]]*Table2[[#This Row],[Quantity sold]]-Table2[[#This Row],[Discount]],0)</f>
        <v>22728</v>
      </c>
      <c r="J510" s="10">
        <v>37732</v>
      </c>
      <c r="K510" s="2">
        <f>_xlfn.XLOOKUP(Table2[[#This Row],[Shoe style]],val[SHOE STYLE],val[COST PRICE])</f>
        <v>20451</v>
      </c>
      <c r="L510" s="2">
        <f>(Table2[[#This Row],[COST PRICE]]*Table2[[#This Row],[Quantity sold]])</f>
        <v>20451</v>
      </c>
      <c r="M510" s="2">
        <f>Table2[[#This Row],[TOTAL SALES]]-Table2[[#This Row],[TOTAL COST PRICE]]</f>
        <v>2277</v>
      </c>
      <c r="N510" s="2">
        <f>IF(Table2[[#This Row],[Amount Paid]]&gt;0,(SUMIF(Table2[Order ID],Table2[[#This Row],[Order ID]],Table2[Amount Paid])-SUMIF(Table2[Order ID],Table2[[#This Row],[Order ID]],Table2[TOTAL SALES])),0)</f>
        <v>15004</v>
      </c>
      <c r="O510" s="8">
        <v>39</v>
      </c>
      <c r="P510" s="8" t="s">
        <v>25</v>
      </c>
      <c r="Q510" s="8" t="s">
        <v>54</v>
      </c>
      <c r="R510" s="8" t="s">
        <v>292</v>
      </c>
      <c r="S510" s="8" t="s">
        <v>28</v>
      </c>
      <c r="T510" s="8">
        <f t="shared" si="8"/>
        <v>0</v>
      </c>
      <c r="U510" t="str" cm="1">
        <f t="array" ref="U510">_xlfn.IFNA(_xlfn.IFS(Table2[[#This Row],[DEFICIT /SURPLUS]]&lt;0,"Deficit",Table2[[#This Row],[DEFICIT /SURPLUS]]&gt;0,"surplus"),"-")</f>
        <v>surplus</v>
      </c>
    </row>
    <row r="511" spans="1:21" ht="14.5">
      <c r="A511" s="8" t="s">
        <v>373</v>
      </c>
      <c r="B511" s="9">
        <v>45680</v>
      </c>
      <c r="C511" s="8" t="s">
        <v>374</v>
      </c>
      <c r="D511" s="8" t="s">
        <v>37</v>
      </c>
      <c r="E511" s="8" t="s">
        <v>40</v>
      </c>
      <c r="F511" s="31">
        <f>_xlfn.XLOOKUP(Table2[[#This Row],[Shoe style]],val[SHOE STYLE],val[UNIT PRICE])</f>
        <v>22728</v>
      </c>
      <c r="H511" s="11">
        <v>1</v>
      </c>
      <c r="I511" s="6">
        <f>IF(Table2[[#This Row],[Discount]]&lt;(Table2[[#This Row],[UNIT PRICE]]*Table2[[#This Row],[Quantity sold]]),Table2[[#This Row],[UNIT PRICE]]*Table2[[#This Row],[Quantity sold]]-Table2[[#This Row],[Discount]],0)</f>
        <v>22728</v>
      </c>
      <c r="J511" s="10">
        <v>25100</v>
      </c>
      <c r="K511" s="2">
        <f>_xlfn.XLOOKUP(Table2[[#This Row],[Shoe style]],val[SHOE STYLE],val[COST PRICE])</f>
        <v>20451</v>
      </c>
      <c r="L511" s="2">
        <f>(Table2[[#This Row],[COST PRICE]]*Table2[[#This Row],[Quantity sold]])</f>
        <v>20451</v>
      </c>
      <c r="M511" s="2">
        <f>Table2[[#This Row],[TOTAL SALES]]-Table2[[#This Row],[TOTAL COST PRICE]]</f>
        <v>2277</v>
      </c>
      <c r="N511" s="2">
        <f>IF(Table2[[#This Row],[Amount Paid]]&gt;0,(SUMIF(Table2[Order ID],Table2[[#This Row],[Order ID]],Table2[Amount Paid])-SUMIF(Table2[Order ID],Table2[[#This Row],[Order ID]],Table2[TOTAL SALES])),0)</f>
        <v>2372</v>
      </c>
      <c r="O511" s="8">
        <v>38</v>
      </c>
      <c r="P511" s="8" t="s">
        <v>25</v>
      </c>
      <c r="Q511" s="8" t="s">
        <v>341</v>
      </c>
      <c r="R511" s="8" t="s">
        <v>292</v>
      </c>
      <c r="S511" s="8" t="s">
        <v>28</v>
      </c>
      <c r="T511" s="8">
        <f t="shared" si="8"/>
        <v>0</v>
      </c>
      <c r="U511" t="str" cm="1">
        <f t="array" ref="U511">_xlfn.IFNA(_xlfn.IFS(Table2[[#This Row],[DEFICIT /SURPLUS]]&lt;0,"Deficit",Table2[[#This Row],[DEFICIT /SURPLUS]]&gt;0,"surplus"),"-")</f>
        <v>surplus</v>
      </c>
    </row>
    <row r="512" spans="1:21" ht="14.5">
      <c r="A512" s="8" t="s">
        <v>375</v>
      </c>
      <c r="B512" s="9">
        <v>45680</v>
      </c>
      <c r="C512" s="8" t="s">
        <v>22</v>
      </c>
      <c r="D512" s="8" t="s">
        <v>29</v>
      </c>
      <c r="E512" s="8" t="s">
        <v>38</v>
      </c>
      <c r="F512" s="31">
        <f>_xlfn.XLOOKUP(Table2[[#This Row],[Shoe style]],val[SHOE STYLE],val[UNIT PRICE])</f>
        <v>12395</v>
      </c>
      <c r="H512" s="11">
        <v>1</v>
      </c>
      <c r="I512" s="6">
        <f>IF(Table2[[#This Row],[Discount]]&lt;(Table2[[#This Row],[UNIT PRICE]]*Table2[[#This Row],[Quantity sold]]),Table2[[#This Row],[UNIT PRICE]]*Table2[[#This Row],[Quantity sold]]-Table2[[#This Row],[Discount]],0)</f>
        <v>12395</v>
      </c>
      <c r="J512" s="10">
        <v>24500</v>
      </c>
      <c r="K512" s="2">
        <f>_xlfn.XLOOKUP(Table2[[#This Row],[Shoe style]],val[SHOE STYLE],val[COST PRICE])</f>
        <v>7909</v>
      </c>
      <c r="L512" s="2">
        <f>(Table2[[#This Row],[COST PRICE]]*Table2[[#This Row],[Quantity sold]])</f>
        <v>7909</v>
      </c>
      <c r="M512" s="2">
        <f>Table2[[#This Row],[TOTAL SALES]]-Table2[[#This Row],[TOTAL COST PRICE]]</f>
        <v>4486</v>
      </c>
      <c r="N512" s="2">
        <f>IF(Table2[[#This Row],[Amount Paid]]&gt;0,(SUMIF(Table2[Order ID],Table2[[#This Row],[Order ID]],Table2[Amount Paid])-SUMIF(Table2[Order ID],Table2[[#This Row],[Order ID]],Table2[TOTAL SALES])),0)</f>
        <v>12105</v>
      </c>
      <c r="O512" s="8">
        <v>42</v>
      </c>
      <c r="P512" s="8" t="s">
        <v>25</v>
      </c>
      <c r="Q512" s="8" t="s">
        <v>341</v>
      </c>
      <c r="R512" s="8" t="s">
        <v>292</v>
      </c>
      <c r="S512" s="8" t="s">
        <v>28</v>
      </c>
      <c r="T512" s="8">
        <f t="shared" si="8"/>
        <v>0</v>
      </c>
      <c r="U512" t="str" cm="1">
        <f t="array" ref="U512">_xlfn.IFNA(_xlfn.IFS(Table2[[#This Row],[DEFICIT /SURPLUS]]&lt;0,"Deficit",Table2[[#This Row],[DEFICIT /SURPLUS]]&gt;0,"surplus"),"-")</f>
        <v>surplus</v>
      </c>
    </row>
    <row r="513" spans="1:21" ht="14.5">
      <c r="A513" s="8" t="s">
        <v>376</v>
      </c>
      <c r="B513" s="9">
        <v>45681</v>
      </c>
      <c r="C513" s="8" t="s">
        <v>22</v>
      </c>
      <c r="D513" s="8" t="s">
        <v>232</v>
      </c>
      <c r="E513" s="8" t="s">
        <v>40</v>
      </c>
      <c r="F513" s="31">
        <f>_xlfn.XLOOKUP(Table2[[#This Row],[Shoe style]],val[SHOE STYLE],val[UNIT PRICE])</f>
        <v>14097</v>
      </c>
      <c r="H513" s="11">
        <v>1</v>
      </c>
      <c r="I513" s="6">
        <f>IF(Table2[[#This Row],[Discount]]&lt;(Table2[[#This Row],[UNIT PRICE]]*Table2[[#This Row],[Quantity sold]]),Table2[[#This Row],[UNIT PRICE]]*Table2[[#This Row],[Quantity sold]]-Table2[[#This Row],[Discount]],0)</f>
        <v>14097</v>
      </c>
      <c r="J513" s="10">
        <v>19500</v>
      </c>
      <c r="K513" s="2">
        <f>_xlfn.XLOOKUP(Table2[[#This Row],[Shoe style]],val[SHOE STYLE],val[COST PRICE])</f>
        <v>9386</v>
      </c>
      <c r="L513" s="2">
        <f>(Table2[[#This Row],[COST PRICE]]*Table2[[#This Row],[Quantity sold]])</f>
        <v>9386</v>
      </c>
      <c r="M513" s="2">
        <f>Table2[[#This Row],[TOTAL SALES]]-Table2[[#This Row],[TOTAL COST PRICE]]</f>
        <v>4711</v>
      </c>
      <c r="N513" s="2">
        <f>IF(Table2[[#This Row],[Amount Paid]]&gt;0,(SUMIF(Table2[Order ID],Table2[[#This Row],[Order ID]],Table2[Amount Paid])-SUMIF(Table2[Order ID],Table2[[#This Row],[Order ID]],Table2[TOTAL SALES])),0)</f>
        <v>5403</v>
      </c>
      <c r="O513" s="8">
        <v>41</v>
      </c>
      <c r="P513" s="8" t="s">
        <v>25</v>
      </c>
      <c r="Q513" s="8" t="s">
        <v>26</v>
      </c>
      <c r="R513" s="8" t="s">
        <v>27</v>
      </c>
      <c r="S513" s="8" t="s">
        <v>28</v>
      </c>
      <c r="T513" s="8">
        <f t="shared" si="8"/>
        <v>0</v>
      </c>
      <c r="U513" t="str" cm="1">
        <f t="array" ref="U513">_xlfn.IFNA(_xlfn.IFS(Table2[[#This Row],[DEFICIT /SURPLUS]]&lt;0,"Deficit",Table2[[#This Row],[DEFICIT /SURPLUS]]&gt;0,"surplus"),"-")</f>
        <v>surplus</v>
      </c>
    </row>
    <row r="514" spans="1:21" ht="14.5">
      <c r="A514" s="8" t="s">
        <v>377</v>
      </c>
      <c r="B514" s="9">
        <v>45681</v>
      </c>
      <c r="C514" s="8" t="s">
        <v>22</v>
      </c>
      <c r="D514" s="8" t="s">
        <v>37</v>
      </c>
      <c r="E514" s="8" t="s">
        <v>78</v>
      </c>
      <c r="F514" s="31">
        <f>_xlfn.XLOOKUP(Table2[[#This Row],[Shoe style]],val[SHOE STYLE],val[UNIT PRICE])</f>
        <v>22728</v>
      </c>
      <c r="H514" s="11">
        <v>1</v>
      </c>
      <c r="I514" s="6">
        <f>IF(Table2[[#This Row],[Discount]]&lt;(Table2[[#This Row],[UNIT PRICE]]*Table2[[#This Row],[Quantity sold]]),Table2[[#This Row],[UNIT PRICE]]*Table2[[#This Row],[Quantity sold]]-Table2[[#This Row],[Discount]],0)</f>
        <v>22728</v>
      </c>
      <c r="J514" s="10">
        <v>40000</v>
      </c>
      <c r="K514" s="2">
        <f>_xlfn.XLOOKUP(Table2[[#This Row],[Shoe style]],val[SHOE STYLE],val[COST PRICE])</f>
        <v>20451</v>
      </c>
      <c r="L514" s="2">
        <f>(Table2[[#This Row],[COST PRICE]]*Table2[[#This Row],[Quantity sold]])</f>
        <v>20451</v>
      </c>
      <c r="M514" s="2">
        <f>Table2[[#This Row],[TOTAL SALES]]-Table2[[#This Row],[TOTAL COST PRICE]]</f>
        <v>2277</v>
      </c>
      <c r="N514" s="2">
        <f>IF(Table2[[#This Row],[Amount Paid]]&gt;0,(SUMIF(Table2[Order ID],Table2[[#This Row],[Order ID]],Table2[Amount Paid])-SUMIF(Table2[Order ID],Table2[[#This Row],[Order ID]],Table2[TOTAL SALES])),0)</f>
        <v>17272</v>
      </c>
      <c r="O514" s="8">
        <v>39</v>
      </c>
      <c r="P514" s="8" t="s">
        <v>25</v>
      </c>
      <c r="Q514" s="8" t="s">
        <v>26</v>
      </c>
      <c r="R514" s="8" t="s">
        <v>292</v>
      </c>
      <c r="S514" s="8" t="s">
        <v>28</v>
      </c>
      <c r="T514" s="8">
        <f t="shared" si="8"/>
        <v>0</v>
      </c>
      <c r="U514" t="str" cm="1">
        <f t="array" ref="U514">_xlfn.IFNA(_xlfn.IFS(Table2[[#This Row],[DEFICIT /SURPLUS]]&lt;0,"Deficit",Table2[[#This Row],[DEFICIT /SURPLUS]]&gt;0,"surplus"),"-")</f>
        <v>surplus</v>
      </c>
    </row>
    <row r="515" spans="1:21" ht="14.5">
      <c r="A515" s="8" t="s">
        <v>378</v>
      </c>
      <c r="B515" s="9">
        <v>45681</v>
      </c>
      <c r="C515" s="8" t="s">
        <v>22</v>
      </c>
      <c r="D515" s="8" t="s">
        <v>170</v>
      </c>
      <c r="E515" s="8" t="s">
        <v>78</v>
      </c>
      <c r="F515" s="31">
        <f>_xlfn.XLOOKUP(Table2[[#This Row],[Shoe style]],val[SHOE STYLE],val[UNIT PRICE])</f>
        <v>22433</v>
      </c>
      <c r="H515" s="11">
        <v>1</v>
      </c>
      <c r="I515" s="6">
        <f>IF(Table2[[#This Row],[Discount]]&lt;(Table2[[#This Row],[UNIT PRICE]]*Table2[[#This Row],[Quantity sold]]),Table2[[#This Row],[UNIT PRICE]]*Table2[[#This Row],[Quantity sold]]-Table2[[#This Row],[Discount]],0)</f>
        <v>22433</v>
      </c>
      <c r="J515" s="10">
        <v>9000</v>
      </c>
      <c r="K515" s="2">
        <f>_xlfn.XLOOKUP(Table2[[#This Row],[Shoe style]],val[SHOE STYLE],val[COST PRICE])</f>
        <v>17880</v>
      </c>
      <c r="L515" s="2">
        <f>(Table2[[#This Row],[COST PRICE]]*Table2[[#This Row],[Quantity sold]])</f>
        <v>17880</v>
      </c>
      <c r="M515" s="2">
        <f>Table2[[#This Row],[TOTAL SALES]]-Table2[[#This Row],[TOTAL COST PRICE]]</f>
        <v>4553</v>
      </c>
      <c r="N515" s="2">
        <f>IF(Table2[[#This Row],[Amount Paid]]&gt;0,(SUMIF(Table2[Order ID],Table2[[#This Row],[Order ID]],Table2[Amount Paid])-SUMIF(Table2[Order ID],Table2[[#This Row],[Order ID]],Table2[TOTAL SALES])),0)</f>
        <v>-13433</v>
      </c>
      <c r="O515" s="8">
        <v>39</v>
      </c>
      <c r="P515" s="8" t="s">
        <v>25</v>
      </c>
      <c r="Q515" s="8" t="s">
        <v>26</v>
      </c>
      <c r="R515" s="8" t="s">
        <v>292</v>
      </c>
      <c r="S515" s="8" t="s">
        <v>28</v>
      </c>
      <c r="T515" s="8">
        <f t="shared" si="8"/>
        <v>0</v>
      </c>
      <c r="U515" t="str" cm="1">
        <f t="array" ref="U515">_xlfn.IFNA(_xlfn.IFS(Table2[[#This Row],[DEFICIT /SURPLUS]]&lt;0,"Deficit",Table2[[#This Row],[DEFICIT /SURPLUS]]&gt;0,"surplus"),"-")</f>
        <v>Deficit</v>
      </c>
    </row>
    <row r="516" spans="1:21" ht="14.5">
      <c r="A516" s="8" t="s">
        <v>379</v>
      </c>
      <c r="B516" s="9">
        <v>45681</v>
      </c>
      <c r="C516" s="8" t="s">
        <v>22</v>
      </c>
      <c r="D516" s="8" t="s">
        <v>53</v>
      </c>
      <c r="E516" s="8" t="s">
        <v>24</v>
      </c>
      <c r="F516" s="31">
        <f>_xlfn.XLOOKUP(Table2[[#This Row],[Shoe style]],val[SHOE STYLE],val[UNIT PRICE])</f>
        <v>9838</v>
      </c>
      <c r="H516" s="11">
        <v>1</v>
      </c>
      <c r="I516" s="6">
        <f>IF(Table2[[#This Row],[Discount]]&lt;(Table2[[#This Row],[UNIT PRICE]]*Table2[[#This Row],[Quantity sold]]),Table2[[#This Row],[UNIT PRICE]]*Table2[[#This Row],[Quantity sold]]-Table2[[#This Row],[Discount]],0)</f>
        <v>9838</v>
      </c>
      <c r="J516" s="10">
        <v>63000</v>
      </c>
      <c r="K516" s="2">
        <f>_xlfn.XLOOKUP(Table2[[#This Row],[Shoe style]],val[SHOE STYLE],val[COST PRICE])</f>
        <v>6687</v>
      </c>
      <c r="L516" s="2">
        <f>(Table2[[#This Row],[COST PRICE]]*Table2[[#This Row],[Quantity sold]])</f>
        <v>6687</v>
      </c>
      <c r="M516" s="2">
        <f>Table2[[#This Row],[TOTAL SALES]]-Table2[[#This Row],[TOTAL COST PRICE]]</f>
        <v>3151</v>
      </c>
      <c r="N516" s="2">
        <f>IF(Table2[[#This Row],[Amount Paid]]&gt;0,(SUMIF(Table2[Order ID],Table2[[#This Row],[Order ID]],Table2[Amount Paid])-SUMIF(Table2[Order ID],Table2[[#This Row],[Order ID]],Table2[TOTAL SALES])),0)</f>
        <v>33486</v>
      </c>
      <c r="O516" s="8">
        <v>40</v>
      </c>
      <c r="P516" s="8" t="s">
        <v>25</v>
      </c>
      <c r="Q516" s="8" t="s">
        <v>26</v>
      </c>
      <c r="R516" s="8" t="s">
        <v>292</v>
      </c>
      <c r="S516" s="8" t="s">
        <v>28</v>
      </c>
      <c r="T516" s="8">
        <f t="shared" si="8"/>
        <v>0</v>
      </c>
      <c r="U516" t="str" cm="1">
        <f t="array" ref="U516">_xlfn.IFNA(_xlfn.IFS(Table2[[#This Row],[DEFICIT /SURPLUS]]&lt;0,"Deficit",Table2[[#This Row],[DEFICIT /SURPLUS]]&gt;0,"surplus"),"-")</f>
        <v>surplus</v>
      </c>
    </row>
    <row r="517" spans="1:21" ht="14.5">
      <c r="A517" s="8" t="s">
        <v>379</v>
      </c>
      <c r="B517" s="9">
        <v>45681</v>
      </c>
      <c r="C517" s="8" t="s">
        <v>22</v>
      </c>
      <c r="D517" s="8" t="s">
        <v>53</v>
      </c>
      <c r="E517" s="8" t="s">
        <v>24</v>
      </c>
      <c r="F517" s="31">
        <f>_xlfn.XLOOKUP(Table2[[#This Row],[Shoe style]],val[SHOE STYLE],val[UNIT PRICE])</f>
        <v>9838</v>
      </c>
      <c r="H517" s="11">
        <v>1</v>
      </c>
      <c r="I517" s="6">
        <f>IF(Table2[[#This Row],[Discount]]&lt;(Table2[[#This Row],[UNIT PRICE]]*Table2[[#This Row],[Quantity sold]]),Table2[[#This Row],[UNIT PRICE]]*Table2[[#This Row],[Quantity sold]]-Table2[[#This Row],[Discount]],0)</f>
        <v>9838</v>
      </c>
      <c r="K517" s="2">
        <f>_xlfn.XLOOKUP(Table2[[#This Row],[Shoe style]],val[SHOE STYLE],val[COST PRICE])</f>
        <v>6687</v>
      </c>
      <c r="L517" s="2">
        <f>(Table2[[#This Row],[COST PRICE]]*Table2[[#This Row],[Quantity sold]])</f>
        <v>6687</v>
      </c>
      <c r="M517" s="2">
        <f>Table2[[#This Row],[TOTAL SALES]]-Table2[[#This Row],[TOTAL COST PRICE]]</f>
        <v>3151</v>
      </c>
      <c r="N517" s="2">
        <f>IF(Table2[[#This Row],[Amount Paid]]&gt;0,(SUMIF(Table2[Order ID],Table2[[#This Row],[Order ID]],Table2[Amount Paid])-SUMIF(Table2[Order ID],Table2[[#This Row],[Order ID]],Table2[TOTAL SALES])),0)</f>
        <v>0</v>
      </c>
      <c r="O517" s="8">
        <v>40</v>
      </c>
      <c r="P517" s="8" t="s">
        <v>25</v>
      </c>
      <c r="Q517" s="8" t="s">
        <v>26</v>
      </c>
      <c r="R517" s="8" t="s">
        <v>292</v>
      </c>
      <c r="S517" s="8" t="s">
        <v>28</v>
      </c>
      <c r="T517" s="8">
        <f t="shared" si="8"/>
        <v>0</v>
      </c>
      <c r="U517" t="str" cm="1">
        <f t="array" ref="U517">_xlfn.IFNA(_xlfn.IFS(Table2[[#This Row],[DEFICIT /SURPLUS]]&lt;0,"Deficit",Table2[[#This Row],[DEFICIT /SURPLUS]]&gt;0,"surplus"),"-")</f>
        <v>-</v>
      </c>
    </row>
    <row r="518" spans="1:21" ht="14.5">
      <c r="A518" s="8" t="s">
        <v>379</v>
      </c>
      <c r="B518" s="9">
        <v>45681</v>
      </c>
      <c r="C518" s="8" t="s">
        <v>22</v>
      </c>
      <c r="D518" s="8" t="s">
        <v>53</v>
      </c>
      <c r="E518" s="8" t="s">
        <v>24</v>
      </c>
      <c r="F518" s="31">
        <f>_xlfn.XLOOKUP(Table2[[#This Row],[Shoe style]],val[SHOE STYLE],val[UNIT PRICE])</f>
        <v>9838</v>
      </c>
      <c r="H518" s="11">
        <v>1</v>
      </c>
      <c r="I518" s="6">
        <f>IF(Table2[[#This Row],[Discount]]&lt;(Table2[[#This Row],[UNIT PRICE]]*Table2[[#This Row],[Quantity sold]]),Table2[[#This Row],[UNIT PRICE]]*Table2[[#This Row],[Quantity sold]]-Table2[[#This Row],[Discount]],0)</f>
        <v>9838</v>
      </c>
      <c r="K518" s="2">
        <f>_xlfn.XLOOKUP(Table2[[#This Row],[Shoe style]],val[SHOE STYLE],val[COST PRICE])</f>
        <v>6687</v>
      </c>
      <c r="L518" s="2">
        <f>(Table2[[#This Row],[COST PRICE]]*Table2[[#This Row],[Quantity sold]])</f>
        <v>6687</v>
      </c>
      <c r="M518" s="2">
        <f>Table2[[#This Row],[TOTAL SALES]]-Table2[[#This Row],[TOTAL COST PRICE]]</f>
        <v>3151</v>
      </c>
      <c r="N518" s="2">
        <f>IF(Table2[[#This Row],[Amount Paid]]&gt;0,(SUMIF(Table2[Order ID],Table2[[#This Row],[Order ID]],Table2[Amount Paid])-SUMIF(Table2[Order ID],Table2[[#This Row],[Order ID]],Table2[TOTAL SALES])),0)</f>
        <v>0</v>
      </c>
      <c r="O518" s="8">
        <v>40</v>
      </c>
      <c r="P518" s="8" t="s">
        <v>25</v>
      </c>
      <c r="Q518" s="8" t="s">
        <v>26</v>
      </c>
      <c r="R518" s="8" t="s">
        <v>292</v>
      </c>
      <c r="S518" s="8" t="s">
        <v>28</v>
      </c>
      <c r="T518" s="8">
        <f t="shared" si="8"/>
        <v>0</v>
      </c>
      <c r="U518" t="str" cm="1">
        <f t="array" ref="U518">_xlfn.IFNA(_xlfn.IFS(Table2[[#This Row],[DEFICIT /SURPLUS]]&lt;0,"Deficit",Table2[[#This Row],[DEFICIT /SURPLUS]]&gt;0,"surplus"),"-")</f>
        <v>-</v>
      </c>
    </row>
    <row r="519" spans="1:21" ht="14.5">
      <c r="A519" s="8" t="s">
        <v>380</v>
      </c>
      <c r="B519" s="9">
        <v>45681</v>
      </c>
      <c r="C519" s="8" t="s">
        <v>22</v>
      </c>
      <c r="D519" s="8" t="s">
        <v>29</v>
      </c>
      <c r="E519" s="8" t="s">
        <v>43</v>
      </c>
      <c r="F519" s="31">
        <f>_xlfn.XLOOKUP(Table2[[#This Row],[Shoe style]],val[SHOE STYLE],val[UNIT PRICE])</f>
        <v>12395</v>
      </c>
      <c r="H519" s="11">
        <v>1</v>
      </c>
      <c r="I519" s="6">
        <f>IF(Table2[[#This Row],[Discount]]&lt;(Table2[[#This Row],[UNIT PRICE]]*Table2[[#This Row],[Quantity sold]]),Table2[[#This Row],[UNIT PRICE]]*Table2[[#This Row],[Quantity sold]]-Table2[[#This Row],[Discount]],0)</f>
        <v>12395</v>
      </c>
      <c r="J519" s="10">
        <v>23000</v>
      </c>
      <c r="K519" s="2">
        <f>_xlfn.XLOOKUP(Table2[[#This Row],[Shoe style]],val[SHOE STYLE],val[COST PRICE])</f>
        <v>7909</v>
      </c>
      <c r="L519" s="2">
        <f>(Table2[[#This Row],[COST PRICE]]*Table2[[#This Row],[Quantity sold]])</f>
        <v>7909</v>
      </c>
      <c r="M519" s="2">
        <f>Table2[[#This Row],[TOTAL SALES]]-Table2[[#This Row],[TOTAL COST PRICE]]</f>
        <v>4486</v>
      </c>
      <c r="N519" s="2">
        <f>IF(Table2[[#This Row],[Amount Paid]]&gt;0,(SUMIF(Table2[Order ID],Table2[[#This Row],[Order ID]],Table2[Amount Paid])-SUMIF(Table2[Order ID],Table2[[#This Row],[Order ID]],Table2[TOTAL SALES])),0)</f>
        <v>10605</v>
      </c>
      <c r="O519" s="8">
        <v>40</v>
      </c>
      <c r="P519" s="8" t="s">
        <v>25</v>
      </c>
      <c r="Q519" s="8" t="s">
        <v>341</v>
      </c>
      <c r="R519" s="8" t="s">
        <v>292</v>
      </c>
      <c r="S519" s="8" t="s">
        <v>28</v>
      </c>
      <c r="T519" s="8">
        <f t="shared" si="8"/>
        <v>0</v>
      </c>
      <c r="U519" t="str" cm="1">
        <f t="array" ref="U519">_xlfn.IFNA(_xlfn.IFS(Table2[[#This Row],[DEFICIT /SURPLUS]]&lt;0,"Deficit",Table2[[#This Row],[DEFICIT /SURPLUS]]&gt;0,"surplus"),"-")</f>
        <v>surplus</v>
      </c>
    </row>
    <row r="520" spans="1:21" ht="14.5">
      <c r="A520" s="8" t="s">
        <v>381</v>
      </c>
      <c r="B520" s="9">
        <v>45682</v>
      </c>
      <c r="C520" s="8" t="s">
        <v>22</v>
      </c>
      <c r="D520" s="8" t="s">
        <v>29</v>
      </c>
      <c r="E520" s="8" t="s">
        <v>50</v>
      </c>
      <c r="F520" s="31">
        <f>_xlfn.XLOOKUP(Table2[[#This Row],[Shoe style]],val[SHOE STYLE],val[UNIT PRICE])</f>
        <v>12395</v>
      </c>
      <c r="H520" s="11">
        <v>1</v>
      </c>
      <c r="I520" s="6">
        <f>IF(Table2[[#This Row],[Discount]]&lt;(Table2[[#This Row],[UNIT PRICE]]*Table2[[#This Row],[Quantity sold]]),Table2[[#This Row],[UNIT PRICE]]*Table2[[#This Row],[Quantity sold]]-Table2[[#This Row],[Discount]],0)</f>
        <v>12395</v>
      </c>
      <c r="J520" s="10">
        <v>22500</v>
      </c>
      <c r="K520" s="2">
        <f>_xlfn.XLOOKUP(Table2[[#This Row],[Shoe style]],val[SHOE STYLE],val[COST PRICE])</f>
        <v>7909</v>
      </c>
      <c r="L520" s="2">
        <f>(Table2[[#This Row],[COST PRICE]]*Table2[[#This Row],[Quantity sold]])</f>
        <v>7909</v>
      </c>
      <c r="M520" s="2">
        <f>Table2[[#This Row],[TOTAL SALES]]-Table2[[#This Row],[TOTAL COST PRICE]]</f>
        <v>4486</v>
      </c>
      <c r="N520" s="2">
        <f>IF(Table2[[#This Row],[Amount Paid]]&gt;0,(SUMIF(Table2[Order ID],Table2[[#This Row],[Order ID]],Table2[Amount Paid])-SUMIF(Table2[Order ID],Table2[[#This Row],[Order ID]],Table2[TOTAL SALES])),0)</f>
        <v>10105</v>
      </c>
      <c r="O520" s="8">
        <v>40</v>
      </c>
      <c r="P520" s="8" t="s">
        <v>25</v>
      </c>
      <c r="Q520" s="8" t="s">
        <v>341</v>
      </c>
      <c r="R520" s="8" t="s">
        <v>292</v>
      </c>
      <c r="S520" s="8" t="s">
        <v>28</v>
      </c>
      <c r="T520" s="8">
        <f t="shared" si="8"/>
        <v>0</v>
      </c>
      <c r="U520" t="str" cm="1">
        <f t="array" ref="U520">_xlfn.IFNA(_xlfn.IFS(Table2[[#This Row],[DEFICIT /SURPLUS]]&lt;0,"Deficit",Table2[[#This Row],[DEFICIT /SURPLUS]]&gt;0,"surplus"),"-")</f>
        <v>surplus</v>
      </c>
    </row>
    <row r="521" spans="1:21" ht="14.5">
      <c r="A521" s="8" t="s">
        <v>382</v>
      </c>
      <c r="B521" s="9">
        <v>45682</v>
      </c>
      <c r="C521" s="8" t="s">
        <v>22</v>
      </c>
      <c r="D521" s="8" t="s">
        <v>57</v>
      </c>
      <c r="E521" s="8" t="s">
        <v>383</v>
      </c>
      <c r="F521" s="31">
        <f>_xlfn.XLOOKUP(Table2[[#This Row],[Shoe style]],val[SHOE STYLE],val[UNIT PRICE])</f>
        <v>10196</v>
      </c>
      <c r="H521" s="11">
        <v>1</v>
      </c>
      <c r="I521" s="6">
        <f>IF(Table2[[#This Row],[Discount]]&lt;(Table2[[#This Row],[UNIT PRICE]]*Table2[[#This Row],[Quantity sold]]),Table2[[#This Row],[UNIT PRICE]]*Table2[[#This Row],[Quantity sold]]-Table2[[#This Row],[Discount]],0)</f>
        <v>10196</v>
      </c>
      <c r="J521" s="10">
        <v>48000</v>
      </c>
      <c r="K521" s="2">
        <f>_xlfn.XLOOKUP(Table2[[#This Row],[Shoe style]],val[SHOE STYLE],val[COST PRICE])</f>
        <v>7050</v>
      </c>
      <c r="L521" s="2">
        <f>(Table2[[#This Row],[COST PRICE]]*Table2[[#This Row],[Quantity sold]])</f>
        <v>7050</v>
      </c>
      <c r="M521" s="2">
        <f>Table2[[#This Row],[TOTAL SALES]]-Table2[[#This Row],[TOTAL COST PRICE]]</f>
        <v>3146</v>
      </c>
      <c r="N521" s="2">
        <f>IF(Table2[[#This Row],[Amount Paid]]&gt;0,(SUMIF(Table2[Order ID],Table2[[#This Row],[Order ID]],Table2[Amount Paid])-SUMIF(Table2[Order ID],Table2[[#This Row],[Order ID]],Table2[TOTAL SALES])),0)</f>
        <v>27966</v>
      </c>
      <c r="O521" s="8">
        <v>39</v>
      </c>
      <c r="P521" s="8" t="s">
        <v>25</v>
      </c>
      <c r="Q521" s="8" t="s">
        <v>195</v>
      </c>
      <c r="R521" s="8" t="s">
        <v>292</v>
      </c>
      <c r="S521" s="8" t="s">
        <v>28</v>
      </c>
      <c r="T521" s="8">
        <f t="shared" si="8"/>
        <v>0</v>
      </c>
      <c r="U521" t="str" cm="1">
        <f t="array" ref="U521">_xlfn.IFNA(_xlfn.IFS(Table2[[#This Row],[DEFICIT /SURPLUS]]&lt;0,"Deficit",Table2[[#This Row],[DEFICIT /SURPLUS]]&gt;0,"surplus"),"-")</f>
        <v>surplus</v>
      </c>
    </row>
    <row r="522" spans="1:21" ht="14.5">
      <c r="A522" s="8" t="s">
        <v>382</v>
      </c>
      <c r="B522" s="9">
        <v>45682</v>
      </c>
      <c r="C522" s="8" t="s">
        <v>22</v>
      </c>
      <c r="D522" s="8" t="s">
        <v>53</v>
      </c>
      <c r="E522" s="8" t="s">
        <v>384</v>
      </c>
      <c r="F522" s="31">
        <f>_xlfn.XLOOKUP(Table2[[#This Row],[Shoe style]],val[SHOE STYLE],val[UNIT PRICE])</f>
        <v>9838</v>
      </c>
      <c r="H522" s="11">
        <v>1</v>
      </c>
      <c r="I522" s="6">
        <f>IF(Table2[[#This Row],[Discount]]&lt;(Table2[[#This Row],[UNIT PRICE]]*Table2[[#This Row],[Quantity sold]]),Table2[[#This Row],[UNIT PRICE]]*Table2[[#This Row],[Quantity sold]]-Table2[[#This Row],[Discount]],0)</f>
        <v>9838</v>
      </c>
      <c r="K522" s="2">
        <f>_xlfn.XLOOKUP(Table2[[#This Row],[Shoe style]],val[SHOE STYLE],val[COST PRICE])</f>
        <v>6687</v>
      </c>
      <c r="L522" s="2">
        <f>(Table2[[#This Row],[COST PRICE]]*Table2[[#This Row],[Quantity sold]])</f>
        <v>6687</v>
      </c>
      <c r="M522" s="2">
        <f>Table2[[#This Row],[TOTAL SALES]]-Table2[[#This Row],[TOTAL COST PRICE]]</f>
        <v>3151</v>
      </c>
      <c r="N522" s="2">
        <f>IF(Table2[[#This Row],[Amount Paid]]&gt;0,(SUMIF(Table2[Order ID],Table2[[#This Row],[Order ID]],Table2[Amount Paid])-SUMIF(Table2[Order ID],Table2[[#This Row],[Order ID]],Table2[TOTAL SALES])),0)</f>
        <v>0</v>
      </c>
      <c r="O522" s="8">
        <v>39</v>
      </c>
      <c r="P522" s="8" t="s">
        <v>25</v>
      </c>
      <c r="Q522" s="8" t="s">
        <v>195</v>
      </c>
      <c r="R522" s="8" t="s">
        <v>292</v>
      </c>
      <c r="S522" s="8" t="s">
        <v>28</v>
      </c>
      <c r="T522" s="8">
        <f t="shared" si="8"/>
        <v>0</v>
      </c>
      <c r="U522" t="str" cm="1">
        <f t="array" ref="U522">_xlfn.IFNA(_xlfn.IFS(Table2[[#This Row],[DEFICIT /SURPLUS]]&lt;0,"Deficit",Table2[[#This Row],[DEFICIT /SURPLUS]]&gt;0,"surplus"),"-")</f>
        <v>-</v>
      </c>
    </row>
    <row r="523" spans="1:21" ht="14.5">
      <c r="A523" s="8" t="s">
        <v>385</v>
      </c>
      <c r="B523" s="9">
        <v>45682</v>
      </c>
      <c r="C523" s="8" t="s">
        <v>22</v>
      </c>
      <c r="D523" s="8" t="s">
        <v>42</v>
      </c>
      <c r="E523" s="8" t="s">
        <v>24</v>
      </c>
      <c r="F523" s="31">
        <f>_xlfn.XLOOKUP(Table2[[#This Row],[Shoe style]],val[SHOE STYLE],val[UNIT PRICE])</f>
        <v>17614</v>
      </c>
      <c r="H523" s="11">
        <v>1</v>
      </c>
      <c r="I523" s="6">
        <f>IF(Table2[[#This Row],[Discount]]&lt;(Table2[[#This Row],[UNIT PRICE]]*Table2[[#This Row],[Quantity sold]]),Table2[[#This Row],[UNIT PRICE]]*Table2[[#This Row],[Quantity sold]]-Table2[[#This Row],[Discount]],0)</f>
        <v>17614</v>
      </c>
      <c r="J523" s="10">
        <v>23500</v>
      </c>
      <c r="K523" s="2">
        <f>_xlfn.XLOOKUP(Table2[[#This Row],[Shoe style]],val[SHOE STYLE],val[COST PRICE])</f>
        <v>14912</v>
      </c>
      <c r="L523" s="2">
        <f>(Table2[[#This Row],[COST PRICE]]*Table2[[#This Row],[Quantity sold]])</f>
        <v>14912</v>
      </c>
      <c r="M523" s="2">
        <f>Table2[[#This Row],[TOTAL SALES]]-Table2[[#This Row],[TOTAL COST PRICE]]</f>
        <v>2702</v>
      </c>
      <c r="N523" s="2">
        <f>IF(Table2[[#This Row],[Amount Paid]]&gt;0,(SUMIF(Table2[Order ID],Table2[[#This Row],[Order ID]],Table2[Amount Paid])-SUMIF(Table2[Order ID],Table2[[#This Row],[Order ID]],Table2[TOTAL SALES])),0)</f>
        <v>5886</v>
      </c>
      <c r="O523" s="8">
        <v>39</v>
      </c>
      <c r="P523" s="8" t="s">
        <v>25</v>
      </c>
      <c r="Q523" s="8" t="s">
        <v>341</v>
      </c>
      <c r="R523" s="8" t="s">
        <v>27</v>
      </c>
      <c r="S523" s="8" t="s">
        <v>28</v>
      </c>
      <c r="T523" s="8">
        <f t="shared" si="8"/>
        <v>0</v>
      </c>
      <c r="U523" t="str" cm="1">
        <f t="array" ref="U523">_xlfn.IFNA(_xlfn.IFS(Table2[[#This Row],[DEFICIT /SURPLUS]]&lt;0,"Deficit",Table2[[#This Row],[DEFICIT /SURPLUS]]&gt;0,"surplus"),"-")</f>
        <v>surplus</v>
      </c>
    </row>
    <row r="524" spans="1:21" ht="14.5">
      <c r="A524" s="8" t="s">
        <v>386</v>
      </c>
      <c r="B524" s="9">
        <v>45682</v>
      </c>
      <c r="C524" s="8" t="s">
        <v>22</v>
      </c>
      <c r="D524" s="8" t="s">
        <v>49</v>
      </c>
      <c r="E524" s="8" t="s">
        <v>50</v>
      </c>
      <c r="F524" s="31">
        <f>_xlfn.XLOOKUP(Table2[[#This Row],[Shoe style]],val[SHOE STYLE],val[UNIT PRICE])</f>
        <v>20500</v>
      </c>
      <c r="H524" s="11">
        <v>1</v>
      </c>
      <c r="I524" s="6">
        <f>IF(Table2[[#This Row],[Discount]]&lt;(Table2[[#This Row],[UNIT PRICE]]*Table2[[#This Row],[Quantity sold]]),Table2[[#This Row],[UNIT PRICE]]*Table2[[#This Row],[Quantity sold]]-Table2[[#This Row],[Discount]],0)</f>
        <v>20500</v>
      </c>
      <c r="J524" s="10">
        <v>64500</v>
      </c>
      <c r="K524" s="2">
        <f>_xlfn.XLOOKUP(Table2[[#This Row],[Shoe style]],val[SHOE STYLE],val[COST PRICE])</f>
        <v>17339</v>
      </c>
      <c r="L524" s="2">
        <f>(Table2[[#This Row],[COST PRICE]]*Table2[[#This Row],[Quantity sold]])</f>
        <v>17339</v>
      </c>
      <c r="M524" s="2">
        <f>Table2[[#This Row],[TOTAL SALES]]-Table2[[#This Row],[TOTAL COST PRICE]]</f>
        <v>3161</v>
      </c>
      <c r="N524" s="2">
        <f>IF(Table2[[#This Row],[Amount Paid]]&gt;0,(SUMIF(Table2[Order ID],Table2[[#This Row],[Order ID]],Table2[Amount Paid])-SUMIF(Table2[Order ID],Table2[[#This Row],[Order ID]],Table2[TOTAL SALES])),0)</f>
        <v>16845</v>
      </c>
      <c r="O524" s="8">
        <v>42</v>
      </c>
      <c r="P524" s="8" t="s">
        <v>25</v>
      </c>
      <c r="Q524" s="8" t="s">
        <v>341</v>
      </c>
      <c r="R524" s="8" t="s">
        <v>292</v>
      </c>
      <c r="S524" s="8" t="s">
        <v>28</v>
      </c>
      <c r="T524" s="8">
        <f t="shared" si="8"/>
        <v>0</v>
      </c>
      <c r="U524" t="str" cm="1">
        <f t="array" ref="U524">_xlfn.IFNA(_xlfn.IFS(Table2[[#This Row],[DEFICIT /SURPLUS]]&lt;0,"Deficit",Table2[[#This Row],[DEFICIT /SURPLUS]]&gt;0,"surplus"),"-")</f>
        <v>surplus</v>
      </c>
    </row>
    <row r="525" spans="1:21" ht="14.5">
      <c r="A525" s="8" t="s">
        <v>386</v>
      </c>
      <c r="B525" s="9">
        <v>45682</v>
      </c>
      <c r="C525" s="8" t="s">
        <v>22</v>
      </c>
      <c r="D525" s="8" t="s">
        <v>68</v>
      </c>
      <c r="E525" s="8" t="s">
        <v>24</v>
      </c>
      <c r="F525" s="31">
        <f>_xlfn.XLOOKUP(Table2[[#This Row],[Shoe style]],val[SHOE STYLE],val[UNIT PRICE])</f>
        <v>10509</v>
      </c>
      <c r="H525" s="11">
        <v>1</v>
      </c>
      <c r="I525" s="6">
        <f>IF(Table2[[#This Row],[Discount]]&lt;(Table2[[#This Row],[UNIT PRICE]]*Table2[[#This Row],[Quantity sold]]),Table2[[#This Row],[UNIT PRICE]]*Table2[[#This Row],[Quantity sold]]-Table2[[#This Row],[Discount]],0)</f>
        <v>10509</v>
      </c>
      <c r="K525" s="2">
        <f>_xlfn.XLOOKUP(Table2[[#This Row],[Shoe style]],val[SHOE STYLE],val[COST PRICE])</f>
        <v>7573</v>
      </c>
      <c r="L525" s="2">
        <f>(Table2[[#This Row],[COST PRICE]]*Table2[[#This Row],[Quantity sold]])</f>
        <v>7573</v>
      </c>
      <c r="M525" s="2">
        <f>Table2[[#This Row],[TOTAL SALES]]-Table2[[#This Row],[TOTAL COST PRICE]]</f>
        <v>2936</v>
      </c>
      <c r="N525" s="2">
        <f>IF(Table2[[#This Row],[Amount Paid]]&gt;0,(SUMIF(Table2[Order ID],Table2[[#This Row],[Order ID]],Table2[Amount Paid])-SUMIF(Table2[Order ID],Table2[[#This Row],[Order ID]],Table2[TOTAL SALES])),0)</f>
        <v>0</v>
      </c>
      <c r="O525" s="8">
        <v>42</v>
      </c>
      <c r="P525" s="8" t="s">
        <v>25</v>
      </c>
      <c r="Q525" s="8" t="s">
        <v>341</v>
      </c>
      <c r="R525" s="8" t="s">
        <v>292</v>
      </c>
      <c r="S525" s="8" t="s">
        <v>28</v>
      </c>
      <c r="T525" s="8">
        <f t="shared" si="8"/>
        <v>0</v>
      </c>
      <c r="U525" t="str" cm="1">
        <f t="array" ref="U525">_xlfn.IFNA(_xlfn.IFS(Table2[[#This Row],[DEFICIT /SURPLUS]]&lt;0,"Deficit",Table2[[#This Row],[DEFICIT /SURPLUS]]&gt;0,"surplus"),"-")</f>
        <v>-</v>
      </c>
    </row>
    <row r="526" spans="1:21" ht="14.5">
      <c r="A526" s="8" t="s">
        <v>386</v>
      </c>
      <c r="B526" s="9">
        <v>45682</v>
      </c>
      <c r="C526" s="8" t="s">
        <v>22</v>
      </c>
      <c r="D526" s="8" t="s">
        <v>35</v>
      </c>
      <c r="E526" s="8" t="s">
        <v>43</v>
      </c>
      <c r="F526" s="31">
        <f>_xlfn.XLOOKUP(Table2[[#This Row],[Shoe style]],val[SHOE STYLE],val[UNIT PRICE])</f>
        <v>16646</v>
      </c>
      <c r="H526" s="11">
        <v>1</v>
      </c>
      <c r="I526" s="6">
        <f>IF(Table2[[#This Row],[Discount]]&lt;(Table2[[#This Row],[UNIT PRICE]]*Table2[[#This Row],[Quantity sold]]),Table2[[#This Row],[UNIT PRICE]]*Table2[[#This Row],[Quantity sold]]-Table2[[#This Row],[Discount]],0)</f>
        <v>16646</v>
      </c>
      <c r="K526" s="2">
        <f>_xlfn.XLOOKUP(Table2[[#This Row],[Shoe style]],val[SHOE STYLE],val[COST PRICE])</f>
        <v>13546</v>
      </c>
      <c r="L526" s="2">
        <f>(Table2[[#This Row],[COST PRICE]]*Table2[[#This Row],[Quantity sold]])</f>
        <v>13546</v>
      </c>
      <c r="M526" s="2">
        <f>Table2[[#This Row],[TOTAL SALES]]-Table2[[#This Row],[TOTAL COST PRICE]]</f>
        <v>3100</v>
      </c>
      <c r="N526" s="2">
        <f>IF(Table2[[#This Row],[Amount Paid]]&gt;0,(SUMIF(Table2[Order ID],Table2[[#This Row],[Order ID]],Table2[Amount Paid])-SUMIF(Table2[Order ID],Table2[[#This Row],[Order ID]],Table2[TOTAL SALES])),0)</f>
        <v>0</v>
      </c>
      <c r="O526" s="8">
        <v>42</v>
      </c>
      <c r="P526" s="8" t="s">
        <v>25</v>
      </c>
      <c r="Q526" s="8" t="s">
        <v>341</v>
      </c>
      <c r="R526" s="8" t="s">
        <v>292</v>
      </c>
      <c r="S526" s="8" t="s">
        <v>28</v>
      </c>
      <c r="T526" s="8">
        <f t="shared" si="8"/>
        <v>0</v>
      </c>
      <c r="U526" t="str" cm="1">
        <f t="array" ref="U526">_xlfn.IFNA(_xlfn.IFS(Table2[[#This Row],[DEFICIT /SURPLUS]]&lt;0,"Deficit",Table2[[#This Row],[DEFICIT /SURPLUS]]&gt;0,"surplus"),"-")</f>
        <v>-</v>
      </c>
    </row>
    <row r="527" spans="1:21" ht="14.5">
      <c r="A527" s="8" t="s">
        <v>387</v>
      </c>
      <c r="B527" s="9">
        <v>45682</v>
      </c>
      <c r="C527" s="8" t="s">
        <v>22</v>
      </c>
      <c r="D527" s="8" t="s">
        <v>35</v>
      </c>
      <c r="E527" s="8" t="s">
        <v>24</v>
      </c>
      <c r="F527" s="31">
        <f>_xlfn.XLOOKUP(Table2[[#This Row],[Shoe style]],val[SHOE STYLE],val[UNIT PRICE])</f>
        <v>16646</v>
      </c>
      <c r="H527" s="11">
        <v>1</v>
      </c>
      <c r="I527" s="6">
        <f>IF(Table2[[#This Row],[Discount]]&lt;(Table2[[#This Row],[UNIT PRICE]]*Table2[[#This Row],[Quantity sold]]),Table2[[#This Row],[UNIT PRICE]]*Table2[[#This Row],[Quantity sold]]-Table2[[#This Row],[Discount]],0)</f>
        <v>16646</v>
      </c>
      <c r="J527" s="10">
        <v>67400</v>
      </c>
      <c r="K527" s="2">
        <f>_xlfn.XLOOKUP(Table2[[#This Row],[Shoe style]],val[SHOE STYLE],val[COST PRICE])</f>
        <v>13546</v>
      </c>
      <c r="L527" s="2">
        <f>(Table2[[#This Row],[COST PRICE]]*Table2[[#This Row],[Quantity sold]])</f>
        <v>13546</v>
      </c>
      <c r="M527" s="2">
        <f>Table2[[#This Row],[TOTAL SALES]]-Table2[[#This Row],[TOTAL COST PRICE]]</f>
        <v>3100</v>
      </c>
      <c r="N527" s="2">
        <f>IF(Table2[[#This Row],[Amount Paid]]&gt;0,(SUMIF(Table2[Order ID],Table2[[#This Row],[Order ID]],Table2[Amount Paid])-SUMIF(Table2[Order ID],Table2[[#This Row],[Order ID]],Table2[TOTAL SALES])),0)</f>
        <v>17830</v>
      </c>
      <c r="O527" s="8">
        <v>41</v>
      </c>
      <c r="P527" s="8" t="s">
        <v>25</v>
      </c>
      <c r="Q527" s="8" t="s">
        <v>341</v>
      </c>
      <c r="R527" s="8" t="s">
        <v>44</v>
      </c>
      <c r="S527" s="8" t="s">
        <v>28</v>
      </c>
      <c r="T527" s="8">
        <f t="shared" si="8"/>
        <v>0</v>
      </c>
      <c r="U527" t="str" cm="1">
        <f t="array" ref="U527">_xlfn.IFNA(_xlfn.IFS(Table2[[#This Row],[DEFICIT /SURPLUS]]&lt;0,"Deficit",Table2[[#This Row],[DEFICIT /SURPLUS]]&gt;0,"surplus"),"-")</f>
        <v>surplus</v>
      </c>
    </row>
    <row r="528" spans="1:21" ht="14.5">
      <c r="A528" s="8" t="s">
        <v>387</v>
      </c>
      <c r="B528" s="9">
        <v>45682</v>
      </c>
      <c r="C528" s="8" t="s">
        <v>22</v>
      </c>
      <c r="D528" s="8" t="s">
        <v>37</v>
      </c>
      <c r="E528" s="8" t="s">
        <v>62</v>
      </c>
      <c r="F528" s="31">
        <f>_xlfn.XLOOKUP(Table2[[#This Row],[Shoe style]],val[SHOE STYLE],val[UNIT PRICE])</f>
        <v>22728</v>
      </c>
      <c r="H528" s="11">
        <v>1</v>
      </c>
      <c r="I528" s="6">
        <f>IF(Table2[[#This Row],[Discount]]&lt;(Table2[[#This Row],[UNIT PRICE]]*Table2[[#This Row],[Quantity sold]]),Table2[[#This Row],[UNIT PRICE]]*Table2[[#This Row],[Quantity sold]]-Table2[[#This Row],[Discount]],0)</f>
        <v>22728</v>
      </c>
      <c r="K528" s="2">
        <f>_xlfn.XLOOKUP(Table2[[#This Row],[Shoe style]],val[SHOE STYLE],val[COST PRICE])</f>
        <v>20451</v>
      </c>
      <c r="L528" s="2">
        <f>(Table2[[#This Row],[COST PRICE]]*Table2[[#This Row],[Quantity sold]])</f>
        <v>20451</v>
      </c>
      <c r="M528" s="2">
        <f>Table2[[#This Row],[TOTAL SALES]]-Table2[[#This Row],[TOTAL COST PRICE]]</f>
        <v>2277</v>
      </c>
      <c r="N528" s="2">
        <f>IF(Table2[[#This Row],[Amount Paid]]&gt;0,(SUMIF(Table2[Order ID],Table2[[#This Row],[Order ID]],Table2[Amount Paid])-SUMIF(Table2[Order ID],Table2[[#This Row],[Order ID]],Table2[TOTAL SALES])),0)</f>
        <v>0</v>
      </c>
      <c r="O528" s="8">
        <v>41</v>
      </c>
      <c r="P528" s="8" t="s">
        <v>25</v>
      </c>
      <c r="Q528" s="8" t="s">
        <v>341</v>
      </c>
      <c r="R528" s="8" t="s">
        <v>44</v>
      </c>
      <c r="S528" s="8" t="s">
        <v>28</v>
      </c>
      <c r="T528" s="8">
        <f t="shared" si="8"/>
        <v>0</v>
      </c>
      <c r="U528" t="str" cm="1">
        <f t="array" ref="U528">_xlfn.IFNA(_xlfn.IFS(Table2[[#This Row],[DEFICIT /SURPLUS]]&lt;0,"Deficit",Table2[[#This Row],[DEFICIT /SURPLUS]]&gt;0,"surplus"),"-")</f>
        <v>-</v>
      </c>
    </row>
    <row r="529" spans="1:21" ht="14.5">
      <c r="A529" s="8" t="s">
        <v>387</v>
      </c>
      <c r="B529" s="9">
        <v>45682</v>
      </c>
      <c r="C529" s="8" t="s">
        <v>22</v>
      </c>
      <c r="D529" s="8" t="s">
        <v>57</v>
      </c>
      <c r="E529" s="8" t="s">
        <v>40</v>
      </c>
      <c r="F529" s="31">
        <f>_xlfn.XLOOKUP(Table2[[#This Row],[Shoe style]],val[SHOE STYLE],val[UNIT PRICE])</f>
        <v>10196</v>
      </c>
      <c r="H529" s="11">
        <v>1</v>
      </c>
      <c r="I529" s="6">
        <f>IF(Table2[[#This Row],[Discount]]&lt;(Table2[[#This Row],[UNIT PRICE]]*Table2[[#This Row],[Quantity sold]]),Table2[[#This Row],[UNIT PRICE]]*Table2[[#This Row],[Quantity sold]]-Table2[[#This Row],[Discount]],0)</f>
        <v>10196</v>
      </c>
      <c r="K529" s="2">
        <f>_xlfn.XLOOKUP(Table2[[#This Row],[Shoe style]],val[SHOE STYLE],val[COST PRICE])</f>
        <v>7050</v>
      </c>
      <c r="L529" s="2">
        <f>(Table2[[#This Row],[COST PRICE]]*Table2[[#This Row],[Quantity sold]])</f>
        <v>7050</v>
      </c>
      <c r="M529" s="2">
        <f>Table2[[#This Row],[TOTAL SALES]]-Table2[[#This Row],[TOTAL COST PRICE]]</f>
        <v>3146</v>
      </c>
      <c r="N529" s="2">
        <f>IF(Table2[[#This Row],[Amount Paid]]&gt;0,(SUMIF(Table2[Order ID],Table2[[#This Row],[Order ID]],Table2[Amount Paid])-SUMIF(Table2[Order ID],Table2[[#This Row],[Order ID]],Table2[TOTAL SALES])),0)</f>
        <v>0</v>
      </c>
      <c r="O529" s="8">
        <v>41</v>
      </c>
      <c r="P529" s="8" t="s">
        <v>25</v>
      </c>
      <c r="Q529" s="8" t="s">
        <v>341</v>
      </c>
      <c r="R529" s="8" t="s">
        <v>44</v>
      </c>
      <c r="S529" s="8" t="s">
        <v>28</v>
      </c>
      <c r="T529" s="8">
        <f t="shared" si="8"/>
        <v>0</v>
      </c>
      <c r="U529" t="str" cm="1">
        <f t="array" ref="U529">_xlfn.IFNA(_xlfn.IFS(Table2[[#This Row],[DEFICIT /SURPLUS]]&lt;0,"Deficit",Table2[[#This Row],[DEFICIT /SURPLUS]]&gt;0,"surplus"),"-")</f>
        <v>-</v>
      </c>
    </row>
    <row r="530" spans="1:21" ht="14.5">
      <c r="A530" s="8" t="s">
        <v>388</v>
      </c>
      <c r="B530" s="9">
        <v>45682</v>
      </c>
      <c r="C530" s="8" t="s">
        <v>22</v>
      </c>
      <c r="D530" s="8" t="s">
        <v>29</v>
      </c>
      <c r="E530" s="8" t="s">
        <v>109</v>
      </c>
      <c r="F530" s="31">
        <f>_xlfn.XLOOKUP(Table2[[#This Row],[Shoe style]],val[SHOE STYLE],val[UNIT PRICE])</f>
        <v>12395</v>
      </c>
      <c r="H530" s="11">
        <v>1</v>
      </c>
      <c r="I530" s="6">
        <f>IF(Table2[[#This Row],[Discount]]&lt;(Table2[[#This Row],[UNIT PRICE]]*Table2[[#This Row],[Quantity sold]]),Table2[[#This Row],[UNIT PRICE]]*Table2[[#This Row],[Quantity sold]]-Table2[[#This Row],[Discount]],0)</f>
        <v>12395</v>
      </c>
      <c r="J530" s="10">
        <v>22000</v>
      </c>
      <c r="K530" s="2">
        <f>_xlfn.XLOOKUP(Table2[[#This Row],[Shoe style]],val[SHOE STYLE],val[COST PRICE])</f>
        <v>7909</v>
      </c>
      <c r="L530" s="2">
        <f>(Table2[[#This Row],[COST PRICE]]*Table2[[#This Row],[Quantity sold]])</f>
        <v>7909</v>
      </c>
      <c r="M530" s="2">
        <f>Table2[[#This Row],[TOTAL SALES]]-Table2[[#This Row],[TOTAL COST PRICE]]</f>
        <v>4486</v>
      </c>
      <c r="N530" s="2">
        <f>IF(Table2[[#This Row],[Amount Paid]]&gt;0,(SUMIF(Table2[Order ID],Table2[[#This Row],[Order ID]],Table2[Amount Paid])-SUMIF(Table2[Order ID],Table2[[#This Row],[Order ID]],Table2[TOTAL SALES])),0)</f>
        <v>9605</v>
      </c>
      <c r="O530" s="8">
        <v>40</v>
      </c>
      <c r="P530" s="8" t="s">
        <v>25</v>
      </c>
      <c r="Q530" s="8" t="s">
        <v>341</v>
      </c>
      <c r="R530" s="8" t="s">
        <v>292</v>
      </c>
      <c r="S530" s="8" t="s">
        <v>28</v>
      </c>
      <c r="T530" s="8">
        <f t="shared" si="8"/>
        <v>0</v>
      </c>
      <c r="U530" t="str" cm="1">
        <f t="array" ref="U530">_xlfn.IFNA(_xlfn.IFS(Table2[[#This Row],[DEFICIT /SURPLUS]]&lt;0,"Deficit",Table2[[#This Row],[DEFICIT /SURPLUS]]&gt;0,"surplus"),"-")</f>
        <v>surplus</v>
      </c>
    </row>
    <row r="531" spans="1:21" ht="14.5">
      <c r="A531" s="8" t="s">
        <v>389</v>
      </c>
      <c r="B531" s="9">
        <v>45682</v>
      </c>
      <c r="C531" s="8" t="s">
        <v>22</v>
      </c>
      <c r="D531" s="8" t="s">
        <v>49</v>
      </c>
      <c r="E531" s="8" t="s">
        <v>24</v>
      </c>
      <c r="F531" s="31">
        <f>_xlfn.XLOOKUP(Table2[[#This Row],[Shoe style]],val[SHOE STYLE],val[UNIT PRICE])</f>
        <v>20500</v>
      </c>
      <c r="H531" s="11">
        <v>1</v>
      </c>
      <c r="I531" s="6">
        <f>IF(Table2[[#This Row],[Discount]]&lt;(Table2[[#This Row],[UNIT PRICE]]*Table2[[#This Row],[Quantity sold]]),Table2[[#This Row],[UNIT PRICE]]*Table2[[#This Row],[Quantity sold]]-Table2[[#This Row],[Discount]],0)</f>
        <v>20500</v>
      </c>
      <c r="J531" s="10">
        <v>24500</v>
      </c>
      <c r="K531" s="2">
        <f>_xlfn.XLOOKUP(Table2[[#This Row],[Shoe style]],val[SHOE STYLE],val[COST PRICE])</f>
        <v>17339</v>
      </c>
      <c r="L531" s="2">
        <f>(Table2[[#This Row],[COST PRICE]]*Table2[[#This Row],[Quantity sold]])</f>
        <v>17339</v>
      </c>
      <c r="M531" s="2">
        <f>Table2[[#This Row],[TOTAL SALES]]-Table2[[#This Row],[TOTAL COST PRICE]]</f>
        <v>3161</v>
      </c>
      <c r="N531" s="2">
        <f>IF(Table2[[#This Row],[Amount Paid]]&gt;0,(SUMIF(Table2[Order ID],Table2[[#This Row],[Order ID]],Table2[Amount Paid])-SUMIF(Table2[Order ID],Table2[[#This Row],[Order ID]],Table2[TOTAL SALES])),0)</f>
        <v>4000</v>
      </c>
      <c r="O531" s="8">
        <v>40</v>
      </c>
      <c r="P531" s="8" t="s">
        <v>25</v>
      </c>
      <c r="Q531" s="8" t="s">
        <v>341</v>
      </c>
      <c r="R531" s="8" t="s">
        <v>292</v>
      </c>
      <c r="S531" s="8" t="s">
        <v>28</v>
      </c>
      <c r="T531" s="8">
        <f t="shared" si="8"/>
        <v>0</v>
      </c>
      <c r="U531" t="str" cm="1">
        <f t="array" ref="U531">_xlfn.IFNA(_xlfn.IFS(Table2[[#This Row],[DEFICIT /SURPLUS]]&lt;0,"Deficit",Table2[[#This Row],[DEFICIT /SURPLUS]]&gt;0,"surplus"),"-")</f>
        <v>surplus</v>
      </c>
    </row>
    <row r="532" spans="1:21" ht="14.5">
      <c r="A532" s="8" t="s">
        <v>390</v>
      </c>
      <c r="B532" s="9">
        <v>45685</v>
      </c>
      <c r="C532" s="8" t="s">
        <v>22</v>
      </c>
      <c r="D532" s="8" t="s">
        <v>29</v>
      </c>
      <c r="E532" s="8" t="s">
        <v>40</v>
      </c>
      <c r="F532" s="31">
        <f>_xlfn.XLOOKUP(Table2[[#This Row],[Shoe style]],val[SHOE STYLE],val[UNIT PRICE])</f>
        <v>12395</v>
      </c>
      <c r="H532" s="11">
        <v>1</v>
      </c>
      <c r="I532" s="6">
        <f>IF(Table2[[#This Row],[Discount]]&lt;(Table2[[#This Row],[UNIT PRICE]]*Table2[[#This Row],[Quantity sold]]),Table2[[#This Row],[UNIT PRICE]]*Table2[[#This Row],[Quantity sold]]-Table2[[#This Row],[Discount]],0)</f>
        <v>12395</v>
      </c>
      <c r="J532" s="10">
        <v>24500</v>
      </c>
      <c r="K532" s="2">
        <f>_xlfn.XLOOKUP(Table2[[#This Row],[Shoe style]],val[SHOE STYLE],val[COST PRICE])</f>
        <v>7909</v>
      </c>
      <c r="L532" s="2">
        <f>(Table2[[#This Row],[COST PRICE]]*Table2[[#This Row],[Quantity sold]])</f>
        <v>7909</v>
      </c>
      <c r="M532" s="2">
        <f>Table2[[#This Row],[TOTAL SALES]]-Table2[[#This Row],[TOTAL COST PRICE]]</f>
        <v>4486</v>
      </c>
      <c r="N532" s="2">
        <f>IF(Table2[[#This Row],[Amount Paid]]&gt;0,(SUMIF(Table2[Order ID],Table2[[#This Row],[Order ID]],Table2[Amount Paid])-SUMIF(Table2[Order ID],Table2[[#This Row],[Order ID]],Table2[TOTAL SALES])),0)</f>
        <v>12105</v>
      </c>
      <c r="O532" s="8">
        <v>42</v>
      </c>
      <c r="P532" s="8" t="s">
        <v>25</v>
      </c>
      <c r="Q532" s="8" t="s">
        <v>341</v>
      </c>
      <c r="R532" s="8" t="s">
        <v>292</v>
      </c>
      <c r="S532" s="8" t="s">
        <v>28</v>
      </c>
      <c r="T532" s="8">
        <f t="shared" si="8"/>
        <v>0</v>
      </c>
      <c r="U532" t="str" cm="1">
        <f t="array" ref="U532">_xlfn.IFNA(_xlfn.IFS(Table2[[#This Row],[DEFICIT /SURPLUS]]&lt;0,"Deficit",Table2[[#This Row],[DEFICIT /SURPLUS]]&gt;0,"surplus"),"-")</f>
        <v>surplus</v>
      </c>
    </row>
    <row r="533" spans="1:21" ht="14.5">
      <c r="A533" s="8" t="s">
        <v>391</v>
      </c>
      <c r="B533" s="9">
        <v>45685</v>
      </c>
      <c r="C533" s="8" t="s">
        <v>22</v>
      </c>
      <c r="D533" s="8" t="s">
        <v>29</v>
      </c>
      <c r="E533" s="8" t="s">
        <v>392</v>
      </c>
      <c r="F533" s="31">
        <f>_xlfn.XLOOKUP(Table2[[#This Row],[Shoe style]],val[SHOE STYLE],val[UNIT PRICE])</f>
        <v>12395</v>
      </c>
      <c r="H533" s="11">
        <v>1</v>
      </c>
      <c r="I533" s="6">
        <f>IF(Table2[[#This Row],[Discount]]&lt;(Table2[[#This Row],[UNIT PRICE]]*Table2[[#This Row],[Quantity sold]]),Table2[[#This Row],[UNIT PRICE]]*Table2[[#This Row],[Quantity sold]]-Table2[[#This Row],[Discount]],0)</f>
        <v>12395</v>
      </c>
      <c r="J533" s="10">
        <v>19500</v>
      </c>
      <c r="K533" s="2">
        <f>_xlfn.XLOOKUP(Table2[[#This Row],[Shoe style]],val[SHOE STYLE],val[COST PRICE])</f>
        <v>7909</v>
      </c>
      <c r="L533" s="2">
        <f>(Table2[[#This Row],[COST PRICE]]*Table2[[#This Row],[Quantity sold]])</f>
        <v>7909</v>
      </c>
      <c r="M533" s="2">
        <f>Table2[[#This Row],[TOTAL SALES]]-Table2[[#This Row],[TOTAL COST PRICE]]</f>
        <v>4486</v>
      </c>
      <c r="N533" s="2">
        <f>IF(Table2[[#This Row],[Amount Paid]]&gt;0,(SUMIF(Table2[Order ID],Table2[[#This Row],[Order ID]],Table2[Amount Paid])-SUMIF(Table2[Order ID],Table2[[#This Row],[Order ID]],Table2[TOTAL SALES])),0)</f>
        <v>7105</v>
      </c>
      <c r="O533" s="8">
        <v>40</v>
      </c>
      <c r="P533" s="8" t="s">
        <v>25</v>
      </c>
      <c r="Q533" s="8" t="s">
        <v>341</v>
      </c>
      <c r="R533" s="8" t="s">
        <v>292</v>
      </c>
      <c r="S533" s="8" t="s">
        <v>28</v>
      </c>
      <c r="T533" s="8">
        <f t="shared" si="8"/>
        <v>0</v>
      </c>
      <c r="U533" t="str" cm="1">
        <f t="array" ref="U533">_xlfn.IFNA(_xlfn.IFS(Table2[[#This Row],[DEFICIT /SURPLUS]]&lt;0,"Deficit",Table2[[#This Row],[DEFICIT /SURPLUS]]&gt;0,"surplus"),"-")</f>
        <v>surplus</v>
      </c>
    </row>
    <row r="534" spans="1:21" ht="14.5">
      <c r="A534" s="8" t="s">
        <v>393</v>
      </c>
      <c r="B534" s="9">
        <v>45686</v>
      </c>
      <c r="C534" s="8" t="s">
        <v>223</v>
      </c>
      <c r="D534" s="8" t="s">
        <v>136</v>
      </c>
      <c r="E534" s="8" t="s">
        <v>24</v>
      </c>
      <c r="F534" s="31">
        <f>_xlfn.XLOOKUP(Table2[[#This Row],[Shoe style]],val[SHOE STYLE],val[UNIT PRICE])</f>
        <v>20502</v>
      </c>
      <c r="H534" s="11">
        <v>1</v>
      </c>
      <c r="I534" s="6">
        <f>IF(Table2[[#This Row],[Discount]]&lt;(Table2[[#This Row],[UNIT PRICE]]*Table2[[#This Row],[Quantity sold]]),Table2[[#This Row],[UNIT PRICE]]*Table2[[#This Row],[Quantity sold]]-Table2[[#This Row],[Discount]],0)</f>
        <v>20502</v>
      </c>
      <c r="K534" s="2">
        <f>_xlfn.XLOOKUP(Table2[[#This Row],[Shoe style]],val[SHOE STYLE],val[COST PRICE])</f>
        <v>18239</v>
      </c>
      <c r="L534" s="2">
        <f>(Table2[[#This Row],[COST PRICE]]*Table2[[#This Row],[Quantity sold]])</f>
        <v>18239</v>
      </c>
      <c r="M534" s="2">
        <f>Table2[[#This Row],[TOTAL SALES]]-Table2[[#This Row],[TOTAL COST PRICE]]</f>
        <v>2263</v>
      </c>
      <c r="N534" s="2">
        <f>IF(Table2[[#This Row],[Amount Paid]]&gt;0,(SUMIF(Table2[Order ID],Table2[[#This Row],[Order ID]],Table2[Amount Paid])-SUMIF(Table2[Order ID],Table2[[#This Row],[Order ID]],Table2[TOTAL SALES])),0)</f>
        <v>0</v>
      </c>
      <c r="O534" s="8">
        <v>43</v>
      </c>
      <c r="P534" s="8" t="s">
        <v>25</v>
      </c>
      <c r="Q534" s="8" t="s">
        <v>341</v>
      </c>
      <c r="R534" s="8" t="s">
        <v>292</v>
      </c>
      <c r="S534" s="8" t="s">
        <v>28</v>
      </c>
      <c r="T534" s="8">
        <f t="shared" si="8"/>
        <v>0</v>
      </c>
      <c r="U534" t="str" cm="1">
        <f t="array" ref="U534">_xlfn.IFNA(_xlfn.IFS(Table2[[#This Row],[DEFICIT /SURPLUS]]&lt;0,"Deficit",Table2[[#This Row],[DEFICIT /SURPLUS]]&gt;0,"surplus"),"-")</f>
        <v>-</v>
      </c>
    </row>
    <row r="535" spans="1:21" ht="14.5">
      <c r="A535" s="8" t="s">
        <v>393</v>
      </c>
      <c r="B535" s="9">
        <v>45686</v>
      </c>
      <c r="C535" s="8" t="s">
        <v>223</v>
      </c>
      <c r="D535" s="8" t="s">
        <v>140</v>
      </c>
      <c r="E535" s="8" t="s">
        <v>50</v>
      </c>
      <c r="F535" s="31">
        <f>_xlfn.XLOOKUP(Table2[[#This Row],[Shoe style]],val[SHOE STYLE],val[UNIT PRICE])</f>
        <v>22517</v>
      </c>
      <c r="H535" s="11">
        <v>1</v>
      </c>
      <c r="I535" s="6">
        <f>IF(Table2[[#This Row],[Discount]]&lt;(Table2[[#This Row],[UNIT PRICE]]*Table2[[#This Row],[Quantity sold]]),Table2[[#This Row],[UNIT PRICE]]*Table2[[#This Row],[Quantity sold]]-Table2[[#This Row],[Discount]],0)</f>
        <v>22517</v>
      </c>
      <c r="K535" s="2">
        <f>_xlfn.XLOOKUP(Table2[[#This Row],[Shoe style]],val[SHOE STYLE],val[COST PRICE])</f>
        <v>18931</v>
      </c>
      <c r="L535" s="2">
        <f>(Table2[[#This Row],[COST PRICE]]*Table2[[#This Row],[Quantity sold]])</f>
        <v>18931</v>
      </c>
      <c r="M535" s="2">
        <f>Table2[[#This Row],[TOTAL SALES]]-Table2[[#This Row],[TOTAL COST PRICE]]</f>
        <v>3586</v>
      </c>
      <c r="N535" s="2">
        <f>IF(Table2[[#This Row],[Amount Paid]]&gt;0,(SUMIF(Table2[Order ID],Table2[[#This Row],[Order ID]],Table2[Amount Paid])-SUMIF(Table2[Order ID],Table2[[#This Row],[Order ID]],Table2[TOTAL SALES])),0)</f>
        <v>0</v>
      </c>
      <c r="O535" s="8">
        <v>43</v>
      </c>
      <c r="P535" s="8" t="s">
        <v>25</v>
      </c>
      <c r="Q535" s="8" t="s">
        <v>341</v>
      </c>
      <c r="R535" s="8" t="s">
        <v>292</v>
      </c>
      <c r="S535" s="8" t="s">
        <v>28</v>
      </c>
      <c r="T535" s="8">
        <f t="shared" si="8"/>
        <v>0</v>
      </c>
      <c r="U535" t="str" cm="1">
        <f t="array" ref="U535">_xlfn.IFNA(_xlfn.IFS(Table2[[#This Row],[DEFICIT /SURPLUS]]&lt;0,"Deficit",Table2[[#This Row],[DEFICIT /SURPLUS]]&gt;0,"surplus"),"-")</f>
        <v>-</v>
      </c>
    </row>
    <row r="536" spans="1:21" ht="14.5">
      <c r="A536" s="8" t="s">
        <v>394</v>
      </c>
      <c r="B536" s="9">
        <v>45686</v>
      </c>
      <c r="C536" s="8" t="s">
        <v>22</v>
      </c>
      <c r="D536" s="8" t="s">
        <v>68</v>
      </c>
      <c r="E536" s="8" t="s">
        <v>63</v>
      </c>
      <c r="F536" s="31">
        <f>_xlfn.XLOOKUP(Table2[[#This Row],[Shoe style]],val[SHOE STYLE],val[UNIT PRICE])</f>
        <v>10509</v>
      </c>
      <c r="H536" s="11">
        <v>1</v>
      </c>
      <c r="I536" s="6">
        <f>IF(Table2[[#This Row],[Discount]]&lt;(Table2[[#This Row],[UNIT PRICE]]*Table2[[#This Row],[Quantity sold]]),Table2[[#This Row],[UNIT PRICE]]*Table2[[#This Row],[Quantity sold]]-Table2[[#This Row],[Discount]],0)</f>
        <v>10509</v>
      </c>
      <c r="J536" s="10">
        <v>24500</v>
      </c>
      <c r="K536" s="2">
        <f>_xlfn.XLOOKUP(Table2[[#This Row],[Shoe style]],val[SHOE STYLE],val[COST PRICE])</f>
        <v>7573</v>
      </c>
      <c r="L536" s="2">
        <f>(Table2[[#This Row],[COST PRICE]]*Table2[[#This Row],[Quantity sold]])</f>
        <v>7573</v>
      </c>
      <c r="M536" s="2">
        <f>Table2[[#This Row],[TOTAL SALES]]-Table2[[#This Row],[TOTAL COST PRICE]]</f>
        <v>2936</v>
      </c>
      <c r="N536" s="2">
        <f>IF(Table2[[#This Row],[Amount Paid]]&gt;0,(SUMIF(Table2[Order ID],Table2[[#This Row],[Order ID]],Table2[Amount Paid])-SUMIF(Table2[Order ID],Table2[[#This Row],[Order ID]],Table2[TOTAL SALES])),0)</f>
        <v>13991</v>
      </c>
      <c r="O536" s="8">
        <v>39</v>
      </c>
      <c r="P536" s="8" t="s">
        <v>25</v>
      </c>
      <c r="Q536" s="8" t="s">
        <v>341</v>
      </c>
      <c r="R536" s="8" t="s">
        <v>292</v>
      </c>
      <c r="S536" s="8" t="s">
        <v>28</v>
      </c>
      <c r="T536" s="8">
        <f t="shared" si="8"/>
        <v>0</v>
      </c>
      <c r="U536" t="str" cm="1">
        <f t="array" ref="U536">_xlfn.IFNA(_xlfn.IFS(Table2[[#This Row],[DEFICIT /SURPLUS]]&lt;0,"Deficit",Table2[[#This Row],[DEFICIT /SURPLUS]]&gt;0,"surplus"),"-")</f>
        <v>surplus</v>
      </c>
    </row>
    <row r="537" spans="1:21" ht="14.5">
      <c r="A537" s="8" t="s">
        <v>395</v>
      </c>
      <c r="B537" s="9">
        <v>45689</v>
      </c>
      <c r="C537" s="8" t="s">
        <v>22</v>
      </c>
      <c r="D537" s="8" t="s">
        <v>71</v>
      </c>
      <c r="E537" s="8" t="s">
        <v>78</v>
      </c>
      <c r="F537" s="31">
        <f>_xlfn.XLOOKUP(Table2[[#This Row],[Shoe style]],val[SHOE STYLE],val[UNIT PRICE])</f>
        <v>14873</v>
      </c>
      <c r="H537" s="11">
        <v>1</v>
      </c>
      <c r="I537" s="6">
        <f>IF(Table2[[#This Row],[Discount]]&lt;(Table2[[#This Row],[UNIT PRICE]]*Table2[[#This Row],[Quantity sold]]),Table2[[#This Row],[UNIT PRICE]]*Table2[[#This Row],[Quantity sold]]-Table2[[#This Row],[Discount]],0)</f>
        <v>14873</v>
      </c>
      <c r="J537" s="10">
        <v>26180</v>
      </c>
      <c r="K537" s="2">
        <f>_xlfn.XLOOKUP(Table2[[#This Row],[Shoe style]],val[SHOE STYLE],val[COST PRICE])</f>
        <v>11503</v>
      </c>
      <c r="L537" s="2">
        <f>(Table2[[#This Row],[COST PRICE]]*Table2[[#This Row],[Quantity sold]])</f>
        <v>11503</v>
      </c>
      <c r="M537" s="2">
        <f>Table2[[#This Row],[TOTAL SALES]]-Table2[[#This Row],[TOTAL COST PRICE]]</f>
        <v>3370</v>
      </c>
      <c r="N537" s="2">
        <f>IF(Table2[[#This Row],[Amount Paid]]&gt;0,(SUMIF(Table2[Order ID],Table2[[#This Row],[Order ID]],Table2[Amount Paid])-SUMIF(Table2[Order ID],Table2[[#This Row],[Order ID]],Table2[TOTAL SALES])),0)</f>
        <v>11307</v>
      </c>
      <c r="O537" s="8">
        <v>39</v>
      </c>
      <c r="P537" s="8" t="s">
        <v>25</v>
      </c>
      <c r="Q537" s="8" t="s">
        <v>54</v>
      </c>
      <c r="R537" s="8" t="s">
        <v>27</v>
      </c>
      <c r="S537" s="8" t="s">
        <v>28</v>
      </c>
      <c r="T537" s="8">
        <f t="shared" si="8"/>
        <v>0</v>
      </c>
      <c r="U537" t="str" cm="1">
        <f t="array" ref="U537">_xlfn.IFNA(_xlfn.IFS(Table2[[#This Row],[DEFICIT /SURPLUS]]&lt;0,"Deficit",Table2[[#This Row],[DEFICIT /SURPLUS]]&gt;0,"surplus"),"-")</f>
        <v>surplus</v>
      </c>
    </row>
    <row r="538" spans="1:21" ht="14.5">
      <c r="A538" s="8" t="s">
        <v>396</v>
      </c>
      <c r="B538" s="9">
        <v>45690</v>
      </c>
      <c r="C538" s="8" t="s">
        <v>22</v>
      </c>
      <c r="D538" s="8" t="s">
        <v>29</v>
      </c>
      <c r="E538" s="8" t="s">
        <v>24</v>
      </c>
      <c r="F538" s="31">
        <f>_xlfn.XLOOKUP(Table2[[#This Row],[Shoe style]],val[SHOE STYLE],val[UNIT PRICE])</f>
        <v>12395</v>
      </c>
      <c r="H538" s="11">
        <v>1</v>
      </c>
      <c r="I538" s="6">
        <f>IF(Table2[[#This Row],[Discount]]&lt;(Table2[[#This Row],[UNIT PRICE]]*Table2[[#This Row],[Quantity sold]]),Table2[[#This Row],[UNIT PRICE]]*Table2[[#This Row],[Quantity sold]]-Table2[[#This Row],[Discount]],0)</f>
        <v>12395</v>
      </c>
      <c r="J538" s="10">
        <v>78000</v>
      </c>
      <c r="K538" s="2">
        <f>_xlfn.XLOOKUP(Table2[[#This Row],[Shoe style]],val[SHOE STYLE],val[COST PRICE])</f>
        <v>7909</v>
      </c>
      <c r="L538" s="2">
        <f>(Table2[[#This Row],[COST PRICE]]*Table2[[#This Row],[Quantity sold]])</f>
        <v>7909</v>
      </c>
      <c r="M538" s="2">
        <f>Table2[[#This Row],[TOTAL SALES]]-Table2[[#This Row],[TOTAL COST PRICE]]</f>
        <v>4486</v>
      </c>
      <c r="N538" s="2">
        <f>IF(Table2[[#This Row],[Amount Paid]]&gt;0,(SUMIF(Table2[Order ID],Table2[[#This Row],[Order ID]],Table2[Amount Paid])-SUMIF(Table2[Order ID],Table2[[#This Row],[Order ID]],Table2[TOTAL SALES])),0)</f>
        <v>43372</v>
      </c>
      <c r="O538" s="8">
        <v>43</v>
      </c>
      <c r="P538" s="8" t="s">
        <v>25</v>
      </c>
      <c r="Q538" s="8" t="s">
        <v>195</v>
      </c>
      <c r="R538" s="8" t="s">
        <v>292</v>
      </c>
      <c r="S538" s="8" t="s">
        <v>28</v>
      </c>
      <c r="T538" s="8">
        <f t="shared" si="8"/>
        <v>0</v>
      </c>
      <c r="U538" t="str" cm="1">
        <f t="array" ref="U538">_xlfn.IFNA(_xlfn.IFS(Table2[[#This Row],[DEFICIT /SURPLUS]]&lt;0,"Deficit",Table2[[#This Row],[DEFICIT /SURPLUS]]&gt;0,"surplus"),"-")</f>
        <v>surplus</v>
      </c>
    </row>
    <row r="539" spans="1:21" ht="14.5">
      <c r="A539" s="8" t="s">
        <v>396</v>
      </c>
      <c r="B539" s="9">
        <v>45690</v>
      </c>
      <c r="C539" s="8" t="s">
        <v>22</v>
      </c>
      <c r="D539" s="8" t="s">
        <v>29</v>
      </c>
      <c r="E539" s="8" t="s">
        <v>397</v>
      </c>
      <c r="F539" s="31">
        <f>_xlfn.XLOOKUP(Table2[[#This Row],[Shoe style]],val[SHOE STYLE],val[UNIT PRICE])</f>
        <v>12395</v>
      </c>
      <c r="H539" s="11">
        <v>1</v>
      </c>
      <c r="I539" s="6">
        <f>IF(Table2[[#This Row],[Discount]]&lt;(Table2[[#This Row],[UNIT PRICE]]*Table2[[#This Row],[Quantity sold]]),Table2[[#This Row],[UNIT PRICE]]*Table2[[#This Row],[Quantity sold]]-Table2[[#This Row],[Discount]],0)</f>
        <v>12395</v>
      </c>
      <c r="K539" s="2">
        <f>_xlfn.XLOOKUP(Table2[[#This Row],[Shoe style]],val[SHOE STYLE],val[COST PRICE])</f>
        <v>7909</v>
      </c>
      <c r="L539" s="2">
        <f>(Table2[[#This Row],[COST PRICE]]*Table2[[#This Row],[Quantity sold]])</f>
        <v>7909</v>
      </c>
      <c r="M539" s="2">
        <f>Table2[[#This Row],[TOTAL SALES]]-Table2[[#This Row],[TOTAL COST PRICE]]</f>
        <v>4486</v>
      </c>
      <c r="N539" s="2">
        <f>IF(Table2[[#This Row],[Amount Paid]]&gt;0,(SUMIF(Table2[Order ID],Table2[[#This Row],[Order ID]],Table2[Amount Paid])-SUMIF(Table2[Order ID],Table2[[#This Row],[Order ID]],Table2[TOTAL SALES])),0)</f>
        <v>0</v>
      </c>
      <c r="O539" s="8">
        <v>43</v>
      </c>
      <c r="P539" s="8" t="s">
        <v>25</v>
      </c>
      <c r="Q539" s="8" t="s">
        <v>195</v>
      </c>
      <c r="R539" s="8" t="s">
        <v>292</v>
      </c>
      <c r="S539" s="8" t="s">
        <v>28</v>
      </c>
      <c r="T539" s="8">
        <f t="shared" si="8"/>
        <v>0</v>
      </c>
      <c r="U539" t="str" cm="1">
        <f t="array" ref="U539">_xlfn.IFNA(_xlfn.IFS(Table2[[#This Row],[DEFICIT /SURPLUS]]&lt;0,"Deficit",Table2[[#This Row],[DEFICIT /SURPLUS]]&gt;0,"surplus"),"-")</f>
        <v>-</v>
      </c>
    </row>
    <row r="540" spans="1:21" ht="14.5">
      <c r="A540" s="8" t="s">
        <v>396</v>
      </c>
      <c r="B540" s="9">
        <v>45690</v>
      </c>
      <c r="C540" s="8" t="s">
        <v>22</v>
      </c>
      <c r="D540" s="8" t="s">
        <v>53</v>
      </c>
      <c r="E540" s="8" t="s">
        <v>122</v>
      </c>
      <c r="F540" s="31">
        <f>_xlfn.XLOOKUP(Table2[[#This Row],[Shoe style]],val[SHOE STYLE],val[UNIT PRICE])</f>
        <v>9838</v>
      </c>
      <c r="H540" s="11">
        <v>1</v>
      </c>
      <c r="I540" s="6">
        <f>IF(Table2[[#This Row],[Discount]]&lt;(Table2[[#This Row],[UNIT PRICE]]*Table2[[#This Row],[Quantity sold]]),Table2[[#This Row],[UNIT PRICE]]*Table2[[#This Row],[Quantity sold]]-Table2[[#This Row],[Discount]],0)</f>
        <v>9838</v>
      </c>
      <c r="K540" s="2">
        <f>_xlfn.XLOOKUP(Table2[[#This Row],[Shoe style]],val[SHOE STYLE],val[COST PRICE])</f>
        <v>6687</v>
      </c>
      <c r="L540" s="2">
        <f>(Table2[[#This Row],[COST PRICE]]*Table2[[#This Row],[Quantity sold]])</f>
        <v>6687</v>
      </c>
      <c r="M540" s="2">
        <f>Table2[[#This Row],[TOTAL SALES]]-Table2[[#This Row],[TOTAL COST PRICE]]</f>
        <v>3151</v>
      </c>
      <c r="N540" s="2">
        <f>IF(Table2[[#This Row],[Amount Paid]]&gt;0,(SUMIF(Table2[Order ID],Table2[[#This Row],[Order ID]],Table2[Amount Paid])-SUMIF(Table2[Order ID],Table2[[#This Row],[Order ID]],Table2[TOTAL SALES])),0)</f>
        <v>0</v>
      </c>
      <c r="O540" s="8">
        <v>43</v>
      </c>
      <c r="P540" s="8" t="s">
        <v>25</v>
      </c>
      <c r="Q540" s="8" t="s">
        <v>195</v>
      </c>
      <c r="R540" s="8" t="s">
        <v>292</v>
      </c>
      <c r="S540" s="8" t="s">
        <v>28</v>
      </c>
      <c r="T540" s="8">
        <f t="shared" si="8"/>
        <v>0</v>
      </c>
      <c r="U540" t="str" cm="1">
        <f t="array" ref="U540">_xlfn.IFNA(_xlfn.IFS(Table2[[#This Row],[DEFICIT /SURPLUS]]&lt;0,"Deficit",Table2[[#This Row],[DEFICIT /SURPLUS]]&gt;0,"surplus"),"-")</f>
        <v>-</v>
      </c>
    </row>
    <row r="541" spans="1:21" ht="14.5">
      <c r="A541" s="8" t="s">
        <v>398</v>
      </c>
      <c r="B541" s="9">
        <v>45690</v>
      </c>
      <c r="C541" s="8" t="s">
        <v>22</v>
      </c>
      <c r="D541" s="8" t="s">
        <v>53</v>
      </c>
      <c r="E541" s="8" t="s">
        <v>89</v>
      </c>
      <c r="F541" s="31">
        <f>_xlfn.XLOOKUP(Table2[[#This Row],[Shoe style]],val[SHOE STYLE],val[UNIT PRICE])</f>
        <v>9838</v>
      </c>
      <c r="H541" s="11">
        <v>1</v>
      </c>
      <c r="I541" s="6">
        <f>IF(Table2[[#This Row],[Discount]]&lt;(Table2[[#This Row],[UNIT PRICE]]*Table2[[#This Row],[Quantity sold]]),Table2[[#This Row],[UNIT PRICE]]*Table2[[#This Row],[Quantity sold]]-Table2[[#This Row],[Discount]],0)</f>
        <v>9838</v>
      </c>
      <c r="J541" s="10">
        <v>19500</v>
      </c>
      <c r="K541" s="2">
        <f>_xlfn.XLOOKUP(Table2[[#This Row],[Shoe style]],val[SHOE STYLE],val[COST PRICE])</f>
        <v>6687</v>
      </c>
      <c r="L541" s="2">
        <f>(Table2[[#This Row],[COST PRICE]]*Table2[[#This Row],[Quantity sold]])</f>
        <v>6687</v>
      </c>
      <c r="M541" s="2">
        <f>Table2[[#This Row],[TOTAL SALES]]-Table2[[#This Row],[TOTAL COST PRICE]]</f>
        <v>3151</v>
      </c>
      <c r="N541" s="2">
        <f>IF(Table2[[#This Row],[Amount Paid]]&gt;0,(SUMIF(Table2[Order ID],Table2[[#This Row],[Order ID]],Table2[Amount Paid])-SUMIF(Table2[Order ID],Table2[[#This Row],[Order ID]],Table2[TOTAL SALES])),0)</f>
        <v>9662</v>
      </c>
      <c r="O541" s="8">
        <v>41</v>
      </c>
      <c r="P541" s="8" t="s">
        <v>25</v>
      </c>
      <c r="Q541" s="8" t="s">
        <v>26</v>
      </c>
      <c r="R541" s="8" t="s">
        <v>292</v>
      </c>
      <c r="S541" s="8" t="s">
        <v>28</v>
      </c>
      <c r="T541" s="8">
        <f t="shared" si="8"/>
        <v>0</v>
      </c>
      <c r="U541" t="str" cm="1">
        <f t="array" ref="U541">_xlfn.IFNA(_xlfn.IFS(Table2[[#This Row],[DEFICIT /SURPLUS]]&lt;0,"Deficit",Table2[[#This Row],[DEFICIT /SURPLUS]]&gt;0,"surplus"),"-")</f>
        <v>surplus</v>
      </c>
    </row>
    <row r="542" spans="1:21" ht="14.5">
      <c r="A542" s="8" t="s">
        <v>399</v>
      </c>
      <c r="B542" s="9">
        <v>45690</v>
      </c>
      <c r="C542" s="8" t="s">
        <v>22</v>
      </c>
      <c r="D542" s="8" t="s">
        <v>29</v>
      </c>
      <c r="E542" s="8" t="s">
        <v>89</v>
      </c>
      <c r="F542" s="31">
        <f>_xlfn.XLOOKUP(Table2[[#This Row],[Shoe style]],val[SHOE STYLE],val[UNIT PRICE])</f>
        <v>12395</v>
      </c>
      <c r="H542" s="11">
        <v>1</v>
      </c>
      <c r="I542" s="6">
        <f>IF(Table2[[#This Row],[Discount]]&lt;(Table2[[#This Row],[UNIT PRICE]]*Table2[[#This Row],[Quantity sold]]),Table2[[#This Row],[UNIT PRICE]]*Table2[[#This Row],[Quantity sold]]-Table2[[#This Row],[Discount]],0)</f>
        <v>12395</v>
      </c>
      <c r="J542" s="10">
        <v>60000</v>
      </c>
      <c r="K542" s="2">
        <f>_xlfn.XLOOKUP(Table2[[#This Row],[Shoe style]],val[SHOE STYLE],val[COST PRICE])</f>
        <v>7909</v>
      </c>
      <c r="L542" s="2">
        <f>(Table2[[#This Row],[COST PRICE]]*Table2[[#This Row],[Quantity sold]])</f>
        <v>7909</v>
      </c>
      <c r="M542" s="2">
        <f>Table2[[#This Row],[TOTAL SALES]]-Table2[[#This Row],[TOTAL COST PRICE]]</f>
        <v>4486</v>
      </c>
      <c r="N542" s="2">
        <f>IF(Table2[[#This Row],[Amount Paid]]&gt;0,(SUMIF(Table2[Order ID],Table2[[#This Row],[Order ID]],Table2[Amount Paid])-SUMIF(Table2[Order ID],Table2[[#This Row],[Order ID]],Table2[TOTAL SALES])),0)</f>
        <v>25372</v>
      </c>
      <c r="O542" s="8">
        <v>43</v>
      </c>
      <c r="P542" s="8" t="s">
        <v>25</v>
      </c>
      <c r="Q542" s="8" t="s">
        <v>26</v>
      </c>
      <c r="R542" s="8" t="s">
        <v>44</v>
      </c>
      <c r="S542" s="8" t="s">
        <v>28</v>
      </c>
      <c r="T542" s="8">
        <f t="shared" si="8"/>
        <v>0</v>
      </c>
      <c r="U542" t="str" cm="1">
        <f t="array" ref="U542">_xlfn.IFNA(_xlfn.IFS(Table2[[#This Row],[DEFICIT /SURPLUS]]&lt;0,"Deficit",Table2[[#This Row],[DEFICIT /SURPLUS]]&gt;0,"surplus"),"-")</f>
        <v>surplus</v>
      </c>
    </row>
    <row r="543" spans="1:21" ht="14.5">
      <c r="A543" s="8" t="s">
        <v>399</v>
      </c>
      <c r="B543" s="9">
        <v>45690</v>
      </c>
      <c r="C543" s="8" t="s">
        <v>22</v>
      </c>
      <c r="D543" s="8" t="s">
        <v>53</v>
      </c>
      <c r="E543" s="8" t="s">
        <v>89</v>
      </c>
      <c r="F543" s="31">
        <f>_xlfn.XLOOKUP(Table2[[#This Row],[Shoe style]],val[SHOE STYLE],val[UNIT PRICE])</f>
        <v>9838</v>
      </c>
      <c r="H543" s="11">
        <v>1</v>
      </c>
      <c r="I543" s="6">
        <f>IF(Table2[[#This Row],[Discount]]&lt;(Table2[[#This Row],[UNIT PRICE]]*Table2[[#This Row],[Quantity sold]]),Table2[[#This Row],[UNIT PRICE]]*Table2[[#This Row],[Quantity sold]]-Table2[[#This Row],[Discount]],0)</f>
        <v>9838</v>
      </c>
      <c r="K543" s="2">
        <f>_xlfn.XLOOKUP(Table2[[#This Row],[Shoe style]],val[SHOE STYLE],val[COST PRICE])</f>
        <v>6687</v>
      </c>
      <c r="L543" s="2">
        <f>(Table2[[#This Row],[COST PRICE]]*Table2[[#This Row],[Quantity sold]])</f>
        <v>6687</v>
      </c>
      <c r="M543" s="2">
        <f>Table2[[#This Row],[TOTAL SALES]]-Table2[[#This Row],[TOTAL COST PRICE]]</f>
        <v>3151</v>
      </c>
      <c r="N543" s="2">
        <f>IF(Table2[[#This Row],[Amount Paid]]&gt;0,(SUMIF(Table2[Order ID],Table2[[#This Row],[Order ID]],Table2[Amount Paid])-SUMIF(Table2[Order ID],Table2[[#This Row],[Order ID]],Table2[TOTAL SALES])),0)</f>
        <v>0</v>
      </c>
      <c r="O543" s="8">
        <v>40</v>
      </c>
      <c r="P543" s="8" t="s">
        <v>25</v>
      </c>
      <c r="Q543" s="8" t="s">
        <v>26</v>
      </c>
      <c r="R543" s="8" t="s">
        <v>44</v>
      </c>
      <c r="S543" s="8" t="s">
        <v>28</v>
      </c>
      <c r="T543" s="8">
        <f t="shared" si="8"/>
        <v>0</v>
      </c>
      <c r="U543" t="str" cm="1">
        <f t="array" ref="U543">_xlfn.IFNA(_xlfn.IFS(Table2[[#This Row],[DEFICIT /SURPLUS]]&lt;0,"Deficit",Table2[[#This Row],[DEFICIT /SURPLUS]]&gt;0,"surplus"),"-")</f>
        <v>-</v>
      </c>
    </row>
    <row r="544" spans="1:21" ht="14.5">
      <c r="A544" s="8" t="s">
        <v>399</v>
      </c>
      <c r="B544" s="9">
        <v>45690</v>
      </c>
      <c r="C544" s="8" t="s">
        <v>22</v>
      </c>
      <c r="D544" s="8" t="s">
        <v>29</v>
      </c>
      <c r="E544" s="8" t="s">
        <v>400</v>
      </c>
      <c r="F544" s="31">
        <f>_xlfn.XLOOKUP(Table2[[#This Row],[Shoe style]],val[SHOE STYLE],val[UNIT PRICE])</f>
        <v>12395</v>
      </c>
      <c r="H544" s="11">
        <v>1</v>
      </c>
      <c r="I544" s="6">
        <f>IF(Table2[[#This Row],[Discount]]&lt;(Table2[[#This Row],[UNIT PRICE]]*Table2[[#This Row],[Quantity sold]]),Table2[[#This Row],[UNIT PRICE]]*Table2[[#This Row],[Quantity sold]]-Table2[[#This Row],[Discount]],0)</f>
        <v>12395</v>
      </c>
      <c r="K544" s="2">
        <f>_xlfn.XLOOKUP(Table2[[#This Row],[Shoe style]],val[SHOE STYLE],val[COST PRICE])</f>
        <v>7909</v>
      </c>
      <c r="L544" s="2">
        <f>(Table2[[#This Row],[COST PRICE]]*Table2[[#This Row],[Quantity sold]])</f>
        <v>7909</v>
      </c>
      <c r="M544" s="2">
        <f>Table2[[#This Row],[TOTAL SALES]]-Table2[[#This Row],[TOTAL COST PRICE]]</f>
        <v>4486</v>
      </c>
      <c r="N544" s="2">
        <f>IF(Table2[[#This Row],[Amount Paid]]&gt;0,(SUMIF(Table2[Order ID],Table2[[#This Row],[Order ID]],Table2[Amount Paid])-SUMIF(Table2[Order ID],Table2[[#This Row],[Order ID]],Table2[TOTAL SALES])),0)</f>
        <v>0</v>
      </c>
      <c r="O544" s="8">
        <v>43</v>
      </c>
      <c r="P544" s="8" t="s">
        <v>25</v>
      </c>
      <c r="Q544" s="8" t="s">
        <v>26</v>
      </c>
      <c r="R544" s="8" t="s">
        <v>44</v>
      </c>
      <c r="S544" s="8" t="s">
        <v>28</v>
      </c>
      <c r="T544" s="8">
        <f t="shared" si="8"/>
        <v>0</v>
      </c>
      <c r="U544" t="str" cm="1">
        <f t="array" ref="U544">_xlfn.IFNA(_xlfn.IFS(Table2[[#This Row],[DEFICIT /SURPLUS]]&lt;0,"Deficit",Table2[[#This Row],[DEFICIT /SURPLUS]]&gt;0,"surplus"),"-")</f>
        <v>-</v>
      </c>
    </row>
    <row r="545" spans="1:21" ht="14.5">
      <c r="A545" s="8" t="s">
        <v>401</v>
      </c>
      <c r="B545" s="9">
        <v>45690</v>
      </c>
      <c r="C545" s="8" t="s">
        <v>139</v>
      </c>
      <c r="D545" s="8" t="s">
        <v>49</v>
      </c>
      <c r="E545" s="8" t="s">
        <v>50</v>
      </c>
      <c r="F545" s="31">
        <f>_xlfn.XLOOKUP(Table2[[#This Row],[Shoe style]],val[SHOE STYLE],val[UNIT PRICE])</f>
        <v>20500</v>
      </c>
      <c r="H545" s="11">
        <v>1</v>
      </c>
      <c r="I545" s="6">
        <f>IF(Table2[[#This Row],[Discount]]&lt;(Table2[[#This Row],[UNIT PRICE]]*Table2[[#This Row],[Quantity sold]]),Table2[[#This Row],[UNIT PRICE]]*Table2[[#This Row],[Quantity sold]]-Table2[[#This Row],[Discount]],0)</f>
        <v>20500</v>
      </c>
      <c r="J545" s="10">
        <v>21500</v>
      </c>
      <c r="K545" s="2">
        <f>_xlfn.XLOOKUP(Table2[[#This Row],[Shoe style]],val[SHOE STYLE],val[COST PRICE])</f>
        <v>17339</v>
      </c>
      <c r="L545" s="2">
        <f>(Table2[[#This Row],[COST PRICE]]*Table2[[#This Row],[Quantity sold]])</f>
        <v>17339</v>
      </c>
      <c r="M545" s="2">
        <f>Table2[[#This Row],[TOTAL SALES]]-Table2[[#This Row],[TOTAL COST PRICE]]</f>
        <v>3161</v>
      </c>
      <c r="N545" s="2">
        <f>IF(Table2[[#This Row],[Amount Paid]]&gt;0,(SUMIF(Table2[Order ID],Table2[[#This Row],[Order ID]],Table2[Amount Paid])-SUMIF(Table2[Order ID],Table2[[#This Row],[Order ID]],Table2[TOTAL SALES])),0)</f>
        <v>1000</v>
      </c>
      <c r="O545" s="8">
        <v>42</v>
      </c>
      <c r="P545" s="8" t="s">
        <v>25</v>
      </c>
      <c r="Q545" s="8" t="s">
        <v>341</v>
      </c>
      <c r="R545" s="8" t="s">
        <v>44</v>
      </c>
      <c r="S545" s="8" t="s">
        <v>28</v>
      </c>
      <c r="T545" s="8">
        <f t="shared" si="8"/>
        <v>0</v>
      </c>
      <c r="U545" t="str" cm="1">
        <f t="array" ref="U545">_xlfn.IFNA(_xlfn.IFS(Table2[[#This Row],[DEFICIT /SURPLUS]]&lt;0,"Deficit",Table2[[#This Row],[DEFICIT /SURPLUS]]&gt;0,"surplus"),"-")</f>
        <v>surplus</v>
      </c>
    </row>
    <row r="546" spans="1:21" ht="14.5">
      <c r="A546" s="8" t="s">
        <v>402</v>
      </c>
      <c r="B546" s="9">
        <v>45692</v>
      </c>
      <c r="C546" s="8" t="s">
        <v>22</v>
      </c>
      <c r="D546" s="8" t="s">
        <v>37</v>
      </c>
      <c r="E546" s="8" t="s">
        <v>237</v>
      </c>
      <c r="F546" s="31">
        <f>_xlfn.XLOOKUP(Table2[[#This Row],[Shoe style]],val[SHOE STYLE],val[UNIT PRICE])</f>
        <v>22728</v>
      </c>
      <c r="H546" s="11">
        <v>1</v>
      </c>
      <c r="I546" s="6">
        <f>IF(Table2[[#This Row],[Discount]]&lt;(Table2[[#This Row],[UNIT PRICE]]*Table2[[#This Row],[Quantity sold]]),Table2[[#This Row],[UNIT PRICE]]*Table2[[#This Row],[Quantity sold]]-Table2[[#This Row],[Discount]],0)</f>
        <v>22728</v>
      </c>
      <c r="J546" s="10">
        <v>22000</v>
      </c>
      <c r="K546" s="2">
        <f>_xlfn.XLOOKUP(Table2[[#This Row],[Shoe style]],val[SHOE STYLE],val[COST PRICE])</f>
        <v>20451</v>
      </c>
      <c r="L546" s="2">
        <f>(Table2[[#This Row],[COST PRICE]]*Table2[[#This Row],[Quantity sold]])</f>
        <v>20451</v>
      </c>
      <c r="M546" s="2">
        <f>Table2[[#This Row],[TOTAL SALES]]-Table2[[#This Row],[TOTAL COST PRICE]]</f>
        <v>2277</v>
      </c>
      <c r="N546" s="2">
        <f>IF(Table2[[#This Row],[Amount Paid]]&gt;0,(SUMIF(Table2[Order ID],Table2[[#This Row],[Order ID]],Table2[Amount Paid])-SUMIF(Table2[Order ID],Table2[[#This Row],[Order ID]],Table2[TOTAL SALES])),0)</f>
        <v>-728</v>
      </c>
      <c r="O546" s="8">
        <v>41</v>
      </c>
      <c r="P546" s="8" t="s">
        <v>25</v>
      </c>
      <c r="Q546" s="8" t="s">
        <v>26</v>
      </c>
      <c r="R546" s="8" t="s">
        <v>27</v>
      </c>
      <c r="S546" s="8" t="s">
        <v>28</v>
      </c>
      <c r="T546" s="8">
        <f t="shared" si="8"/>
        <v>0</v>
      </c>
      <c r="U546" t="str" cm="1">
        <f t="array" ref="U546">_xlfn.IFNA(_xlfn.IFS(Table2[[#This Row],[DEFICIT /SURPLUS]]&lt;0,"Deficit",Table2[[#This Row],[DEFICIT /SURPLUS]]&gt;0,"surplus"),"-")</f>
        <v>Deficit</v>
      </c>
    </row>
    <row r="547" spans="1:21" ht="14.5">
      <c r="A547" s="8" t="s">
        <v>403</v>
      </c>
      <c r="B547" s="9">
        <v>45692</v>
      </c>
      <c r="C547" s="8" t="s">
        <v>22</v>
      </c>
      <c r="D547" s="8" t="s">
        <v>29</v>
      </c>
      <c r="E547" s="8" t="s">
        <v>40</v>
      </c>
      <c r="F547" s="31">
        <f>_xlfn.XLOOKUP(Table2[[#This Row],[Shoe style]],val[SHOE STYLE],val[UNIT PRICE])</f>
        <v>12395</v>
      </c>
      <c r="H547" s="11">
        <v>1</v>
      </c>
      <c r="I547" s="6">
        <f>IF(Table2[[#This Row],[Discount]]&lt;(Table2[[#This Row],[UNIT PRICE]]*Table2[[#This Row],[Quantity sold]]),Table2[[#This Row],[UNIT PRICE]]*Table2[[#This Row],[Quantity sold]]-Table2[[#This Row],[Discount]],0)</f>
        <v>12395</v>
      </c>
      <c r="J547" s="10">
        <v>42500</v>
      </c>
      <c r="K547" s="2">
        <f>_xlfn.XLOOKUP(Table2[[#This Row],[Shoe style]],val[SHOE STYLE],val[COST PRICE])</f>
        <v>7909</v>
      </c>
      <c r="L547" s="2">
        <f>(Table2[[#This Row],[COST PRICE]]*Table2[[#This Row],[Quantity sold]])</f>
        <v>7909</v>
      </c>
      <c r="M547" s="2">
        <f>Table2[[#This Row],[TOTAL SALES]]-Table2[[#This Row],[TOTAL COST PRICE]]</f>
        <v>4486</v>
      </c>
      <c r="N547" s="2">
        <f>IF(Table2[[#This Row],[Amount Paid]]&gt;0,(SUMIF(Table2[Order ID],Table2[[#This Row],[Order ID]],Table2[Amount Paid])-SUMIF(Table2[Order ID],Table2[[#This Row],[Order ID]],Table2[TOTAL SALES])),0)</f>
        <v>7377</v>
      </c>
      <c r="O547" s="8">
        <v>40</v>
      </c>
      <c r="P547" s="8" t="s">
        <v>25</v>
      </c>
      <c r="Q547" s="8" t="s">
        <v>26</v>
      </c>
      <c r="R547" s="8" t="s">
        <v>27</v>
      </c>
      <c r="S547" s="8" t="s">
        <v>28</v>
      </c>
      <c r="T547" s="8">
        <f t="shared" si="8"/>
        <v>0</v>
      </c>
      <c r="U547" t="str" cm="1">
        <f t="array" ref="U547">_xlfn.IFNA(_xlfn.IFS(Table2[[#This Row],[DEFICIT /SURPLUS]]&lt;0,"Deficit",Table2[[#This Row],[DEFICIT /SURPLUS]]&gt;0,"surplus"),"-")</f>
        <v>surplus</v>
      </c>
    </row>
    <row r="548" spans="1:21" ht="14.5">
      <c r="A548" s="8" t="s">
        <v>403</v>
      </c>
      <c r="B548" s="9">
        <v>45694</v>
      </c>
      <c r="C548" s="8" t="s">
        <v>22</v>
      </c>
      <c r="D548" s="8" t="s">
        <v>37</v>
      </c>
      <c r="E548" s="8" t="s">
        <v>384</v>
      </c>
      <c r="F548" s="31">
        <f>_xlfn.XLOOKUP(Table2[[#This Row],[Shoe style]],val[SHOE STYLE],val[UNIT PRICE])</f>
        <v>22728</v>
      </c>
      <c r="H548" s="11">
        <v>1</v>
      </c>
      <c r="I548" s="6">
        <f>IF(Table2[[#This Row],[Discount]]&lt;(Table2[[#This Row],[UNIT PRICE]]*Table2[[#This Row],[Quantity sold]]),Table2[[#This Row],[UNIT PRICE]]*Table2[[#This Row],[Quantity sold]]-Table2[[#This Row],[Discount]],0)</f>
        <v>22728</v>
      </c>
      <c r="K548" s="2">
        <f>_xlfn.XLOOKUP(Table2[[#This Row],[Shoe style]],val[SHOE STYLE],val[COST PRICE])</f>
        <v>20451</v>
      </c>
      <c r="L548" s="2">
        <f>(Table2[[#This Row],[COST PRICE]]*Table2[[#This Row],[Quantity sold]])</f>
        <v>20451</v>
      </c>
      <c r="M548" s="2">
        <f>Table2[[#This Row],[TOTAL SALES]]-Table2[[#This Row],[TOTAL COST PRICE]]</f>
        <v>2277</v>
      </c>
      <c r="N548" s="2">
        <f>IF(Table2[[#This Row],[Amount Paid]]&gt;0,(SUMIF(Table2[Order ID],Table2[[#This Row],[Order ID]],Table2[Amount Paid])-SUMIF(Table2[Order ID],Table2[[#This Row],[Order ID]],Table2[TOTAL SALES])),0)</f>
        <v>0</v>
      </c>
      <c r="O548" s="8">
        <v>42</v>
      </c>
      <c r="P548" s="8" t="s">
        <v>25</v>
      </c>
      <c r="Q548" s="8" t="s">
        <v>26</v>
      </c>
      <c r="R548" s="8" t="s">
        <v>27</v>
      </c>
      <c r="S548" s="8" t="s">
        <v>28</v>
      </c>
      <c r="T548" s="8">
        <f t="shared" si="8"/>
        <v>0</v>
      </c>
      <c r="U548" t="str" cm="1">
        <f t="array" ref="U548">_xlfn.IFNA(_xlfn.IFS(Table2[[#This Row],[DEFICIT /SURPLUS]]&lt;0,"Deficit",Table2[[#This Row],[DEFICIT /SURPLUS]]&gt;0,"surplus"),"-")</f>
        <v>-</v>
      </c>
    </row>
    <row r="549" spans="1:21" ht="14.5">
      <c r="A549" s="8" t="s">
        <v>404</v>
      </c>
      <c r="B549" s="9">
        <v>45694</v>
      </c>
      <c r="C549" s="8" t="s">
        <v>22</v>
      </c>
      <c r="D549" s="8" t="s">
        <v>357</v>
      </c>
      <c r="E549" s="8" t="s">
        <v>24</v>
      </c>
      <c r="F549" s="31">
        <f>_xlfn.XLOOKUP(Table2[[#This Row],[Shoe style]],val[SHOE STYLE],val[UNIT PRICE])</f>
        <v>14862</v>
      </c>
      <c r="H549" s="11">
        <v>1</v>
      </c>
      <c r="I549" s="6">
        <f>IF(Table2[[#This Row],[Discount]]&lt;(Table2[[#This Row],[UNIT PRICE]]*Table2[[#This Row],[Quantity sold]]),Table2[[#This Row],[UNIT PRICE]]*Table2[[#This Row],[Quantity sold]]-Table2[[#This Row],[Discount]],0)</f>
        <v>14862</v>
      </c>
      <c r="J549" s="10">
        <v>64500</v>
      </c>
      <c r="K549" s="2">
        <f>_xlfn.XLOOKUP(Table2[[#This Row],[Shoe style]],val[SHOE STYLE],val[COST PRICE])</f>
        <v>10157</v>
      </c>
      <c r="L549" s="2">
        <f>(Table2[[#This Row],[COST PRICE]]*Table2[[#This Row],[Quantity sold]])</f>
        <v>10157</v>
      </c>
      <c r="M549" s="2">
        <f>Table2[[#This Row],[TOTAL SALES]]-Table2[[#This Row],[TOTAL COST PRICE]]</f>
        <v>4705</v>
      </c>
      <c r="N549" s="2">
        <f>IF(Table2[[#This Row],[Amount Paid]]&gt;0,(SUMIF(Table2[Order ID],Table2[[#This Row],[Order ID]],Table2[Amount Paid])-SUMIF(Table2[Order ID],Table2[[#This Row],[Order ID]],Table2[TOTAL SALES])),0)</f>
        <v>4182</v>
      </c>
      <c r="O549" s="8">
        <v>43</v>
      </c>
      <c r="P549" s="8" t="s">
        <v>25</v>
      </c>
      <c r="Q549" s="8" t="s">
        <v>195</v>
      </c>
      <c r="R549" s="8" t="s">
        <v>292</v>
      </c>
      <c r="S549" s="8" t="s">
        <v>28</v>
      </c>
      <c r="T549" s="8">
        <f t="shared" si="8"/>
        <v>0</v>
      </c>
      <c r="U549" t="str" cm="1">
        <f t="array" ref="U549">_xlfn.IFNA(_xlfn.IFS(Table2[[#This Row],[DEFICIT /SURPLUS]]&lt;0,"Deficit",Table2[[#This Row],[DEFICIT /SURPLUS]]&gt;0,"surplus"),"-")</f>
        <v>surplus</v>
      </c>
    </row>
    <row r="550" spans="1:21" ht="14.5">
      <c r="A550" s="8" t="s">
        <v>404</v>
      </c>
      <c r="B550" s="9">
        <v>45694</v>
      </c>
      <c r="C550" s="8" t="s">
        <v>22</v>
      </c>
      <c r="D550" s="8" t="s">
        <v>37</v>
      </c>
      <c r="E550" s="8" t="s">
        <v>235</v>
      </c>
      <c r="F550" s="31">
        <f>_xlfn.XLOOKUP(Table2[[#This Row],[Shoe style]],val[SHOE STYLE],val[UNIT PRICE])</f>
        <v>22728</v>
      </c>
      <c r="H550" s="11">
        <v>1</v>
      </c>
      <c r="I550" s="6">
        <f>IF(Table2[[#This Row],[Discount]]&lt;(Table2[[#This Row],[UNIT PRICE]]*Table2[[#This Row],[Quantity sold]]),Table2[[#This Row],[UNIT PRICE]]*Table2[[#This Row],[Quantity sold]]-Table2[[#This Row],[Discount]],0)</f>
        <v>22728</v>
      </c>
      <c r="K550" s="2">
        <f>_xlfn.XLOOKUP(Table2[[#This Row],[Shoe style]],val[SHOE STYLE],val[COST PRICE])</f>
        <v>20451</v>
      </c>
      <c r="L550" s="2">
        <f>(Table2[[#This Row],[COST PRICE]]*Table2[[#This Row],[Quantity sold]])</f>
        <v>20451</v>
      </c>
      <c r="M550" s="2">
        <f>Table2[[#This Row],[TOTAL SALES]]-Table2[[#This Row],[TOTAL COST PRICE]]</f>
        <v>2277</v>
      </c>
      <c r="N550" s="2">
        <f>IF(Table2[[#This Row],[Amount Paid]]&gt;0,(SUMIF(Table2[Order ID],Table2[[#This Row],[Order ID]],Table2[Amount Paid])-SUMIF(Table2[Order ID],Table2[[#This Row],[Order ID]],Table2[TOTAL SALES])),0)</f>
        <v>0</v>
      </c>
      <c r="O550" s="8">
        <v>43</v>
      </c>
      <c r="P550" s="8" t="s">
        <v>25</v>
      </c>
      <c r="Q550" s="8" t="s">
        <v>195</v>
      </c>
      <c r="R550" s="8" t="s">
        <v>292</v>
      </c>
      <c r="S550" s="8" t="s">
        <v>28</v>
      </c>
      <c r="T550" s="8">
        <f t="shared" si="8"/>
        <v>0</v>
      </c>
      <c r="U550" t="str" cm="1">
        <f t="array" ref="U550">_xlfn.IFNA(_xlfn.IFS(Table2[[#This Row],[DEFICIT /SURPLUS]]&lt;0,"Deficit",Table2[[#This Row],[DEFICIT /SURPLUS]]&gt;0,"surplus"),"-")</f>
        <v>-</v>
      </c>
    </row>
    <row r="551" spans="1:21" ht="14.5">
      <c r="A551" s="8" t="s">
        <v>404</v>
      </c>
      <c r="B551" s="9">
        <v>45694</v>
      </c>
      <c r="C551" s="8" t="s">
        <v>22</v>
      </c>
      <c r="D551" s="8" t="s">
        <v>37</v>
      </c>
      <c r="E551" s="8" t="s">
        <v>62</v>
      </c>
      <c r="F551" s="31">
        <f>_xlfn.XLOOKUP(Table2[[#This Row],[Shoe style]],val[SHOE STYLE],val[UNIT PRICE])</f>
        <v>22728</v>
      </c>
      <c r="H551" s="11">
        <v>1</v>
      </c>
      <c r="I551" s="6">
        <f>IF(Table2[[#This Row],[Discount]]&lt;(Table2[[#This Row],[UNIT PRICE]]*Table2[[#This Row],[Quantity sold]]),Table2[[#This Row],[UNIT PRICE]]*Table2[[#This Row],[Quantity sold]]-Table2[[#This Row],[Discount]],0)</f>
        <v>22728</v>
      </c>
      <c r="K551" s="2">
        <f>_xlfn.XLOOKUP(Table2[[#This Row],[Shoe style]],val[SHOE STYLE],val[COST PRICE])</f>
        <v>20451</v>
      </c>
      <c r="L551" s="2">
        <f>(Table2[[#This Row],[COST PRICE]]*Table2[[#This Row],[Quantity sold]])</f>
        <v>20451</v>
      </c>
      <c r="M551" s="2">
        <f>Table2[[#This Row],[TOTAL SALES]]-Table2[[#This Row],[TOTAL COST PRICE]]</f>
        <v>2277</v>
      </c>
      <c r="N551" s="2">
        <f>IF(Table2[[#This Row],[Amount Paid]]&gt;0,(SUMIF(Table2[Order ID],Table2[[#This Row],[Order ID]],Table2[Amount Paid])-SUMIF(Table2[Order ID],Table2[[#This Row],[Order ID]],Table2[TOTAL SALES])),0)</f>
        <v>0</v>
      </c>
      <c r="O551" s="8">
        <v>43</v>
      </c>
      <c r="P551" s="8" t="s">
        <v>25</v>
      </c>
      <c r="Q551" s="8" t="s">
        <v>195</v>
      </c>
      <c r="R551" s="8" t="s">
        <v>292</v>
      </c>
      <c r="S551" s="8" t="s">
        <v>28</v>
      </c>
      <c r="T551" s="8">
        <f t="shared" si="8"/>
        <v>0</v>
      </c>
      <c r="U551" t="str" cm="1">
        <f t="array" ref="U551">_xlfn.IFNA(_xlfn.IFS(Table2[[#This Row],[DEFICIT /SURPLUS]]&lt;0,"Deficit",Table2[[#This Row],[DEFICIT /SURPLUS]]&gt;0,"surplus"),"-")</f>
        <v>-</v>
      </c>
    </row>
    <row r="552" spans="1:21" ht="14.5">
      <c r="A552" s="8" t="s">
        <v>405</v>
      </c>
      <c r="B552" s="9">
        <v>45694</v>
      </c>
      <c r="C552" s="8" t="s">
        <v>22</v>
      </c>
      <c r="D552" s="8" t="s">
        <v>29</v>
      </c>
      <c r="E552" s="8" t="s">
        <v>397</v>
      </c>
      <c r="F552" s="31">
        <f>_xlfn.XLOOKUP(Table2[[#This Row],[Shoe style]],val[SHOE STYLE],val[UNIT PRICE])</f>
        <v>12395</v>
      </c>
      <c r="H552" s="11">
        <v>1</v>
      </c>
      <c r="I552" s="6">
        <f>IF(Table2[[#This Row],[Discount]]&lt;(Table2[[#This Row],[UNIT PRICE]]*Table2[[#This Row],[Quantity sold]]),Table2[[#This Row],[UNIT PRICE]]*Table2[[#This Row],[Quantity sold]]-Table2[[#This Row],[Discount]],0)</f>
        <v>12395</v>
      </c>
      <c r="J552" s="10">
        <v>23000</v>
      </c>
      <c r="K552" s="2">
        <f>_xlfn.XLOOKUP(Table2[[#This Row],[Shoe style]],val[SHOE STYLE],val[COST PRICE])</f>
        <v>7909</v>
      </c>
      <c r="L552" s="2">
        <f>(Table2[[#This Row],[COST PRICE]]*Table2[[#This Row],[Quantity sold]])</f>
        <v>7909</v>
      </c>
      <c r="M552" s="2">
        <f>Table2[[#This Row],[TOTAL SALES]]-Table2[[#This Row],[TOTAL COST PRICE]]</f>
        <v>4486</v>
      </c>
      <c r="N552" s="2">
        <f>IF(Table2[[#This Row],[Amount Paid]]&gt;0,(SUMIF(Table2[Order ID],Table2[[#This Row],[Order ID]],Table2[Amount Paid])-SUMIF(Table2[Order ID],Table2[[#This Row],[Order ID]],Table2[TOTAL SALES])),0)</f>
        <v>10605</v>
      </c>
      <c r="O552" s="8">
        <v>41</v>
      </c>
      <c r="P552" s="8" t="s">
        <v>25</v>
      </c>
      <c r="Q552" s="8" t="s">
        <v>26</v>
      </c>
      <c r="R552" s="8" t="s">
        <v>27</v>
      </c>
      <c r="S552" s="8" t="s">
        <v>28</v>
      </c>
      <c r="T552" s="8">
        <f t="shared" si="8"/>
        <v>0</v>
      </c>
      <c r="U552" t="str" cm="1">
        <f t="array" ref="U552">_xlfn.IFNA(_xlfn.IFS(Table2[[#This Row],[DEFICIT /SURPLUS]]&lt;0,"Deficit",Table2[[#This Row],[DEFICIT /SURPLUS]]&gt;0,"surplus"),"-")</f>
        <v>surplus</v>
      </c>
    </row>
    <row r="553" spans="1:21" ht="14.5">
      <c r="A553" s="8" t="s">
        <v>406</v>
      </c>
      <c r="B553" s="9">
        <v>45694</v>
      </c>
      <c r="C553" s="8" t="s">
        <v>22</v>
      </c>
      <c r="D553" s="8" t="s">
        <v>346</v>
      </c>
      <c r="E553" s="8" t="s">
        <v>367</v>
      </c>
      <c r="F553" s="31">
        <f>_xlfn.XLOOKUP(Table2[[#This Row],[Shoe style]],val[SHOE STYLE],val[UNIT PRICE])</f>
        <v>12633</v>
      </c>
      <c r="H553" s="11">
        <v>1</v>
      </c>
      <c r="I553" s="6">
        <f>IF(Table2[[#This Row],[Discount]]&lt;(Table2[[#This Row],[UNIT PRICE]]*Table2[[#This Row],[Quantity sold]]),Table2[[#This Row],[UNIT PRICE]]*Table2[[#This Row],[Quantity sold]]-Table2[[#This Row],[Discount]],0)</f>
        <v>12633</v>
      </c>
      <c r="J553" s="10">
        <v>23000</v>
      </c>
      <c r="K553" s="2">
        <f>_xlfn.XLOOKUP(Table2[[#This Row],[Shoe style]],val[SHOE STYLE],val[COST PRICE])</f>
        <v>8399</v>
      </c>
      <c r="L553" s="2">
        <f>(Table2[[#This Row],[COST PRICE]]*Table2[[#This Row],[Quantity sold]])</f>
        <v>8399</v>
      </c>
      <c r="M553" s="2">
        <f>Table2[[#This Row],[TOTAL SALES]]-Table2[[#This Row],[TOTAL COST PRICE]]</f>
        <v>4234</v>
      </c>
      <c r="N553" s="2">
        <f>IF(Table2[[#This Row],[Amount Paid]]&gt;0,(SUMIF(Table2[Order ID],Table2[[#This Row],[Order ID]],Table2[Amount Paid])-SUMIF(Table2[Order ID],Table2[[#This Row],[Order ID]],Table2[TOTAL SALES])),0)</f>
        <v>10367</v>
      </c>
      <c r="O553" s="8">
        <v>42</v>
      </c>
      <c r="P553" s="8" t="s">
        <v>25</v>
      </c>
      <c r="Q553" s="8" t="s">
        <v>26</v>
      </c>
      <c r="R553" s="8" t="s">
        <v>27</v>
      </c>
      <c r="S553" s="8" t="s">
        <v>28</v>
      </c>
      <c r="T553" s="8">
        <f t="shared" si="8"/>
        <v>0</v>
      </c>
      <c r="U553" t="str" cm="1">
        <f t="array" ref="U553">_xlfn.IFNA(_xlfn.IFS(Table2[[#This Row],[DEFICIT /SURPLUS]]&lt;0,"Deficit",Table2[[#This Row],[DEFICIT /SURPLUS]]&gt;0,"surplus"),"-")</f>
        <v>surplus</v>
      </c>
    </row>
    <row r="554" spans="1:21" ht="14.5">
      <c r="A554" s="8" t="s">
        <v>407</v>
      </c>
      <c r="B554" s="9">
        <v>45694</v>
      </c>
      <c r="C554" s="8" t="s">
        <v>139</v>
      </c>
      <c r="D554" s="8" t="s">
        <v>49</v>
      </c>
      <c r="E554" s="8" t="s">
        <v>50</v>
      </c>
      <c r="F554" s="31">
        <f>_xlfn.XLOOKUP(Table2[[#This Row],[Shoe style]],val[SHOE STYLE],val[UNIT PRICE])</f>
        <v>20500</v>
      </c>
      <c r="H554" s="11">
        <v>1</v>
      </c>
      <c r="I554" s="6">
        <f>IF(Table2[[#This Row],[Discount]]&lt;(Table2[[#This Row],[UNIT PRICE]]*Table2[[#This Row],[Quantity sold]]),Table2[[#This Row],[UNIT PRICE]]*Table2[[#This Row],[Quantity sold]]-Table2[[#This Row],[Discount]],0)</f>
        <v>20500</v>
      </c>
      <c r="J554" s="10">
        <v>21500</v>
      </c>
      <c r="K554" s="2">
        <f>_xlfn.XLOOKUP(Table2[[#This Row],[Shoe style]],val[SHOE STYLE],val[COST PRICE])</f>
        <v>17339</v>
      </c>
      <c r="L554" s="2">
        <f>(Table2[[#This Row],[COST PRICE]]*Table2[[#This Row],[Quantity sold]])</f>
        <v>17339</v>
      </c>
      <c r="M554" s="2">
        <f>Table2[[#This Row],[TOTAL SALES]]-Table2[[#This Row],[TOTAL COST PRICE]]</f>
        <v>3161</v>
      </c>
      <c r="N554" s="2">
        <f>IF(Table2[[#This Row],[Amount Paid]]&gt;0,(SUMIF(Table2[Order ID],Table2[[#This Row],[Order ID]],Table2[Amount Paid])-SUMIF(Table2[Order ID],Table2[[#This Row],[Order ID]],Table2[TOTAL SALES])),0)</f>
        <v>1000</v>
      </c>
      <c r="O554" s="8">
        <v>43</v>
      </c>
      <c r="P554" s="8" t="s">
        <v>25</v>
      </c>
      <c r="Q554" s="8" t="s">
        <v>341</v>
      </c>
      <c r="R554" s="8" t="s">
        <v>44</v>
      </c>
      <c r="S554" s="8" t="s">
        <v>28</v>
      </c>
      <c r="T554" s="8">
        <f t="shared" si="8"/>
        <v>0</v>
      </c>
      <c r="U554" t="str" cm="1">
        <f t="array" ref="U554">_xlfn.IFNA(_xlfn.IFS(Table2[[#This Row],[DEFICIT /SURPLUS]]&lt;0,"Deficit",Table2[[#This Row],[DEFICIT /SURPLUS]]&gt;0,"surplus"),"-")</f>
        <v>surplus</v>
      </c>
    </row>
    <row r="555" spans="1:21" ht="14.5">
      <c r="A555" s="8" t="s">
        <v>408</v>
      </c>
      <c r="B555" s="9">
        <v>45692</v>
      </c>
      <c r="C555" s="8" t="s">
        <v>22</v>
      </c>
      <c r="D555" s="8" t="s">
        <v>29</v>
      </c>
      <c r="E555" s="8" t="s">
        <v>24</v>
      </c>
      <c r="F555" s="31">
        <f>_xlfn.XLOOKUP(Table2[[#This Row],[Shoe style]],val[SHOE STYLE],val[UNIT PRICE])</f>
        <v>12395</v>
      </c>
      <c r="H555" s="11">
        <v>1</v>
      </c>
      <c r="I555" s="6">
        <f>IF(Table2[[#This Row],[Discount]]&lt;(Table2[[#This Row],[UNIT PRICE]]*Table2[[#This Row],[Quantity sold]]),Table2[[#This Row],[UNIT PRICE]]*Table2[[#This Row],[Quantity sold]]-Table2[[#This Row],[Discount]],0)</f>
        <v>12395</v>
      </c>
      <c r="J555" s="10">
        <v>70000</v>
      </c>
      <c r="K555" s="2">
        <f>_xlfn.XLOOKUP(Table2[[#This Row],[Shoe style]],val[SHOE STYLE],val[COST PRICE])</f>
        <v>7909</v>
      </c>
      <c r="L555" s="2">
        <f>(Table2[[#This Row],[COST PRICE]]*Table2[[#This Row],[Quantity sold]])</f>
        <v>7909</v>
      </c>
      <c r="M555" s="2">
        <f>Table2[[#This Row],[TOTAL SALES]]-Table2[[#This Row],[TOTAL COST PRICE]]</f>
        <v>4486</v>
      </c>
      <c r="N555" s="2">
        <f>IF(Table2[[#This Row],[Amount Paid]]&gt;0,(SUMIF(Table2[Order ID],Table2[[#This Row],[Order ID]],Table2[Amount Paid])-SUMIF(Table2[Order ID],Table2[[#This Row],[Order ID]],Table2[TOTAL SALES])),0)</f>
        <v>27267</v>
      </c>
      <c r="O555" s="8">
        <v>36</v>
      </c>
      <c r="P555" s="8" t="s">
        <v>25</v>
      </c>
      <c r="Q555" s="8" t="s">
        <v>26</v>
      </c>
      <c r="R555" s="8" t="s">
        <v>292</v>
      </c>
      <c r="S555" s="8" t="s">
        <v>28</v>
      </c>
      <c r="T555" s="8">
        <f t="shared" si="8"/>
        <v>0</v>
      </c>
      <c r="U555" t="str" cm="1">
        <f t="array" ref="U555">_xlfn.IFNA(_xlfn.IFS(Table2[[#This Row],[DEFICIT /SURPLUS]]&lt;0,"Deficit",Table2[[#This Row],[DEFICIT /SURPLUS]]&gt;0,"surplus"),"-")</f>
        <v>surplus</v>
      </c>
    </row>
    <row r="556" spans="1:21" ht="14.5">
      <c r="A556" s="8" t="s">
        <v>408</v>
      </c>
      <c r="B556" s="9">
        <v>45696</v>
      </c>
      <c r="C556" s="8" t="s">
        <v>22</v>
      </c>
      <c r="D556" s="8" t="s">
        <v>53</v>
      </c>
      <c r="E556" s="8" t="s">
        <v>63</v>
      </c>
      <c r="F556" s="31">
        <f>_xlfn.XLOOKUP(Table2[[#This Row],[Shoe style]],val[SHOE STYLE],val[UNIT PRICE])</f>
        <v>9838</v>
      </c>
      <c r="H556" s="11">
        <v>1</v>
      </c>
      <c r="I556" s="6">
        <f>IF(Table2[[#This Row],[Discount]]&lt;(Table2[[#This Row],[UNIT PRICE]]*Table2[[#This Row],[Quantity sold]]),Table2[[#This Row],[UNIT PRICE]]*Table2[[#This Row],[Quantity sold]]-Table2[[#This Row],[Discount]],0)</f>
        <v>9838</v>
      </c>
      <c r="K556" s="2">
        <f>_xlfn.XLOOKUP(Table2[[#This Row],[Shoe style]],val[SHOE STYLE],val[COST PRICE])</f>
        <v>6687</v>
      </c>
      <c r="L556" s="2">
        <f>(Table2[[#This Row],[COST PRICE]]*Table2[[#This Row],[Quantity sold]])</f>
        <v>6687</v>
      </c>
      <c r="M556" s="2">
        <f>Table2[[#This Row],[TOTAL SALES]]-Table2[[#This Row],[TOTAL COST PRICE]]</f>
        <v>3151</v>
      </c>
      <c r="N556" s="2">
        <f>IF(Table2[[#This Row],[Amount Paid]]&gt;0,(SUMIF(Table2[Order ID],Table2[[#This Row],[Order ID]],Table2[Amount Paid])-SUMIF(Table2[Order ID],Table2[[#This Row],[Order ID]],Table2[TOTAL SALES])),0)</f>
        <v>0</v>
      </c>
      <c r="O556" s="8">
        <v>36</v>
      </c>
      <c r="P556" s="8" t="s">
        <v>25</v>
      </c>
      <c r="Q556" s="8" t="s">
        <v>26</v>
      </c>
      <c r="R556" s="8" t="s">
        <v>292</v>
      </c>
      <c r="S556" s="8" t="s">
        <v>28</v>
      </c>
      <c r="T556" s="8">
        <f t="shared" si="8"/>
        <v>0</v>
      </c>
      <c r="U556" t="str" cm="1">
        <f t="array" ref="U556">_xlfn.IFNA(_xlfn.IFS(Table2[[#This Row],[DEFICIT /SURPLUS]]&lt;0,"Deficit",Table2[[#This Row],[DEFICIT /SURPLUS]]&gt;0,"surplus"),"-")</f>
        <v>-</v>
      </c>
    </row>
    <row r="557" spans="1:21" ht="14.5">
      <c r="A557" s="8" t="s">
        <v>408</v>
      </c>
      <c r="B557" s="9">
        <v>45696</v>
      </c>
      <c r="C557" s="8" t="s">
        <v>22</v>
      </c>
      <c r="D557" s="8" t="s">
        <v>49</v>
      </c>
      <c r="E557" s="8" t="s">
        <v>38</v>
      </c>
      <c r="F557" s="31">
        <f>_xlfn.XLOOKUP(Table2[[#This Row],[Shoe style]],val[SHOE STYLE],val[UNIT PRICE])</f>
        <v>20500</v>
      </c>
      <c r="H557" s="11">
        <v>1</v>
      </c>
      <c r="I557" s="6">
        <f>IF(Table2[[#This Row],[Discount]]&lt;(Table2[[#This Row],[UNIT PRICE]]*Table2[[#This Row],[Quantity sold]]),Table2[[#This Row],[UNIT PRICE]]*Table2[[#This Row],[Quantity sold]]-Table2[[#This Row],[Discount]],0)</f>
        <v>20500</v>
      </c>
      <c r="K557" s="2">
        <f>_xlfn.XLOOKUP(Table2[[#This Row],[Shoe style]],val[SHOE STYLE],val[COST PRICE])</f>
        <v>17339</v>
      </c>
      <c r="L557" s="2">
        <f>(Table2[[#This Row],[COST PRICE]]*Table2[[#This Row],[Quantity sold]])</f>
        <v>17339</v>
      </c>
      <c r="M557" s="2">
        <f>Table2[[#This Row],[TOTAL SALES]]-Table2[[#This Row],[TOTAL COST PRICE]]</f>
        <v>3161</v>
      </c>
      <c r="N557" s="2">
        <f>IF(Table2[[#This Row],[Amount Paid]]&gt;0,(SUMIF(Table2[Order ID],Table2[[#This Row],[Order ID]],Table2[Amount Paid])-SUMIF(Table2[Order ID],Table2[[#This Row],[Order ID]],Table2[TOTAL SALES])),0)</f>
        <v>0</v>
      </c>
      <c r="O557" s="8">
        <v>36</v>
      </c>
      <c r="P557" s="8" t="s">
        <v>25</v>
      </c>
      <c r="Q557" s="8" t="s">
        <v>26</v>
      </c>
      <c r="R557" s="8" t="s">
        <v>292</v>
      </c>
      <c r="S557" s="8" t="s">
        <v>28</v>
      </c>
      <c r="T557" s="8">
        <f t="shared" si="8"/>
        <v>0</v>
      </c>
      <c r="U557" t="str" cm="1">
        <f t="array" ref="U557">_xlfn.IFNA(_xlfn.IFS(Table2[[#This Row],[DEFICIT /SURPLUS]]&lt;0,"Deficit",Table2[[#This Row],[DEFICIT /SURPLUS]]&gt;0,"surplus"),"-")</f>
        <v>-</v>
      </c>
    </row>
    <row r="558" spans="1:21" ht="14.5">
      <c r="A558" s="8" t="s">
        <v>409</v>
      </c>
      <c r="B558" s="9">
        <v>45696</v>
      </c>
      <c r="C558" s="8" t="s">
        <v>22</v>
      </c>
      <c r="D558" s="8" t="s">
        <v>37</v>
      </c>
      <c r="E558" s="8" t="s">
        <v>61</v>
      </c>
      <c r="F558" s="31">
        <f>_xlfn.XLOOKUP(Table2[[#This Row],[Shoe style]],val[SHOE STYLE],val[UNIT PRICE])</f>
        <v>22728</v>
      </c>
      <c r="H558" s="11">
        <v>1</v>
      </c>
      <c r="I558" s="6">
        <f>IF(Table2[[#This Row],[Discount]]&lt;(Table2[[#This Row],[UNIT PRICE]]*Table2[[#This Row],[Quantity sold]]),Table2[[#This Row],[UNIT PRICE]]*Table2[[#This Row],[Quantity sold]]-Table2[[#This Row],[Discount]],0)</f>
        <v>22728</v>
      </c>
      <c r="J558" s="10">
        <v>10000</v>
      </c>
      <c r="K558" s="2">
        <f>_xlfn.XLOOKUP(Table2[[#This Row],[Shoe style]],val[SHOE STYLE],val[COST PRICE])</f>
        <v>20451</v>
      </c>
      <c r="L558" s="2">
        <f>(Table2[[#This Row],[COST PRICE]]*Table2[[#This Row],[Quantity sold]])</f>
        <v>20451</v>
      </c>
      <c r="M558" s="2">
        <f>Table2[[#This Row],[TOTAL SALES]]-Table2[[#This Row],[TOTAL COST PRICE]]</f>
        <v>2277</v>
      </c>
      <c r="N558" s="2">
        <f>IF(Table2[[#This Row],[Amount Paid]]&gt;0,(SUMIF(Table2[Order ID],Table2[[#This Row],[Order ID]],Table2[Amount Paid])-SUMIF(Table2[Order ID],Table2[[#This Row],[Order ID]],Table2[TOTAL SALES])),0)</f>
        <v>-12728</v>
      </c>
      <c r="O558" s="8">
        <v>36</v>
      </c>
      <c r="P558" s="8" t="s">
        <v>25</v>
      </c>
      <c r="Q558" s="8" t="s">
        <v>26</v>
      </c>
      <c r="R558" s="8" t="s">
        <v>292</v>
      </c>
      <c r="S558" s="8" t="s">
        <v>28</v>
      </c>
      <c r="T558" s="8">
        <f t="shared" si="8"/>
        <v>0</v>
      </c>
      <c r="U558" t="str" cm="1">
        <f t="array" ref="U558">_xlfn.IFNA(_xlfn.IFS(Table2[[#This Row],[DEFICIT /SURPLUS]]&lt;0,"Deficit",Table2[[#This Row],[DEFICIT /SURPLUS]]&gt;0,"surplus"),"-")</f>
        <v>Deficit</v>
      </c>
    </row>
    <row r="559" spans="1:21" ht="14.5">
      <c r="A559" s="8" t="s">
        <v>410</v>
      </c>
      <c r="B559" s="9">
        <v>45696</v>
      </c>
      <c r="C559" s="8" t="s">
        <v>22</v>
      </c>
      <c r="D559" s="8" t="s">
        <v>29</v>
      </c>
      <c r="E559" s="8" t="s">
        <v>43</v>
      </c>
      <c r="F559" s="31">
        <f>_xlfn.XLOOKUP(Table2[[#This Row],[Shoe style]],val[SHOE STYLE],val[UNIT PRICE])</f>
        <v>12395</v>
      </c>
      <c r="H559" s="11">
        <v>1</v>
      </c>
      <c r="I559" s="6">
        <f>IF(Table2[[#This Row],[Discount]]&lt;(Table2[[#This Row],[UNIT PRICE]]*Table2[[#This Row],[Quantity sold]]),Table2[[#This Row],[UNIT PRICE]]*Table2[[#This Row],[Quantity sold]]-Table2[[#This Row],[Discount]],0)</f>
        <v>12395</v>
      </c>
      <c r="J559" s="10">
        <v>23000</v>
      </c>
      <c r="K559" s="2">
        <f>_xlfn.XLOOKUP(Table2[[#This Row],[Shoe style]],val[SHOE STYLE],val[COST PRICE])</f>
        <v>7909</v>
      </c>
      <c r="L559" s="2">
        <f>(Table2[[#This Row],[COST PRICE]]*Table2[[#This Row],[Quantity sold]])</f>
        <v>7909</v>
      </c>
      <c r="M559" s="2">
        <f>Table2[[#This Row],[TOTAL SALES]]-Table2[[#This Row],[TOTAL COST PRICE]]</f>
        <v>4486</v>
      </c>
      <c r="N559" s="2">
        <f>IF(Table2[[#This Row],[Amount Paid]]&gt;0,(SUMIF(Table2[Order ID],Table2[[#This Row],[Order ID]],Table2[Amount Paid])-SUMIF(Table2[Order ID],Table2[[#This Row],[Order ID]],Table2[TOTAL SALES])),0)</f>
        <v>10605</v>
      </c>
      <c r="O559" s="8">
        <v>41</v>
      </c>
      <c r="P559" s="8" t="s">
        <v>25</v>
      </c>
      <c r="Q559" s="8" t="s">
        <v>195</v>
      </c>
      <c r="R559" s="8" t="s">
        <v>27</v>
      </c>
      <c r="S559" s="8" t="s">
        <v>28</v>
      </c>
      <c r="T559" s="8">
        <f t="shared" si="8"/>
        <v>0</v>
      </c>
      <c r="U559" t="str" cm="1">
        <f t="array" ref="U559">_xlfn.IFNA(_xlfn.IFS(Table2[[#This Row],[DEFICIT /SURPLUS]]&lt;0,"Deficit",Table2[[#This Row],[DEFICIT /SURPLUS]]&gt;0,"surplus"),"-")</f>
        <v>surplus</v>
      </c>
    </row>
    <row r="560" spans="1:21" ht="14.5">
      <c r="A560" s="8" t="s">
        <v>411</v>
      </c>
      <c r="B560" s="9">
        <v>45697</v>
      </c>
      <c r="C560" s="8" t="s">
        <v>22</v>
      </c>
      <c r="D560" s="8" t="s">
        <v>29</v>
      </c>
      <c r="E560" s="8" t="s">
        <v>412</v>
      </c>
      <c r="F560" s="31">
        <f>_xlfn.XLOOKUP(Table2[[#This Row],[Shoe style]],val[SHOE STYLE],val[UNIT PRICE])</f>
        <v>12395</v>
      </c>
      <c r="H560" s="11">
        <v>1</v>
      </c>
      <c r="I560" s="6">
        <f>IF(Table2[[#This Row],[Discount]]&lt;(Table2[[#This Row],[UNIT PRICE]]*Table2[[#This Row],[Quantity sold]]),Table2[[#This Row],[UNIT PRICE]]*Table2[[#This Row],[Quantity sold]]-Table2[[#This Row],[Discount]],0)</f>
        <v>12395</v>
      </c>
      <c r="J560" s="10">
        <v>22500</v>
      </c>
      <c r="K560" s="2">
        <f>_xlfn.XLOOKUP(Table2[[#This Row],[Shoe style]],val[SHOE STYLE],val[COST PRICE])</f>
        <v>7909</v>
      </c>
      <c r="L560" s="2">
        <f>(Table2[[#This Row],[COST PRICE]]*Table2[[#This Row],[Quantity sold]])</f>
        <v>7909</v>
      </c>
      <c r="M560" s="2">
        <f>Table2[[#This Row],[TOTAL SALES]]-Table2[[#This Row],[TOTAL COST PRICE]]</f>
        <v>4486</v>
      </c>
      <c r="N560" s="2">
        <f>IF(Table2[[#This Row],[Amount Paid]]&gt;0,(SUMIF(Table2[Order ID],Table2[[#This Row],[Order ID]],Table2[Amount Paid])-SUMIF(Table2[Order ID],Table2[[#This Row],[Order ID]],Table2[TOTAL SALES])),0)</f>
        <v>10105</v>
      </c>
      <c r="O560" s="8">
        <v>39</v>
      </c>
      <c r="P560" s="8" t="s">
        <v>25</v>
      </c>
      <c r="Q560" s="8" t="s">
        <v>54</v>
      </c>
      <c r="R560" s="8" t="s">
        <v>44</v>
      </c>
      <c r="S560" s="8" t="s">
        <v>28</v>
      </c>
      <c r="T560" s="8">
        <f t="shared" si="8"/>
        <v>0</v>
      </c>
      <c r="U560" t="str" cm="1">
        <f t="array" ref="U560">_xlfn.IFNA(_xlfn.IFS(Table2[[#This Row],[DEFICIT /SURPLUS]]&lt;0,"Deficit",Table2[[#This Row],[DEFICIT /SURPLUS]]&gt;0,"surplus"),"-")</f>
        <v>surplus</v>
      </c>
    </row>
    <row r="561" spans="1:21" ht="14.5">
      <c r="A561" s="8" t="s">
        <v>413</v>
      </c>
      <c r="B561" s="9">
        <v>45699</v>
      </c>
      <c r="C561" s="8" t="s">
        <v>22</v>
      </c>
      <c r="D561" s="8" t="s">
        <v>29</v>
      </c>
      <c r="E561" s="8" t="s">
        <v>89</v>
      </c>
      <c r="F561" s="31">
        <f>_xlfn.XLOOKUP(Table2[[#This Row],[Shoe style]],val[SHOE STYLE],val[UNIT PRICE])</f>
        <v>12395</v>
      </c>
      <c r="H561" s="11">
        <v>1</v>
      </c>
      <c r="I561" s="6">
        <f>IF(Table2[[#This Row],[Discount]]&lt;(Table2[[#This Row],[UNIT PRICE]]*Table2[[#This Row],[Quantity sold]]),Table2[[#This Row],[UNIT PRICE]]*Table2[[#This Row],[Quantity sold]]-Table2[[#This Row],[Discount]],0)</f>
        <v>12395</v>
      </c>
      <c r="J561" s="10">
        <v>58500</v>
      </c>
      <c r="K561" s="2">
        <f>_xlfn.XLOOKUP(Table2[[#This Row],[Shoe style]],val[SHOE STYLE],val[COST PRICE])</f>
        <v>7909</v>
      </c>
      <c r="L561" s="2">
        <f>(Table2[[#This Row],[COST PRICE]]*Table2[[#This Row],[Quantity sold]])</f>
        <v>7909</v>
      </c>
      <c r="M561" s="2">
        <f>Table2[[#This Row],[TOTAL SALES]]-Table2[[#This Row],[TOTAL COST PRICE]]</f>
        <v>4486</v>
      </c>
      <c r="N561" s="2">
        <f>IF(Table2[[#This Row],[Amount Paid]]&gt;0,(SUMIF(Table2[Order ID],Table2[[#This Row],[Order ID]],Table2[Amount Paid])-SUMIF(Table2[Order ID],Table2[[#This Row],[Order ID]],Table2[TOTAL SALES])),0)</f>
        <v>23872</v>
      </c>
      <c r="O561" s="8">
        <v>40</v>
      </c>
      <c r="P561" s="8" t="s">
        <v>25</v>
      </c>
      <c r="Q561" s="8" t="s">
        <v>26</v>
      </c>
      <c r="R561" s="8" t="s">
        <v>292</v>
      </c>
      <c r="S561" s="8" t="s">
        <v>28</v>
      </c>
      <c r="T561" s="8">
        <f t="shared" si="8"/>
        <v>0</v>
      </c>
      <c r="U561" t="str" cm="1">
        <f t="array" ref="U561">_xlfn.IFNA(_xlfn.IFS(Table2[[#This Row],[DEFICIT /SURPLUS]]&lt;0,"Deficit",Table2[[#This Row],[DEFICIT /SURPLUS]]&gt;0,"surplus"),"-")</f>
        <v>surplus</v>
      </c>
    </row>
    <row r="562" spans="1:21" ht="14.5">
      <c r="A562" s="8" t="s">
        <v>413</v>
      </c>
      <c r="B562" s="9">
        <v>45697</v>
      </c>
      <c r="C562" s="8" t="s">
        <v>22</v>
      </c>
      <c r="D562" s="8" t="s">
        <v>53</v>
      </c>
      <c r="E562" s="8" t="s">
        <v>89</v>
      </c>
      <c r="F562" s="31">
        <f>_xlfn.XLOOKUP(Table2[[#This Row],[Shoe style]],val[SHOE STYLE],val[UNIT PRICE])</f>
        <v>9838</v>
      </c>
      <c r="H562" s="11">
        <v>1</v>
      </c>
      <c r="I562" s="6">
        <f>IF(Table2[[#This Row],[Discount]]&lt;(Table2[[#This Row],[UNIT PRICE]]*Table2[[#This Row],[Quantity sold]]),Table2[[#This Row],[UNIT PRICE]]*Table2[[#This Row],[Quantity sold]]-Table2[[#This Row],[Discount]],0)</f>
        <v>9838</v>
      </c>
      <c r="K562" s="2">
        <f>_xlfn.XLOOKUP(Table2[[#This Row],[Shoe style]],val[SHOE STYLE],val[COST PRICE])</f>
        <v>6687</v>
      </c>
      <c r="L562" s="2">
        <f>(Table2[[#This Row],[COST PRICE]]*Table2[[#This Row],[Quantity sold]])</f>
        <v>6687</v>
      </c>
      <c r="M562" s="2">
        <f>Table2[[#This Row],[TOTAL SALES]]-Table2[[#This Row],[TOTAL COST PRICE]]</f>
        <v>3151</v>
      </c>
      <c r="N562" s="2">
        <f>IF(Table2[[#This Row],[Amount Paid]]&gt;0,(SUMIF(Table2[Order ID],Table2[[#This Row],[Order ID]],Table2[Amount Paid])-SUMIF(Table2[Order ID],Table2[[#This Row],[Order ID]],Table2[TOTAL SALES])),0)</f>
        <v>0</v>
      </c>
      <c r="O562" s="8">
        <v>40</v>
      </c>
      <c r="P562" s="8" t="s">
        <v>25</v>
      </c>
      <c r="Q562" s="8" t="s">
        <v>26</v>
      </c>
      <c r="R562" s="8" t="s">
        <v>292</v>
      </c>
      <c r="S562" s="8" t="s">
        <v>28</v>
      </c>
      <c r="T562" s="8">
        <f t="shared" si="8"/>
        <v>0</v>
      </c>
      <c r="U562" t="str" cm="1">
        <f t="array" ref="U562">_xlfn.IFNA(_xlfn.IFS(Table2[[#This Row],[DEFICIT /SURPLUS]]&lt;0,"Deficit",Table2[[#This Row],[DEFICIT /SURPLUS]]&gt;0,"surplus"),"-")</f>
        <v>-</v>
      </c>
    </row>
    <row r="563" spans="1:21" ht="14.5">
      <c r="A563" s="8" t="s">
        <v>413</v>
      </c>
      <c r="B563" s="9">
        <v>45697</v>
      </c>
      <c r="C563" s="8" t="s">
        <v>22</v>
      </c>
      <c r="D563" s="8" t="s">
        <v>29</v>
      </c>
      <c r="E563" s="8" t="s">
        <v>103</v>
      </c>
      <c r="F563" s="31">
        <f>_xlfn.XLOOKUP(Table2[[#This Row],[Shoe style]],val[SHOE STYLE],val[UNIT PRICE])</f>
        <v>12395</v>
      </c>
      <c r="H563" s="11">
        <v>1</v>
      </c>
      <c r="I563" s="6">
        <f>IF(Table2[[#This Row],[Discount]]&lt;(Table2[[#This Row],[UNIT PRICE]]*Table2[[#This Row],[Quantity sold]]),Table2[[#This Row],[UNIT PRICE]]*Table2[[#This Row],[Quantity sold]]-Table2[[#This Row],[Discount]],0)</f>
        <v>12395</v>
      </c>
      <c r="K563" s="2">
        <f>_xlfn.XLOOKUP(Table2[[#This Row],[Shoe style]],val[SHOE STYLE],val[COST PRICE])</f>
        <v>7909</v>
      </c>
      <c r="L563" s="2">
        <f>(Table2[[#This Row],[COST PRICE]]*Table2[[#This Row],[Quantity sold]])</f>
        <v>7909</v>
      </c>
      <c r="M563" s="2">
        <f>Table2[[#This Row],[TOTAL SALES]]-Table2[[#This Row],[TOTAL COST PRICE]]</f>
        <v>4486</v>
      </c>
      <c r="N563" s="2">
        <f>IF(Table2[[#This Row],[Amount Paid]]&gt;0,(SUMIF(Table2[Order ID],Table2[[#This Row],[Order ID]],Table2[Amount Paid])-SUMIF(Table2[Order ID],Table2[[#This Row],[Order ID]],Table2[TOTAL SALES])),0)</f>
        <v>0</v>
      </c>
      <c r="O563" s="8">
        <v>40</v>
      </c>
      <c r="P563" s="8" t="s">
        <v>25</v>
      </c>
      <c r="Q563" s="8" t="s">
        <v>26</v>
      </c>
      <c r="R563" s="8" t="s">
        <v>292</v>
      </c>
      <c r="S563" s="8" t="s">
        <v>28</v>
      </c>
      <c r="T563" s="8">
        <f t="shared" si="8"/>
        <v>0</v>
      </c>
      <c r="U563" t="str" cm="1">
        <f t="array" ref="U563">_xlfn.IFNA(_xlfn.IFS(Table2[[#This Row],[DEFICIT /SURPLUS]]&lt;0,"Deficit",Table2[[#This Row],[DEFICIT /SURPLUS]]&gt;0,"surplus"),"-")</f>
        <v>-</v>
      </c>
    </row>
    <row r="564" spans="1:21" ht="14.5">
      <c r="A564" s="8" t="s">
        <v>414</v>
      </c>
      <c r="B564" s="9">
        <v>45697</v>
      </c>
      <c r="C564" s="8" t="s">
        <v>112</v>
      </c>
      <c r="D564" s="8" t="s">
        <v>37</v>
      </c>
      <c r="E564" s="8" t="s">
        <v>392</v>
      </c>
      <c r="F564" s="31">
        <f>_xlfn.XLOOKUP(Table2[[#This Row],[Shoe style]],val[SHOE STYLE],val[UNIT PRICE])</f>
        <v>22728</v>
      </c>
      <c r="H564" s="11">
        <v>1</v>
      </c>
      <c r="I564" s="6">
        <f>IF(Table2[[#This Row],[Discount]]&lt;(Table2[[#This Row],[UNIT PRICE]]*Table2[[#This Row],[Quantity sold]]),Table2[[#This Row],[UNIT PRICE]]*Table2[[#This Row],[Quantity sold]]-Table2[[#This Row],[Discount]],0)</f>
        <v>22728</v>
      </c>
      <c r="J564" s="10">
        <v>45000</v>
      </c>
      <c r="K564" s="2">
        <f>_xlfn.XLOOKUP(Table2[[#This Row],[Shoe style]],val[SHOE STYLE],val[COST PRICE])</f>
        <v>20451</v>
      </c>
      <c r="L564" s="2">
        <f>(Table2[[#This Row],[COST PRICE]]*Table2[[#This Row],[Quantity sold]])</f>
        <v>20451</v>
      </c>
      <c r="M564" s="2">
        <f>Table2[[#This Row],[TOTAL SALES]]-Table2[[#This Row],[TOTAL COST PRICE]]</f>
        <v>2277</v>
      </c>
      <c r="N564" s="2">
        <f>IF(Table2[[#This Row],[Amount Paid]]&gt;0,(SUMIF(Table2[Order ID],Table2[[#This Row],[Order ID]],Table2[Amount Paid])-SUMIF(Table2[Order ID],Table2[[#This Row],[Order ID]],Table2[TOTAL SALES])),0)</f>
        <v>1772</v>
      </c>
      <c r="O564" s="8">
        <v>38</v>
      </c>
      <c r="P564" s="8" t="s">
        <v>25</v>
      </c>
      <c r="Q564" s="8" t="s">
        <v>195</v>
      </c>
      <c r="R564" s="8" t="s">
        <v>44</v>
      </c>
      <c r="S564" s="8" t="s">
        <v>28</v>
      </c>
      <c r="T564" s="8">
        <f t="shared" si="8"/>
        <v>0</v>
      </c>
      <c r="U564" t="str" cm="1">
        <f t="array" ref="U564">_xlfn.IFNA(_xlfn.IFS(Table2[[#This Row],[DEFICIT /SURPLUS]]&lt;0,"Deficit",Table2[[#This Row],[DEFICIT /SURPLUS]]&gt;0,"surplus"),"-")</f>
        <v>surplus</v>
      </c>
    </row>
    <row r="565" spans="1:21" ht="14.5">
      <c r="A565" s="8" t="s">
        <v>414</v>
      </c>
      <c r="B565" s="9">
        <v>45699</v>
      </c>
      <c r="C565" s="8" t="s">
        <v>112</v>
      </c>
      <c r="D565" s="8" t="s">
        <v>49</v>
      </c>
      <c r="E565" s="8" t="s">
        <v>50</v>
      </c>
      <c r="F565" s="31">
        <f>_xlfn.XLOOKUP(Table2[[#This Row],[Shoe style]],val[SHOE STYLE],val[UNIT PRICE])</f>
        <v>20500</v>
      </c>
      <c r="H565" s="11">
        <v>1</v>
      </c>
      <c r="I565" s="6">
        <f>IF(Table2[[#This Row],[Discount]]&lt;(Table2[[#This Row],[UNIT PRICE]]*Table2[[#This Row],[Quantity sold]]),Table2[[#This Row],[UNIT PRICE]]*Table2[[#This Row],[Quantity sold]]-Table2[[#This Row],[Discount]],0)</f>
        <v>20500</v>
      </c>
      <c r="K565" s="2">
        <f>_xlfn.XLOOKUP(Table2[[#This Row],[Shoe style]],val[SHOE STYLE],val[COST PRICE])</f>
        <v>17339</v>
      </c>
      <c r="L565" s="2">
        <f>(Table2[[#This Row],[COST PRICE]]*Table2[[#This Row],[Quantity sold]])</f>
        <v>17339</v>
      </c>
      <c r="M565" s="2">
        <f>Table2[[#This Row],[TOTAL SALES]]-Table2[[#This Row],[TOTAL COST PRICE]]</f>
        <v>3161</v>
      </c>
      <c r="N565" s="2">
        <f>IF(Table2[[#This Row],[Amount Paid]]&gt;0,(SUMIF(Table2[Order ID],Table2[[#This Row],[Order ID]],Table2[Amount Paid])-SUMIF(Table2[Order ID],Table2[[#This Row],[Order ID]],Table2[TOTAL SALES])),0)</f>
        <v>0</v>
      </c>
      <c r="O565" s="8">
        <v>39</v>
      </c>
      <c r="P565" s="8" t="s">
        <v>25</v>
      </c>
      <c r="Q565" s="8" t="s">
        <v>195</v>
      </c>
      <c r="R565" s="8" t="s">
        <v>44</v>
      </c>
      <c r="S565" s="8" t="s">
        <v>28</v>
      </c>
      <c r="T565" s="8">
        <f t="shared" ref="T565:T583" si="9">IF(S565="NO",1,0)</f>
        <v>0</v>
      </c>
      <c r="U565" t="str" cm="1">
        <f t="array" ref="U565">_xlfn.IFNA(_xlfn.IFS(Table2[[#This Row],[DEFICIT /SURPLUS]]&lt;0,"Deficit",Table2[[#This Row],[DEFICIT /SURPLUS]]&gt;0,"surplus"),"-")</f>
        <v>-</v>
      </c>
    </row>
    <row r="566" spans="1:21" ht="14.5">
      <c r="A566" s="8" t="s">
        <v>415</v>
      </c>
      <c r="B566" s="9">
        <v>45699</v>
      </c>
      <c r="C566" s="8" t="s">
        <v>22</v>
      </c>
      <c r="D566" s="8" t="s">
        <v>37</v>
      </c>
      <c r="E566" s="8" t="s">
        <v>237</v>
      </c>
      <c r="F566" s="31">
        <f>_xlfn.XLOOKUP(Table2[[#This Row],[Shoe style]],val[SHOE STYLE],val[UNIT PRICE])</f>
        <v>22728</v>
      </c>
      <c r="H566" s="11">
        <v>1</v>
      </c>
      <c r="I566" s="6">
        <f>IF(Table2[[#This Row],[Discount]]&lt;(Table2[[#This Row],[UNIT PRICE]]*Table2[[#This Row],[Quantity sold]]),Table2[[#This Row],[UNIT PRICE]]*Table2[[#This Row],[Quantity sold]]-Table2[[#This Row],[Discount]],0)</f>
        <v>22728</v>
      </c>
      <c r="J566" s="10">
        <v>19500</v>
      </c>
      <c r="K566" s="2">
        <f>_xlfn.XLOOKUP(Table2[[#This Row],[Shoe style]],val[SHOE STYLE],val[COST PRICE])</f>
        <v>20451</v>
      </c>
      <c r="L566" s="2">
        <f>(Table2[[#This Row],[COST PRICE]]*Table2[[#This Row],[Quantity sold]])</f>
        <v>20451</v>
      </c>
      <c r="M566" s="2">
        <f>Table2[[#This Row],[TOTAL SALES]]-Table2[[#This Row],[TOTAL COST PRICE]]</f>
        <v>2277</v>
      </c>
      <c r="N566" s="2">
        <f>IF(Table2[[#This Row],[Amount Paid]]&gt;0,(SUMIF(Table2[Order ID],Table2[[#This Row],[Order ID]],Table2[Amount Paid])-SUMIF(Table2[Order ID],Table2[[#This Row],[Order ID]],Table2[TOTAL SALES])),0)</f>
        <v>-3228</v>
      </c>
      <c r="O566" s="8">
        <v>42</v>
      </c>
      <c r="P566" s="8" t="s">
        <v>25</v>
      </c>
      <c r="Q566" s="8" t="s">
        <v>341</v>
      </c>
      <c r="R566" s="8" t="s">
        <v>44</v>
      </c>
      <c r="S566" s="8" t="s">
        <v>28</v>
      </c>
      <c r="T566" s="8">
        <f t="shared" si="9"/>
        <v>0</v>
      </c>
      <c r="U566" t="str" cm="1">
        <f t="array" ref="U566">_xlfn.IFNA(_xlfn.IFS(Table2[[#This Row],[DEFICIT /SURPLUS]]&lt;0,"Deficit",Table2[[#This Row],[DEFICIT /SURPLUS]]&gt;0,"surplus"),"-")</f>
        <v>Deficit</v>
      </c>
    </row>
    <row r="567" spans="1:21" ht="14.5">
      <c r="A567" s="8" t="s">
        <v>416</v>
      </c>
      <c r="B567" s="9">
        <v>45701</v>
      </c>
      <c r="C567" s="8" t="s">
        <v>22</v>
      </c>
      <c r="D567" s="8" t="s">
        <v>29</v>
      </c>
      <c r="E567" s="8" t="s">
        <v>50</v>
      </c>
      <c r="F567" s="31">
        <f>_xlfn.XLOOKUP(Table2[[#This Row],[Shoe style]],val[SHOE STYLE],val[UNIT PRICE])</f>
        <v>12395</v>
      </c>
      <c r="H567" s="11">
        <v>1</v>
      </c>
      <c r="I567" s="6">
        <f>IF(Table2[[#This Row],[Discount]]&lt;(Table2[[#This Row],[UNIT PRICE]]*Table2[[#This Row],[Quantity sold]]),Table2[[#This Row],[UNIT PRICE]]*Table2[[#This Row],[Quantity sold]]-Table2[[#This Row],[Discount]],0)</f>
        <v>12395</v>
      </c>
      <c r="J567" s="10">
        <v>19500</v>
      </c>
      <c r="K567" s="2">
        <f>_xlfn.XLOOKUP(Table2[[#This Row],[Shoe style]],val[SHOE STYLE],val[COST PRICE])</f>
        <v>7909</v>
      </c>
      <c r="L567" s="2">
        <f>(Table2[[#This Row],[COST PRICE]]*Table2[[#This Row],[Quantity sold]])</f>
        <v>7909</v>
      </c>
      <c r="M567" s="2">
        <f>Table2[[#This Row],[TOTAL SALES]]-Table2[[#This Row],[TOTAL COST PRICE]]</f>
        <v>4486</v>
      </c>
      <c r="N567" s="2">
        <f>IF(Table2[[#This Row],[Amount Paid]]&gt;0,(SUMIF(Table2[Order ID],Table2[[#This Row],[Order ID]],Table2[Amount Paid])-SUMIF(Table2[Order ID],Table2[[#This Row],[Order ID]],Table2[TOTAL SALES])),0)</f>
        <v>7105</v>
      </c>
      <c r="O567" s="8">
        <v>40</v>
      </c>
      <c r="P567" s="8" t="s">
        <v>25</v>
      </c>
      <c r="Q567" s="8" t="s">
        <v>195</v>
      </c>
      <c r="R567" s="8" t="s">
        <v>27</v>
      </c>
      <c r="S567" s="8" t="s">
        <v>28</v>
      </c>
      <c r="T567" s="8">
        <f t="shared" si="9"/>
        <v>0</v>
      </c>
      <c r="U567" t="str" cm="1">
        <f t="array" ref="U567">_xlfn.IFNA(_xlfn.IFS(Table2[[#This Row],[DEFICIT /SURPLUS]]&lt;0,"Deficit",Table2[[#This Row],[DEFICIT /SURPLUS]]&gt;0,"surplus"),"-")</f>
        <v>surplus</v>
      </c>
    </row>
    <row r="568" spans="1:21" ht="14.5">
      <c r="A568" s="8" t="s">
        <v>417</v>
      </c>
      <c r="B568" s="9">
        <v>45701</v>
      </c>
      <c r="C568" s="8" t="s">
        <v>22</v>
      </c>
      <c r="D568" s="8" t="s">
        <v>53</v>
      </c>
      <c r="E568" s="8" t="s">
        <v>87</v>
      </c>
      <c r="F568" s="31">
        <f>_xlfn.XLOOKUP(Table2[[#This Row],[Shoe style]],val[SHOE STYLE],val[UNIT PRICE])</f>
        <v>9838</v>
      </c>
      <c r="H568" s="11">
        <v>1</v>
      </c>
      <c r="I568" s="6">
        <f>IF(Table2[[#This Row],[Discount]]&lt;(Table2[[#This Row],[UNIT PRICE]]*Table2[[#This Row],[Quantity sold]]),Table2[[#This Row],[UNIT PRICE]]*Table2[[#This Row],[Quantity sold]]-Table2[[#This Row],[Discount]],0)</f>
        <v>9838</v>
      </c>
      <c r="J568" s="10">
        <v>48725</v>
      </c>
      <c r="K568" s="2">
        <f>_xlfn.XLOOKUP(Table2[[#This Row],[Shoe style]],val[SHOE STYLE],val[COST PRICE])</f>
        <v>6687</v>
      </c>
      <c r="L568" s="2">
        <f>(Table2[[#This Row],[COST PRICE]]*Table2[[#This Row],[Quantity sold]])</f>
        <v>6687</v>
      </c>
      <c r="M568" s="2">
        <f>Table2[[#This Row],[TOTAL SALES]]-Table2[[#This Row],[TOTAL COST PRICE]]</f>
        <v>3151</v>
      </c>
      <c r="N568" s="2">
        <f>IF(Table2[[#This Row],[Amount Paid]]&gt;0,(SUMIF(Table2[Order ID],Table2[[#This Row],[Order ID]],Table2[Amount Paid])-SUMIF(Table2[Order ID],Table2[[#This Row],[Order ID]],Table2[TOTAL SALES])),0)</f>
        <v>26492</v>
      </c>
      <c r="O568" s="8">
        <v>39</v>
      </c>
      <c r="P568" s="8" t="s">
        <v>25</v>
      </c>
      <c r="Q568" s="8" t="s">
        <v>54</v>
      </c>
      <c r="R568" s="8" t="s">
        <v>27</v>
      </c>
      <c r="S568" s="8" t="s">
        <v>28</v>
      </c>
      <c r="T568" s="8">
        <f t="shared" si="9"/>
        <v>0</v>
      </c>
      <c r="U568" t="str" cm="1">
        <f t="array" ref="U568">_xlfn.IFNA(_xlfn.IFS(Table2[[#This Row],[DEFICIT /SURPLUS]]&lt;0,"Deficit",Table2[[#This Row],[DEFICIT /SURPLUS]]&gt;0,"surplus"),"-")</f>
        <v>surplus</v>
      </c>
    </row>
    <row r="569" spans="1:21" ht="14.5">
      <c r="A569" s="8" t="s">
        <v>417</v>
      </c>
      <c r="B569" s="9">
        <v>45703</v>
      </c>
      <c r="C569" s="8" t="s">
        <v>22</v>
      </c>
      <c r="D569" s="8" t="s">
        <v>29</v>
      </c>
      <c r="E569" s="8" t="s">
        <v>24</v>
      </c>
      <c r="F569" s="31">
        <f>_xlfn.XLOOKUP(Table2[[#This Row],[Shoe style]],val[SHOE STYLE],val[UNIT PRICE])</f>
        <v>12395</v>
      </c>
      <c r="H569" s="11">
        <v>1</v>
      </c>
      <c r="I569" s="6">
        <f>IF(Table2[[#This Row],[Discount]]&lt;(Table2[[#This Row],[UNIT PRICE]]*Table2[[#This Row],[Quantity sold]]),Table2[[#This Row],[UNIT PRICE]]*Table2[[#This Row],[Quantity sold]]-Table2[[#This Row],[Discount]],0)</f>
        <v>12395</v>
      </c>
      <c r="K569" s="2">
        <f>_xlfn.XLOOKUP(Table2[[#This Row],[Shoe style]],val[SHOE STYLE],val[COST PRICE])</f>
        <v>7909</v>
      </c>
      <c r="L569" s="2">
        <f>(Table2[[#This Row],[COST PRICE]]*Table2[[#This Row],[Quantity sold]])</f>
        <v>7909</v>
      </c>
      <c r="M569" s="2">
        <f>Table2[[#This Row],[TOTAL SALES]]-Table2[[#This Row],[TOTAL COST PRICE]]</f>
        <v>4486</v>
      </c>
      <c r="N569" s="2">
        <f>IF(Table2[[#This Row],[Amount Paid]]&gt;0,(SUMIF(Table2[Order ID],Table2[[#This Row],[Order ID]],Table2[Amount Paid])-SUMIF(Table2[Order ID],Table2[[#This Row],[Order ID]],Table2[TOTAL SALES])),0)</f>
        <v>0</v>
      </c>
      <c r="O569" s="8">
        <v>39</v>
      </c>
      <c r="P569" s="8" t="s">
        <v>25</v>
      </c>
      <c r="Q569" s="8" t="s">
        <v>54</v>
      </c>
      <c r="R569" s="8" t="s">
        <v>27</v>
      </c>
      <c r="S569" s="8" t="s">
        <v>28</v>
      </c>
      <c r="T569" s="8">
        <f t="shared" si="9"/>
        <v>0</v>
      </c>
      <c r="U569" t="str" cm="1">
        <f t="array" ref="U569">_xlfn.IFNA(_xlfn.IFS(Table2[[#This Row],[DEFICIT /SURPLUS]]&lt;0,"Deficit",Table2[[#This Row],[DEFICIT /SURPLUS]]&gt;0,"surplus"),"-")</f>
        <v>-</v>
      </c>
    </row>
    <row r="570" spans="1:21" ht="14.5">
      <c r="A570" s="8" t="s">
        <v>418</v>
      </c>
      <c r="B570" s="9">
        <v>45703</v>
      </c>
      <c r="C570" s="8" t="s">
        <v>22</v>
      </c>
      <c r="D570" s="8" t="s">
        <v>53</v>
      </c>
      <c r="E570" s="8" t="s">
        <v>30</v>
      </c>
      <c r="F570" s="31">
        <f>_xlfn.XLOOKUP(Table2[[#This Row],[Shoe style]],val[SHOE STYLE],val[UNIT PRICE])</f>
        <v>9838</v>
      </c>
      <c r="H570" s="11">
        <v>1</v>
      </c>
      <c r="I570" s="6">
        <f>IF(Table2[[#This Row],[Discount]]&lt;(Table2[[#This Row],[UNIT PRICE]]*Table2[[#This Row],[Quantity sold]]),Table2[[#This Row],[UNIT PRICE]]*Table2[[#This Row],[Quantity sold]]-Table2[[#This Row],[Discount]],0)</f>
        <v>9838</v>
      </c>
      <c r="J570" s="10">
        <v>20962.5</v>
      </c>
      <c r="K570" s="2">
        <f>_xlfn.XLOOKUP(Table2[[#This Row],[Shoe style]],val[SHOE STYLE],val[COST PRICE])</f>
        <v>6687</v>
      </c>
      <c r="L570" s="2">
        <f>(Table2[[#This Row],[COST PRICE]]*Table2[[#This Row],[Quantity sold]])</f>
        <v>6687</v>
      </c>
      <c r="M570" s="2">
        <f>Table2[[#This Row],[TOTAL SALES]]-Table2[[#This Row],[TOTAL COST PRICE]]</f>
        <v>3151</v>
      </c>
      <c r="N570" s="2">
        <f>IF(Table2[[#This Row],[Amount Paid]]&gt;0,(SUMIF(Table2[Order ID],Table2[[#This Row],[Order ID]],Table2[Amount Paid])-SUMIF(Table2[Order ID],Table2[[#This Row],[Order ID]],Table2[TOTAL SALES])),0)</f>
        <v>11124.5</v>
      </c>
      <c r="O570" s="8">
        <v>39</v>
      </c>
      <c r="P570" s="8" t="s">
        <v>25</v>
      </c>
      <c r="Q570" s="8" t="s">
        <v>54</v>
      </c>
      <c r="R570" s="8" t="s">
        <v>27</v>
      </c>
      <c r="S570" s="8" t="s">
        <v>28</v>
      </c>
      <c r="T570" s="8">
        <f t="shared" si="9"/>
        <v>0</v>
      </c>
      <c r="U570" t="str" cm="1">
        <f t="array" ref="U570">_xlfn.IFNA(_xlfn.IFS(Table2[[#This Row],[DEFICIT /SURPLUS]]&lt;0,"Deficit",Table2[[#This Row],[DEFICIT /SURPLUS]]&gt;0,"surplus"),"-")</f>
        <v>surplus</v>
      </c>
    </row>
    <row r="571" spans="1:21" ht="14.5">
      <c r="A571" s="8" t="s">
        <v>419</v>
      </c>
      <c r="B571" s="9">
        <v>45704</v>
      </c>
      <c r="C571" s="8" t="s">
        <v>22</v>
      </c>
      <c r="D571" s="8" t="s">
        <v>71</v>
      </c>
      <c r="E571" s="8" t="s">
        <v>109</v>
      </c>
      <c r="F571" s="31">
        <f>_xlfn.XLOOKUP(Table2[[#This Row],[Shoe style]],val[SHOE STYLE],val[UNIT PRICE])</f>
        <v>14873</v>
      </c>
      <c r="H571" s="11">
        <v>1</v>
      </c>
      <c r="I571" s="6">
        <f>IF(Table2[[#This Row],[Discount]]&lt;(Table2[[#This Row],[UNIT PRICE]]*Table2[[#This Row],[Quantity sold]]),Table2[[#This Row],[UNIT PRICE]]*Table2[[#This Row],[Quantity sold]]-Table2[[#This Row],[Discount]],0)</f>
        <v>14873</v>
      </c>
      <c r="J571" s="10">
        <v>26112.5</v>
      </c>
      <c r="K571" s="2">
        <f>_xlfn.XLOOKUP(Table2[[#This Row],[Shoe style]],val[SHOE STYLE],val[COST PRICE])</f>
        <v>11503</v>
      </c>
      <c r="L571" s="2">
        <f>(Table2[[#This Row],[COST PRICE]]*Table2[[#This Row],[Quantity sold]])</f>
        <v>11503</v>
      </c>
      <c r="M571" s="2">
        <f>Table2[[#This Row],[TOTAL SALES]]-Table2[[#This Row],[TOTAL COST PRICE]]</f>
        <v>3370</v>
      </c>
      <c r="N571" s="2">
        <f>IF(Table2[[#This Row],[Amount Paid]]&gt;0,(SUMIF(Table2[Order ID],Table2[[#This Row],[Order ID]],Table2[Amount Paid])-SUMIF(Table2[Order ID],Table2[[#This Row],[Order ID]],Table2[TOTAL SALES])),0)</f>
        <v>11239.5</v>
      </c>
      <c r="O571" s="8">
        <v>39</v>
      </c>
      <c r="P571" s="8" t="s">
        <v>25</v>
      </c>
      <c r="Q571" s="8" t="s">
        <v>54</v>
      </c>
      <c r="R571" s="8" t="s">
        <v>44</v>
      </c>
      <c r="S571" s="8" t="s">
        <v>28</v>
      </c>
      <c r="T571" s="8">
        <f t="shared" si="9"/>
        <v>0</v>
      </c>
      <c r="U571" t="str" cm="1">
        <f t="array" ref="U571">_xlfn.IFNA(_xlfn.IFS(Table2[[#This Row],[DEFICIT /SURPLUS]]&lt;0,"Deficit",Table2[[#This Row],[DEFICIT /SURPLUS]]&gt;0,"surplus"),"-")</f>
        <v>surplus</v>
      </c>
    </row>
    <row r="572" spans="1:21" ht="14.5">
      <c r="A572" s="8" t="s">
        <v>420</v>
      </c>
      <c r="B572" s="9">
        <v>45703</v>
      </c>
      <c r="C572" s="8" t="s">
        <v>112</v>
      </c>
      <c r="D572" s="8" t="s">
        <v>29</v>
      </c>
      <c r="E572" s="8" t="s">
        <v>24</v>
      </c>
      <c r="F572" s="31">
        <f>_xlfn.XLOOKUP(Table2[[#This Row],[Shoe style]],val[SHOE STYLE],val[UNIT PRICE])</f>
        <v>12395</v>
      </c>
      <c r="H572" s="11">
        <v>1</v>
      </c>
      <c r="I572" s="6">
        <f>IF(Table2[[#This Row],[Discount]]&lt;(Table2[[#This Row],[UNIT PRICE]]*Table2[[#This Row],[Quantity sold]]),Table2[[#This Row],[UNIT PRICE]]*Table2[[#This Row],[Quantity sold]]-Table2[[#This Row],[Discount]],0)</f>
        <v>12395</v>
      </c>
      <c r="J572" s="10">
        <v>110000</v>
      </c>
      <c r="K572" s="2">
        <f>_xlfn.XLOOKUP(Table2[[#This Row],[Shoe style]],val[SHOE STYLE],val[COST PRICE])</f>
        <v>7909</v>
      </c>
      <c r="L572" s="2">
        <f>(Table2[[#This Row],[COST PRICE]]*Table2[[#This Row],[Quantity sold]])</f>
        <v>7909</v>
      </c>
      <c r="M572" s="2">
        <f>Table2[[#This Row],[TOTAL SALES]]-Table2[[#This Row],[TOTAL COST PRICE]]</f>
        <v>4486</v>
      </c>
      <c r="N572" s="2">
        <f>IF(Table2[[#This Row],[Amount Paid]]&gt;0,(SUMIF(Table2[Order ID],Table2[[#This Row],[Order ID]],Table2[Amount Paid])-SUMIF(Table2[Order ID],Table2[[#This Row],[Order ID]],Table2[TOTAL SALES])),0)</f>
        <v>13397</v>
      </c>
      <c r="O572" s="8">
        <v>40</v>
      </c>
      <c r="P572" s="8" t="s">
        <v>25</v>
      </c>
      <c r="Q572" s="8" t="s">
        <v>341</v>
      </c>
      <c r="R572" s="8" t="s">
        <v>44</v>
      </c>
      <c r="S572" s="8" t="s">
        <v>28</v>
      </c>
      <c r="T572" s="8">
        <f t="shared" si="9"/>
        <v>0</v>
      </c>
      <c r="U572" t="str" cm="1">
        <f t="array" ref="U572">_xlfn.IFNA(_xlfn.IFS(Table2[[#This Row],[DEFICIT /SURPLUS]]&lt;0,"Deficit",Table2[[#This Row],[DEFICIT /SURPLUS]]&gt;0,"surplus"),"-")</f>
        <v>surplus</v>
      </c>
    </row>
    <row r="573" spans="1:21" ht="14.5">
      <c r="A573" s="8" t="s">
        <v>420</v>
      </c>
      <c r="B573" s="9">
        <v>45703</v>
      </c>
      <c r="C573" s="8" t="s">
        <v>112</v>
      </c>
      <c r="D573" s="8" t="s">
        <v>29</v>
      </c>
      <c r="E573" s="8" t="s">
        <v>43</v>
      </c>
      <c r="F573" s="31">
        <f>_xlfn.XLOOKUP(Table2[[#This Row],[Shoe style]],val[SHOE STYLE],val[UNIT PRICE])</f>
        <v>12395</v>
      </c>
      <c r="H573" s="11">
        <v>1</v>
      </c>
      <c r="I573" s="6">
        <f>IF(Table2[[#This Row],[Discount]]&lt;(Table2[[#This Row],[UNIT PRICE]]*Table2[[#This Row],[Quantity sold]]),Table2[[#This Row],[UNIT PRICE]]*Table2[[#This Row],[Quantity sold]]-Table2[[#This Row],[Discount]],0)</f>
        <v>12395</v>
      </c>
      <c r="K573" s="2">
        <f>_xlfn.XLOOKUP(Table2[[#This Row],[Shoe style]],val[SHOE STYLE],val[COST PRICE])</f>
        <v>7909</v>
      </c>
      <c r="L573" s="2">
        <f>(Table2[[#This Row],[COST PRICE]]*Table2[[#This Row],[Quantity sold]])</f>
        <v>7909</v>
      </c>
      <c r="M573" s="2">
        <f>Table2[[#This Row],[TOTAL SALES]]-Table2[[#This Row],[TOTAL COST PRICE]]</f>
        <v>4486</v>
      </c>
      <c r="N573" s="2">
        <f>IF(Table2[[#This Row],[Amount Paid]]&gt;0,(SUMIF(Table2[Order ID],Table2[[#This Row],[Order ID]],Table2[Amount Paid])-SUMIF(Table2[Order ID],Table2[[#This Row],[Order ID]],Table2[TOTAL SALES])),0)</f>
        <v>0</v>
      </c>
      <c r="O573" s="8">
        <v>40</v>
      </c>
      <c r="P573" s="8" t="s">
        <v>25</v>
      </c>
      <c r="Q573" s="8" t="s">
        <v>341</v>
      </c>
      <c r="R573" s="8" t="s">
        <v>44</v>
      </c>
      <c r="S573" s="8" t="s">
        <v>28</v>
      </c>
      <c r="T573" s="8">
        <f t="shared" si="9"/>
        <v>0</v>
      </c>
      <c r="U573" t="str" cm="1">
        <f t="array" ref="U573">_xlfn.IFNA(_xlfn.IFS(Table2[[#This Row],[DEFICIT /SURPLUS]]&lt;0,"Deficit",Table2[[#This Row],[DEFICIT /SURPLUS]]&gt;0,"surplus"),"-")</f>
        <v>-</v>
      </c>
    </row>
    <row r="574" spans="1:21" ht="14.5">
      <c r="A574" s="8" t="s">
        <v>420</v>
      </c>
      <c r="B574" s="9">
        <v>45703</v>
      </c>
      <c r="C574" s="8" t="s">
        <v>112</v>
      </c>
      <c r="D574" s="8" t="s">
        <v>29</v>
      </c>
      <c r="E574" s="8" t="s">
        <v>38</v>
      </c>
      <c r="F574" s="31">
        <f>_xlfn.XLOOKUP(Table2[[#This Row],[Shoe style]],val[SHOE STYLE],val[UNIT PRICE])</f>
        <v>12395</v>
      </c>
      <c r="H574" s="11">
        <v>1</v>
      </c>
      <c r="I574" s="6">
        <f>IF(Table2[[#This Row],[Discount]]&lt;(Table2[[#This Row],[UNIT PRICE]]*Table2[[#This Row],[Quantity sold]]),Table2[[#This Row],[UNIT PRICE]]*Table2[[#This Row],[Quantity sold]]-Table2[[#This Row],[Discount]],0)</f>
        <v>12395</v>
      </c>
      <c r="K574" s="2">
        <f>_xlfn.XLOOKUP(Table2[[#This Row],[Shoe style]],val[SHOE STYLE],val[COST PRICE])</f>
        <v>7909</v>
      </c>
      <c r="L574" s="2">
        <f>(Table2[[#This Row],[COST PRICE]]*Table2[[#This Row],[Quantity sold]])</f>
        <v>7909</v>
      </c>
      <c r="M574" s="2">
        <f>Table2[[#This Row],[TOTAL SALES]]-Table2[[#This Row],[TOTAL COST PRICE]]</f>
        <v>4486</v>
      </c>
      <c r="N574" s="2">
        <f>IF(Table2[[#This Row],[Amount Paid]]&gt;0,(SUMIF(Table2[Order ID],Table2[[#This Row],[Order ID]],Table2[Amount Paid])-SUMIF(Table2[Order ID],Table2[[#This Row],[Order ID]],Table2[TOTAL SALES])),0)</f>
        <v>0</v>
      </c>
      <c r="O574" s="8">
        <v>40</v>
      </c>
      <c r="P574" s="8" t="s">
        <v>25</v>
      </c>
      <c r="Q574" s="8" t="s">
        <v>341</v>
      </c>
      <c r="R574" s="8" t="s">
        <v>44</v>
      </c>
      <c r="S574" s="8" t="s">
        <v>28</v>
      </c>
      <c r="T574" s="8">
        <f t="shared" si="9"/>
        <v>0</v>
      </c>
      <c r="U574" t="str" cm="1">
        <f t="array" ref="U574">_xlfn.IFNA(_xlfn.IFS(Table2[[#This Row],[DEFICIT /SURPLUS]]&lt;0,"Deficit",Table2[[#This Row],[DEFICIT /SURPLUS]]&gt;0,"surplus"),"-")</f>
        <v>-</v>
      </c>
    </row>
    <row r="575" spans="1:21" ht="14.5">
      <c r="A575" s="8" t="s">
        <v>420</v>
      </c>
      <c r="B575" s="9">
        <v>45703</v>
      </c>
      <c r="C575" s="8" t="s">
        <v>112</v>
      </c>
      <c r="D575" s="8" t="s">
        <v>29</v>
      </c>
      <c r="E575" s="8" t="s">
        <v>55</v>
      </c>
      <c r="F575" s="31">
        <f>_xlfn.XLOOKUP(Table2[[#This Row],[Shoe style]],val[SHOE STYLE],val[UNIT PRICE])</f>
        <v>12395</v>
      </c>
      <c r="H575" s="11">
        <v>1</v>
      </c>
      <c r="I575" s="6">
        <f>IF(Table2[[#This Row],[Discount]]&lt;(Table2[[#This Row],[UNIT PRICE]]*Table2[[#This Row],[Quantity sold]]),Table2[[#This Row],[UNIT PRICE]]*Table2[[#This Row],[Quantity sold]]-Table2[[#This Row],[Discount]],0)</f>
        <v>12395</v>
      </c>
      <c r="K575" s="2">
        <f>_xlfn.XLOOKUP(Table2[[#This Row],[Shoe style]],val[SHOE STYLE],val[COST PRICE])</f>
        <v>7909</v>
      </c>
      <c r="L575" s="2">
        <f>(Table2[[#This Row],[COST PRICE]]*Table2[[#This Row],[Quantity sold]])</f>
        <v>7909</v>
      </c>
      <c r="M575" s="2">
        <f>Table2[[#This Row],[TOTAL SALES]]-Table2[[#This Row],[TOTAL COST PRICE]]</f>
        <v>4486</v>
      </c>
      <c r="N575" s="2">
        <f>IF(Table2[[#This Row],[Amount Paid]]&gt;0,(SUMIF(Table2[Order ID],Table2[[#This Row],[Order ID]],Table2[Amount Paid])-SUMIF(Table2[Order ID],Table2[[#This Row],[Order ID]],Table2[TOTAL SALES])),0)</f>
        <v>0</v>
      </c>
      <c r="O575" s="8">
        <v>40</v>
      </c>
      <c r="P575" s="8" t="s">
        <v>25</v>
      </c>
      <c r="Q575" s="8" t="s">
        <v>341</v>
      </c>
      <c r="R575" s="8" t="s">
        <v>44</v>
      </c>
      <c r="S575" s="8" t="s">
        <v>28</v>
      </c>
      <c r="T575" s="8">
        <f t="shared" si="9"/>
        <v>0</v>
      </c>
      <c r="U575" t="str" cm="1">
        <f t="array" ref="U575">_xlfn.IFNA(_xlfn.IFS(Table2[[#This Row],[DEFICIT /SURPLUS]]&lt;0,"Deficit",Table2[[#This Row],[DEFICIT /SURPLUS]]&gt;0,"surplus"),"-")</f>
        <v>-</v>
      </c>
    </row>
    <row r="576" spans="1:21" ht="14.5">
      <c r="A576" s="8" t="s">
        <v>420</v>
      </c>
      <c r="B576" s="9">
        <v>45703</v>
      </c>
      <c r="C576" s="8" t="s">
        <v>112</v>
      </c>
      <c r="D576" s="8" t="s">
        <v>29</v>
      </c>
      <c r="E576" s="8" t="s">
        <v>89</v>
      </c>
      <c r="F576" s="31">
        <f>_xlfn.XLOOKUP(Table2[[#This Row],[Shoe style]],val[SHOE STYLE],val[UNIT PRICE])</f>
        <v>12395</v>
      </c>
      <c r="H576" s="11">
        <v>1</v>
      </c>
      <c r="I576" s="6">
        <f>IF(Table2[[#This Row],[Discount]]&lt;(Table2[[#This Row],[UNIT PRICE]]*Table2[[#This Row],[Quantity sold]]),Table2[[#This Row],[UNIT PRICE]]*Table2[[#This Row],[Quantity sold]]-Table2[[#This Row],[Discount]],0)</f>
        <v>12395</v>
      </c>
      <c r="K576" s="2">
        <f>_xlfn.XLOOKUP(Table2[[#This Row],[Shoe style]],val[SHOE STYLE],val[COST PRICE])</f>
        <v>7909</v>
      </c>
      <c r="L576" s="2">
        <f>(Table2[[#This Row],[COST PRICE]]*Table2[[#This Row],[Quantity sold]])</f>
        <v>7909</v>
      </c>
      <c r="M576" s="2">
        <f>Table2[[#This Row],[TOTAL SALES]]-Table2[[#This Row],[TOTAL COST PRICE]]</f>
        <v>4486</v>
      </c>
      <c r="N576" s="2">
        <f>IF(Table2[[#This Row],[Amount Paid]]&gt;0,(SUMIF(Table2[Order ID],Table2[[#This Row],[Order ID]],Table2[Amount Paid])-SUMIF(Table2[Order ID],Table2[[#This Row],[Order ID]],Table2[TOTAL SALES])),0)</f>
        <v>0</v>
      </c>
      <c r="O576" s="8">
        <v>40</v>
      </c>
      <c r="P576" s="8" t="s">
        <v>25</v>
      </c>
      <c r="Q576" s="8" t="s">
        <v>341</v>
      </c>
      <c r="R576" s="8" t="s">
        <v>44</v>
      </c>
      <c r="S576" s="8" t="s">
        <v>492</v>
      </c>
      <c r="T576" s="8">
        <f t="shared" si="9"/>
        <v>1</v>
      </c>
      <c r="U576" t="str" cm="1">
        <f t="array" ref="U576">_xlfn.IFNA(_xlfn.IFS(Table2[[#This Row],[DEFICIT /SURPLUS]]&lt;0,"Deficit",Table2[[#This Row],[DEFICIT /SURPLUS]]&gt;0,"surplus"),"-")</f>
        <v>-</v>
      </c>
    </row>
    <row r="577" spans="1:21" ht="14.5">
      <c r="A577" s="8" t="s">
        <v>420</v>
      </c>
      <c r="B577" s="9">
        <v>45703</v>
      </c>
      <c r="C577" s="8" t="s">
        <v>112</v>
      </c>
      <c r="D577" s="8" t="s">
        <v>29</v>
      </c>
      <c r="E577" s="8" t="s">
        <v>50</v>
      </c>
      <c r="F577" s="31">
        <f>_xlfn.XLOOKUP(Table2[[#This Row],[Shoe style]],val[SHOE STYLE],val[UNIT PRICE])</f>
        <v>12395</v>
      </c>
      <c r="H577" s="11">
        <v>1</v>
      </c>
      <c r="I577" s="6">
        <f>IF(Table2[[#This Row],[Discount]]&lt;(Table2[[#This Row],[UNIT PRICE]]*Table2[[#This Row],[Quantity sold]]),Table2[[#This Row],[UNIT PRICE]]*Table2[[#This Row],[Quantity sold]]-Table2[[#This Row],[Discount]],0)</f>
        <v>12395</v>
      </c>
      <c r="K577" s="2">
        <f>_xlfn.XLOOKUP(Table2[[#This Row],[Shoe style]],val[SHOE STYLE],val[COST PRICE])</f>
        <v>7909</v>
      </c>
      <c r="L577" s="2">
        <f>(Table2[[#This Row],[COST PRICE]]*Table2[[#This Row],[Quantity sold]])</f>
        <v>7909</v>
      </c>
      <c r="M577" s="2">
        <f>Table2[[#This Row],[TOTAL SALES]]-Table2[[#This Row],[TOTAL COST PRICE]]</f>
        <v>4486</v>
      </c>
      <c r="N577" s="2">
        <f>IF(Table2[[#This Row],[Amount Paid]]&gt;0,(SUMIF(Table2[Order ID],Table2[[#This Row],[Order ID]],Table2[Amount Paid])-SUMIF(Table2[Order ID],Table2[[#This Row],[Order ID]],Table2[TOTAL SALES])),0)</f>
        <v>0</v>
      </c>
      <c r="O577" s="8">
        <v>40</v>
      </c>
      <c r="P577" s="8" t="s">
        <v>25</v>
      </c>
      <c r="Q577" s="8" t="s">
        <v>341</v>
      </c>
      <c r="R577" s="8" t="s">
        <v>44</v>
      </c>
      <c r="S577" s="8" t="s">
        <v>492</v>
      </c>
      <c r="T577" s="8">
        <f t="shared" si="9"/>
        <v>1</v>
      </c>
      <c r="U577" t="str" cm="1">
        <f t="array" ref="U577">_xlfn.IFNA(_xlfn.IFS(Table2[[#This Row],[DEFICIT /SURPLUS]]&lt;0,"Deficit",Table2[[#This Row],[DEFICIT /SURPLUS]]&gt;0,"surplus"),"-")</f>
        <v>-</v>
      </c>
    </row>
    <row r="578" spans="1:21" ht="14.5">
      <c r="A578" s="8" t="s">
        <v>420</v>
      </c>
      <c r="B578" s="9">
        <v>45703</v>
      </c>
      <c r="C578" s="8" t="s">
        <v>112</v>
      </c>
      <c r="D578" s="8" t="s">
        <v>29</v>
      </c>
      <c r="E578" s="8" t="s">
        <v>30</v>
      </c>
      <c r="F578" s="31">
        <f>_xlfn.XLOOKUP(Table2[[#This Row],[Shoe style]],val[SHOE STYLE],val[UNIT PRICE])</f>
        <v>12395</v>
      </c>
      <c r="H578" s="11">
        <v>1</v>
      </c>
      <c r="I578" s="6">
        <f>IF(Table2[[#This Row],[Discount]]&lt;(Table2[[#This Row],[UNIT PRICE]]*Table2[[#This Row],[Quantity sold]]),Table2[[#This Row],[UNIT PRICE]]*Table2[[#This Row],[Quantity sold]]-Table2[[#This Row],[Discount]],0)</f>
        <v>12395</v>
      </c>
      <c r="K578" s="2">
        <f>_xlfn.XLOOKUP(Table2[[#This Row],[Shoe style]],val[SHOE STYLE],val[COST PRICE])</f>
        <v>7909</v>
      </c>
      <c r="L578" s="2">
        <f>(Table2[[#This Row],[COST PRICE]]*Table2[[#This Row],[Quantity sold]])</f>
        <v>7909</v>
      </c>
      <c r="M578" s="2">
        <f>Table2[[#This Row],[TOTAL SALES]]-Table2[[#This Row],[TOTAL COST PRICE]]</f>
        <v>4486</v>
      </c>
      <c r="N578" s="2">
        <f>IF(Table2[[#This Row],[Amount Paid]]&gt;0,(SUMIF(Table2[Order ID],Table2[[#This Row],[Order ID]],Table2[Amount Paid])-SUMIF(Table2[Order ID],Table2[[#This Row],[Order ID]],Table2[TOTAL SALES])),0)</f>
        <v>0</v>
      </c>
      <c r="O578" s="8">
        <v>40</v>
      </c>
      <c r="P578" s="8" t="s">
        <v>25</v>
      </c>
      <c r="Q578" s="8" t="s">
        <v>341</v>
      </c>
      <c r="R578" s="8" t="s">
        <v>44</v>
      </c>
      <c r="S578" s="8" t="s">
        <v>492</v>
      </c>
      <c r="T578" s="8">
        <f t="shared" si="9"/>
        <v>1</v>
      </c>
      <c r="U578" t="str" cm="1">
        <f t="array" ref="U578">_xlfn.IFNA(_xlfn.IFS(Table2[[#This Row],[DEFICIT /SURPLUS]]&lt;0,"Deficit",Table2[[#This Row],[DEFICIT /SURPLUS]]&gt;0,"surplus"),"-")</f>
        <v>-</v>
      </c>
    </row>
    <row r="579" spans="1:21" ht="14.5">
      <c r="A579" s="8" t="s">
        <v>420</v>
      </c>
      <c r="B579" s="9">
        <v>45703</v>
      </c>
      <c r="C579" s="8" t="s">
        <v>112</v>
      </c>
      <c r="D579" s="8" t="s">
        <v>53</v>
      </c>
      <c r="E579" s="8" t="s">
        <v>122</v>
      </c>
      <c r="F579" s="31">
        <f>_xlfn.XLOOKUP(Table2[[#This Row],[Shoe style]],val[SHOE STYLE],val[UNIT PRICE])</f>
        <v>9838</v>
      </c>
      <c r="H579" s="11">
        <v>1</v>
      </c>
      <c r="I579" s="6">
        <f>IF(Table2[[#This Row],[Discount]]&lt;(Table2[[#This Row],[UNIT PRICE]]*Table2[[#This Row],[Quantity sold]]),Table2[[#This Row],[UNIT PRICE]]*Table2[[#This Row],[Quantity sold]]-Table2[[#This Row],[Discount]],0)</f>
        <v>9838</v>
      </c>
      <c r="K579" s="2">
        <f>_xlfn.XLOOKUP(Table2[[#This Row],[Shoe style]],val[SHOE STYLE],val[COST PRICE])</f>
        <v>6687</v>
      </c>
      <c r="L579" s="2">
        <f>(Table2[[#This Row],[COST PRICE]]*Table2[[#This Row],[Quantity sold]])</f>
        <v>6687</v>
      </c>
      <c r="M579" s="2">
        <f>Table2[[#This Row],[TOTAL SALES]]-Table2[[#This Row],[TOTAL COST PRICE]]</f>
        <v>3151</v>
      </c>
      <c r="N579" s="2">
        <f>IF(Table2[[#This Row],[Amount Paid]]&gt;0,(SUMIF(Table2[Order ID],Table2[[#This Row],[Order ID]],Table2[Amount Paid])-SUMIF(Table2[Order ID],Table2[[#This Row],[Order ID]],Table2[TOTAL SALES])),0)</f>
        <v>0</v>
      </c>
      <c r="O579" s="8">
        <v>41</v>
      </c>
      <c r="P579" s="8" t="s">
        <v>25</v>
      </c>
      <c r="Q579" s="8" t="s">
        <v>341</v>
      </c>
      <c r="R579" s="8" t="s">
        <v>44</v>
      </c>
      <c r="S579" s="8" t="s">
        <v>492</v>
      </c>
      <c r="T579" s="8">
        <f t="shared" si="9"/>
        <v>1</v>
      </c>
      <c r="U579" t="str" cm="1">
        <f t="array" ref="U579">_xlfn.IFNA(_xlfn.IFS(Table2[[#This Row],[DEFICIT /SURPLUS]]&lt;0,"Deficit",Table2[[#This Row],[DEFICIT /SURPLUS]]&gt;0,"surplus"),"-")</f>
        <v>-</v>
      </c>
    </row>
    <row r="580" spans="1:21" ht="14.5">
      <c r="A580" s="8" t="s">
        <v>421</v>
      </c>
      <c r="B580" s="9">
        <v>45705</v>
      </c>
      <c r="C580" s="8" t="s">
        <v>22</v>
      </c>
      <c r="D580" s="8" t="s">
        <v>37</v>
      </c>
      <c r="E580" s="8" t="s">
        <v>55</v>
      </c>
      <c r="F580" s="31">
        <f>_xlfn.XLOOKUP(Table2[[#This Row],[Shoe style]],val[SHOE STYLE],val[UNIT PRICE])</f>
        <v>22728</v>
      </c>
      <c r="H580" s="11">
        <v>1</v>
      </c>
      <c r="I580" s="6">
        <f>IF(Table2[[#This Row],[Discount]]&lt;(Table2[[#This Row],[UNIT PRICE]]*Table2[[#This Row],[Quantity sold]]),Table2[[#This Row],[UNIT PRICE]]*Table2[[#This Row],[Quantity sold]]-Table2[[#This Row],[Discount]],0)</f>
        <v>22728</v>
      </c>
      <c r="K580" s="2">
        <f>_xlfn.XLOOKUP(Table2[[#This Row],[Shoe style]],val[SHOE STYLE],val[COST PRICE])</f>
        <v>20451</v>
      </c>
      <c r="L580" s="2">
        <f>(Table2[[#This Row],[COST PRICE]]*Table2[[#This Row],[Quantity sold]])</f>
        <v>20451</v>
      </c>
      <c r="M580" s="2">
        <f>Table2[[#This Row],[TOTAL SALES]]-Table2[[#This Row],[TOTAL COST PRICE]]</f>
        <v>2277</v>
      </c>
      <c r="N580" s="2">
        <f>IF(Table2[[#This Row],[Amount Paid]]&gt;0,(SUMIF(Table2[Order ID],Table2[[#This Row],[Order ID]],Table2[Amount Paid])-SUMIF(Table2[Order ID],Table2[[#This Row],[Order ID]],Table2[TOTAL SALES])),0)</f>
        <v>0</v>
      </c>
      <c r="O580" s="8">
        <v>39</v>
      </c>
      <c r="P580" s="8" t="s">
        <v>25</v>
      </c>
      <c r="Q580" s="8" t="s">
        <v>341</v>
      </c>
      <c r="R580" s="8" t="s">
        <v>292</v>
      </c>
      <c r="S580" s="8" t="s">
        <v>492</v>
      </c>
      <c r="T580" s="8">
        <f t="shared" si="9"/>
        <v>1</v>
      </c>
      <c r="U580" t="str" cm="1">
        <f t="array" ref="U580">_xlfn.IFNA(_xlfn.IFS(Table2[[#This Row],[DEFICIT /SURPLUS]]&lt;0,"Deficit",Table2[[#This Row],[DEFICIT /SURPLUS]]&gt;0,"surplus"),"-")</f>
        <v>-</v>
      </c>
    </row>
    <row r="581" spans="1:21" ht="14.5">
      <c r="A581" s="8" t="s">
        <v>421</v>
      </c>
      <c r="B581" s="9">
        <v>45705</v>
      </c>
      <c r="C581" s="8" t="s">
        <v>22</v>
      </c>
      <c r="D581" s="8" t="s">
        <v>29</v>
      </c>
      <c r="E581" s="8" t="s">
        <v>400</v>
      </c>
      <c r="F581" s="31">
        <f>_xlfn.XLOOKUP(Table2[[#This Row],[Shoe style]],val[SHOE STYLE],val[UNIT PRICE])</f>
        <v>12395</v>
      </c>
      <c r="H581" s="11">
        <v>1</v>
      </c>
      <c r="I581" s="6">
        <f>IF(Table2[[#This Row],[Discount]]&lt;(Table2[[#This Row],[UNIT PRICE]]*Table2[[#This Row],[Quantity sold]]),Table2[[#This Row],[UNIT PRICE]]*Table2[[#This Row],[Quantity sold]]-Table2[[#This Row],[Discount]],0)</f>
        <v>12395</v>
      </c>
      <c r="K581" s="2">
        <f>_xlfn.XLOOKUP(Table2[[#This Row],[Shoe style]],val[SHOE STYLE],val[COST PRICE])</f>
        <v>7909</v>
      </c>
      <c r="L581" s="2">
        <f>(Table2[[#This Row],[COST PRICE]]*Table2[[#This Row],[Quantity sold]])</f>
        <v>7909</v>
      </c>
      <c r="M581" s="2">
        <f>Table2[[#This Row],[TOTAL SALES]]-Table2[[#This Row],[TOTAL COST PRICE]]</f>
        <v>4486</v>
      </c>
      <c r="N581" s="2">
        <f>IF(Table2[[#This Row],[Amount Paid]]&gt;0,(SUMIF(Table2[Order ID],Table2[[#This Row],[Order ID]],Table2[Amount Paid])-SUMIF(Table2[Order ID],Table2[[#This Row],[Order ID]],Table2[TOTAL SALES])),0)</f>
        <v>0</v>
      </c>
      <c r="O581" s="8">
        <v>39</v>
      </c>
      <c r="P581" s="8" t="s">
        <v>25</v>
      </c>
      <c r="Q581" s="8" t="s">
        <v>341</v>
      </c>
      <c r="R581" s="8" t="s">
        <v>292</v>
      </c>
      <c r="S581" s="8" t="s">
        <v>492</v>
      </c>
      <c r="T581" s="8">
        <f t="shared" si="9"/>
        <v>1</v>
      </c>
      <c r="U581" t="str" cm="1">
        <f t="array" ref="U581">_xlfn.IFNA(_xlfn.IFS(Table2[[#This Row],[DEFICIT /SURPLUS]]&lt;0,"Deficit",Table2[[#This Row],[DEFICIT /SURPLUS]]&gt;0,"surplus"),"-")</f>
        <v>-</v>
      </c>
    </row>
    <row r="582" spans="1:21" ht="14.5">
      <c r="A582" s="8" t="s">
        <v>421</v>
      </c>
      <c r="B582" s="9">
        <v>45705</v>
      </c>
      <c r="C582" s="8" t="s">
        <v>22</v>
      </c>
      <c r="D582" s="8" t="s">
        <v>51</v>
      </c>
      <c r="E582" s="8" t="s">
        <v>63</v>
      </c>
      <c r="F582" s="31">
        <f>_xlfn.XLOOKUP(Table2[[#This Row],[Shoe style]],val[SHOE STYLE],val[UNIT PRICE])</f>
        <v>11007</v>
      </c>
      <c r="H582" s="11">
        <v>1</v>
      </c>
      <c r="I582" s="6">
        <f>IF(Table2[[#This Row],[Discount]]&lt;(Table2[[#This Row],[UNIT PRICE]]*Table2[[#This Row],[Quantity sold]]),Table2[[#This Row],[UNIT PRICE]]*Table2[[#This Row],[Quantity sold]]-Table2[[#This Row],[Discount]],0)</f>
        <v>11007</v>
      </c>
      <c r="K582" s="2">
        <f>_xlfn.XLOOKUP(Table2[[#This Row],[Shoe style]],val[SHOE STYLE],val[COST PRICE])</f>
        <v>8327</v>
      </c>
      <c r="L582" s="2">
        <f>(Table2[[#This Row],[COST PRICE]]*Table2[[#This Row],[Quantity sold]])</f>
        <v>8327</v>
      </c>
      <c r="M582" s="2">
        <f>Table2[[#This Row],[TOTAL SALES]]-Table2[[#This Row],[TOTAL COST PRICE]]</f>
        <v>2680</v>
      </c>
      <c r="N582" s="2">
        <f>IF(Table2[[#This Row],[Amount Paid]]&gt;0,(SUMIF(Table2[Order ID],Table2[[#This Row],[Order ID]],Table2[Amount Paid])-SUMIF(Table2[Order ID],Table2[[#This Row],[Order ID]],Table2[TOTAL SALES])),0)</f>
        <v>0</v>
      </c>
      <c r="O582" s="8">
        <v>39</v>
      </c>
      <c r="P582" s="8" t="s">
        <v>25</v>
      </c>
      <c r="Q582" s="8" t="s">
        <v>341</v>
      </c>
      <c r="R582" s="8" t="s">
        <v>292</v>
      </c>
      <c r="S582" s="8" t="s">
        <v>492</v>
      </c>
      <c r="T582" s="8">
        <f t="shared" si="9"/>
        <v>1</v>
      </c>
      <c r="U582" t="str" cm="1">
        <f t="array" ref="U582">_xlfn.IFNA(_xlfn.IFS(Table2[[#This Row],[DEFICIT /SURPLUS]]&lt;0,"Deficit",Table2[[#This Row],[DEFICIT /SURPLUS]]&gt;0,"surplus"),"-")</f>
        <v>-</v>
      </c>
    </row>
    <row r="583" spans="1:21" ht="14.5">
      <c r="A583" s="8" t="s">
        <v>421</v>
      </c>
      <c r="B583" s="9">
        <v>45705</v>
      </c>
      <c r="C583" s="8" t="s">
        <v>22</v>
      </c>
      <c r="D583" s="8" t="s">
        <v>53</v>
      </c>
      <c r="E583" s="8" t="s">
        <v>24</v>
      </c>
      <c r="F583" s="31">
        <f>_xlfn.XLOOKUP(Table2[[#This Row],[Shoe style]],val[SHOE STYLE],val[UNIT PRICE])</f>
        <v>9838</v>
      </c>
      <c r="H583" s="11">
        <v>1</v>
      </c>
      <c r="I583" s="6">
        <f>IF(Table2[[#This Row],[Discount]]&lt;(Table2[[#This Row],[UNIT PRICE]]*Table2[[#This Row],[Quantity sold]]),Table2[[#This Row],[UNIT PRICE]]*Table2[[#This Row],[Quantity sold]]-Table2[[#This Row],[Discount]],0)</f>
        <v>9838</v>
      </c>
      <c r="K583" s="2">
        <f>_xlfn.XLOOKUP(Table2[[#This Row],[Shoe style]],val[SHOE STYLE],val[COST PRICE])</f>
        <v>6687</v>
      </c>
      <c r="L583" s="2">
        <f>(Table2[[#This Row],[COST PRICE]]*Table2[[#This Row],[Quantity sold]])</f>
        <v>6687</v>
      </c>
      <c r="M583" s="2">
        <f>Table2[[#This Row],[TOTAL SALES]]-Table2[[#This Row],[TOTAL COST PRICE]]</f>
        <v>3151</v>
      </c>
      <c r="N583" s="2">
        <f>IF(Table2[[#This Row],[Amount Paid]]&gt;0,(SUMIF(Table2[Order ID],Table2[[#This Row],[Order ID]],Table2[Amount Paid])-SUMIF(Table2[Order ID],Table2[[#This Row],[Order ID]],Table2[TOTAL SALES])),0)</f>
        <v>0</v>
      </c>
      <c r="O583" s="8">
        <v>39</v>
      </c>
      <c r="P583" s="8" t="s">
        <v>25</v>
      </c>
      <c r="Q583" s="8" t="s">
        <v>341</v>
      </c>
      <c r="R583" s="8" t="s">
        <v>292</v>
      </c>
      <c r="S583" s="8" t="s">
        <v>492</v>
      </c>
      <c r="T583" s="8">
        <f t="shared" si="9"/>
        <v>1</v>
      </c>
      <c r="U583" t="str" cm="1">
        <f t="array" ref="U583">_xlfn.IFNA(_xlfn.IFS(Table2[[#This Row],[DEFICIT /SURPLUS]]&lt;0,"Deficit",Table2[[#This Row],[DEFICIT /SURPLUS]]&gt;0,"surplus"),"-")</f>
        <v>-</v>
      </c>
    </row>
  </sheetData>
  <sheetProtection algorithmName="SHA-512" hashValue="6KF1ZEn4mw3Fb4Co1FcsxW9CV/yFg7THAvTe45Kh97PR4QPwrMjCcx2Mu8F2uz8kdKxszCa1eGZPuippqxVE/A==" saltValue="Jd18Ik39RJ64xDTY/lGxYQ==" spinCount="100000" sheet="1" sort="0" autoFilter="0" pivotTables="0"/>
  <phoneticPr fontId="4" type="noConversion"/>
  <dataValidations count="3">
    <dataValidation type="date" allowBlank="1" showInputMessage="1" showErrorMessage="1" sqref="B2:B583" xr:uid="{5BC59117-3002-45EE-9901-A8B6F0A85DA9}">
      <formula1>45292</formula1>
      <formula2>58805</formula2>
    </dataValidation>
    <dataValidation allowBlank="1" showInputMessage="1" showErrorMessage="1" promptTitle="ID" prompt="mmmyyyy-D" sqref="A2:A583" xr:uid="{FA139795-1097-43E3-9C92-54C9C6B2A00B}"/>
    <dataValidation type="list" allowBlank="1" showInputMessage="1" showErrorMessage="1" sqref="S1:S1048576" xr:uid="{EDFB44A1-9797-4408-BDD3-CE03B033D176}">
      <formula1>"YES,NO"</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errorTitle="Data error" error="Wrong input " xr:uid="{290AA76B-F60F-44B5-8691-A5183D7F1DC4}">
          <x14:formula1>
            <xm:f>Validation!#REF!</xm:f>
          </x14:formula1>
          <xm:sqref>C1</xm:sqref>
        </x14:dataValidation>
        <x14:dataValidation type="list" allowBlank="1" showInputMessage="1" showErrorMessage="1" xr:uid="{87FD795D-F11C-4B64-B73D-00770CF1CDB8}">
          <x14:formula1>
            <xm:f>Validation!$H$2:$H$8</xm:f>
          </x14:formula1>
          <xm:sqref>Q16:Q17 Q50 Q66 Q69 Q79:Q81 Q86:Q90 Q107:Q108 Q124:Q128 Q138:Q140 Q147 Q150:Q151 Q165:Q166 Q198 Q200 Q205 Q210 Q214:Q215 Q222:Q225 Q235:Q236 Q239 Q269 Q293:Q294 Q426:Q430 Q440:Q441 Q444 Q446 Q454:Q457 Q460:Q467 Q470:Q484 Q486:Q489 Q495:Q498 Q500:Q501 Q545 Q549:Q551 Q554 Q559:Q560 Q59:Q61 Q564:Q1048576 Q519:Q540 Q503:Q512</xm:sqref>
        </x14:dataValidation>
        <x14:dataValidation type="list" allowBlank="1" showInputMessage="1" showErrorMessage="1" xr:uid="{67214E04-399C-4836-8D83-7E0DD9007C63}">
          <x14:formula1>
            <xm:f>Validation!$H$2:$H$9</xm:f>
          </x14:formula1>
          <xm:sqref>Q2:Q15 Q18:Q49 Q51:Q58 Q62:Q65 Q67:Q68 Q70:Q78 Q82:Q85 Q91:Q106 Q129:Q137 Q141:Q146 Q148:Q149 Q152:Q164 Q199 Q201:Q204 Q206:Q209 Q211:Q213 Q216:Q221 Q226:Q234 Q237:Q238 Q270:Q292 Q431:Q439 Q445 Q447:Q453 Q458:Q459 Q468:Q469 Q485 Q490:Q494 Q499 Q502 Q513:Q518 Q541:Q544 Q546:Q548 Q552:Q553 Q555:Q558 Q561:Q563 Q167:Q197 Q442:Q443 Q295:Q425 Q240:Q268 Q109:Q123</xm:sqref>
        </x14:dataValidation>
        <x14:dataValidation type="list" allowBlank="1" showInputMessage="1" showErrorMessage="1" xr:uid="{B3365CFB-C7FD-45D9-975E-0E38300B2569}">
          <x14:formula1>
            <xm:f>Validation!$A$2:$A$39</xm:f>
          </x14:formula1>
          <xm:sqref>C2:C583</xm:sqref>
        </x14:dataValidation>
        <x14:dataValidation type="list" allowBlank="1" showInputMessage="1" showErrorMessage="1" xr:uid="{5B58A8D3-13FA-435D-BF55-8420DECD7142}">
          <x14:formula1>
            <xm:f>Validation!$F$2:$F$18</xm:f>
          </x14:formula1>
          <xm:sqref>O2:O1048576</xm:sqref>
        </x14:dataValidation>
        <x14:dataValidation type="list" allowBlank="1" showInputMessage="1" showErrorMessage="1" xr:uid="{264B44EF-357E-478F-8B2E-B9FC4333F571}">
          <x14:formula1>
            <xm:f>Validation!$G$2:$G$3</xm:f>
          </x14:formula1>
          <xm:sqref>P2:P1048576</xm:sqref>
        </x14:dataValidation>
        <x14:dataValidation type="list" allowBlank="1" showInputMessage="1" showErrorMessage="1" xr:uid="{24366698-F8EC-4FDD-AE98-5D382A3FD9D7}">
          <x14:formula1>
            <xm:f>Validation!$I$2:$I$5</xm:f>
          </x14:formula1>
          <xm:sqref>R2:R1048576</xm:sqref>
        </x14:dataValidation>
        <x14:dataValidation type="list" allowBlank="1" showInputMessage="1" showErrorMessage="1" xr:uid="{8A9376B5-7A88-434D-99E8-D09471B587DE}">
          <x14:formula1>
            <xm:f>Validation!$B$2:$B$39</xm:f>
          </x14:formula1>
          <xm:sqref>D1:D1048576</xm:sqref>
        </x14:dataValidation>
        <x14:dataValidation type="list" allowBlank="1" showInputMessage="1" showErrorMessage="1" xr:uid="{74BF9E6E-B868-4FBF-B2AC-6D9FCA2054EB}">
          <x14:formula1>
            <xm:f>Validation!$E$2:$E$39</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90F0-8783-44D9-AE4D-F173C54DFF08}">
  <sheetPr codeName="Sheet2"/>
  <dimension ref="A1:I39"/>
  <sheetViews>
    <sheetView topLeftCell="A19" workbookViewId="0">
      <selection activeCell="D28" sqref="D28"/>
    </sheetView>
  </sheetViews>
  <sheetFormatPr defaultRowHeight="14.5"/>
  <cols>
    <col min="1" max="1" width="13.90625" style="8" customWidth="1"/>
    <col min="2" max="2" width="12.7265625" style="8" customWidth="1"/>
    <col min="3" max="3" width="19.1796875" style="2" customWidth="1"/>
    <col min="4" max="4" width="18.453125" customWidth="1"/>
    <col min="5" max="5" width="15" style="8" customWidth="1"/>
    <col min="6" max="6" width="8.7265625" style="8"/>
    <col min="7" max="7" width="9.7265625" style="8" customWidth="1"/>
    <col min="8" max="8" width="12.1796875" style="8" customWidth="1"/>
    <col min="9" max="9" width="13.26953125" style="8" customWidth="1"/>
  </cols>
  <sheetData>
    <row r="1" spans="1:9">
      <c r="A1" s="34" t="s">
        <v>422</v>
      </c>
      <c r="B1" s="34" t="s">
        <v>423</v>
      </c>
      <c r="C1" s="39" t="s">
        <v>5</v>
      </c>
      <c r="D1" s="33" t="s">
        <v>10</v>
      </c>
      <c r="E1" s="34" t="s">
        <v>424</v>
      </c>
      <c r="F1" s="34" t="s">
        <v>425</v>
      </c>
      <c r="G1" s="34" t="s">
        <v>426</v>
      </c>
      <c r="H1" s="34" t="s">
        <v>427</v>
      </c>
      <c r="I1" s="34" t="s">
        <v>428</v>
      </c>
    </row>
    <row r="2" spans="1:9" ht="29">
      <c r="A2" s="35" t="s">
        <v>311</v>
      </c>
      <c r="B2" s="36" t="s">
        <v>29</v>
      </c>
      <c r="C2" s="40">
        <v>12395</v>
      </c>
      <c r="D2" s="40">
        <v>7909</v>
      </c>
      <c r="E2" s="36" t="s">
        <v>61</v>
      </c>
      <c r="F2" s="36">
        <v>30</v>
      </c>
      <c r="G2" s="36" t="s">
        <v>25</v>
      </c>
      <c r="H2" s="36" t="s">
        <v>341</v>
      </c>
      <c r="I2" s="36" t="s">
        <v>27</v>
      </c>
    </row>
    <row r="3" spans="1:9">
      <c r="A3" s="35" t="s">
        <v>429</v>
      </c>
      <c r="B3" s="36" t="s">
        <v>37</v>
      </c>
      <c r="C3" s="40">
        <v>22728</v>
      </c>
      <c r="D3" s="40">
        <v>20451</v>
      </c>
      <c r="E3" s="36" t="s">
        <v>63</v>
      </c>
      <c r="F3" s="36">
        <v>31</v>
      </c>
      <c r="G3" s="36" t="s">
        <v>93</v>
      </c>
      <c r="H3" s="36" t="s">
        <v>339</v>
      </c>
      <c r="I3" s="36" t="s">
        <v>44</v>
      </c>
    </row>
    <row r="4" spans="1:9">
      <c r="A4" s="35" t="s">
        <v>231</v>
      </c>
      <c r="B4" s="36" t="s">
        <v>53</v>
      </c>
      <c r="C4" s="40">
        <v>9838</v>
      </c>
      <c r="D4" s="40">
        <v>6687</v>
      </c>
      <c r="E4" s="36" t="s">
        <v>38</v>
      </c>
      <c r="F4" s="36">
        <v>32</v>
      </c>
      <c r="G4" s="36"/>
      <c r="H4" s="36" t="s">
        <v>54</v>
      </c>
      <c r="I4" s="36" t="s">
        <v>162</v>
      </c>
    </row>
    <row r="5" spans="1:9">
      <c r="A5" s="35" t="s">
        <v>430</v>
      </c>
      <c r="B5" s="36" t="s">
        <v>431</v>
      </c>
      <c r="C5" s="40">
        <v>13553</v>
      </c>
      <c r="D5" s="40">
        <v>11306</v>
      </c>
      <c r="E5" s="36" t="s">
        <v>50</v>
      </c>
      <c r="F5" s="36">
        <v>33</v>
      </c>
      <c r="G5" s="36"/>
      <c r="H5" s="36" t="s">
        <v>113</v>
      </c>
      <c r="I5" s="36" t="s">
        <v>292</v>
      </c>
    </row>
    <row r="6" spans="1:9">
      <c r="A6" s="35" t="s">
        <v>432</v>
      </c>
      <c r="B6" s="36" t="s">
        <v>32</v>
      </c>
      <c r="C6" s="40">
        <v>19295</v>
      </c>
      <c r="D6" s="40">
        <v>16705</v>
      </c>
      <c r="E6" s="36" t="s">
        <v>78</v>
      </c>
      <c r="F6" s="36">
        <v>34</v>
      </c>
      <c r="G6" s="36"/>
      <c r="H6" s="36" t="s">
        <v>433</v>
      </c>
      <c r="I6" s="36"/>
    </row>
    <row r="7" spans="1:9">
      <c r="A7" s="35" t="s">
        <v>434</v>
      </c>
      <c r="B7" s="36" t="s">
        <v>435</v>
      </c>
      <c r="C7" s="40">
        <v>10186</v>
      </c>
      <c r="D7" s="40">
        <v>7189</v>
      </c>
      <c r="E7" s="36" t="s">
        <v>436</v>
      </c>
      <c r="F7" s="36">
        <v>35</v>
      </c>
      <c r="G7" s="36"/>
      <c r="H7" s="36" t="s">
        <v>437</v>
      </c>
      <c r="I7" s="36"/>
    </row>
    <row r="8" spans="1:9" ht="29">
      <c r="A8" s="35" t="s">
        <v>438</v>
      </c>
      <c r="B8" s="36" t="s">
        <v>57</v>
      </c>
      <c r="C8" s="40">
        <v>10196</v>
      </c>
      <c r="D8" s="40">
        <v>7050</v>
      </c>
      <c r="E8" s="36" t="s">
        <v>89</v>
      </c>
      <c r="F8" s="36">
        <v>36</v>
      </c>
      <c r="G8" s="36"/>
      <c r="H8" s="36" t="s">
        <v>439</v>
      </c>
      <c r="I8" s="36"/>
    </row>
    <row r="9" spans="1:9">
      <c r="A9" s="35" t="s">
        <v>440</v>
      </c>
      <c r="B9" s="36" t="s">
        <v>42</v>
      </c>
      <c r="C9" s="40">
        <v>17614</v>
      </c>
      <c r="D9" s="40">
        <v>14912</v>
      </c>
      <c r="E9" s="36" t="s">
        <v>43</v>
      </c>
      <c r="F9" s="36">
        <v>37</v>
      </c>
      <c r="G9" s="36"/>
      <c r="H9" s="36" t="s">
        <v>26</v>
      </c>
      <c r="I9" s="36"/>
    </row>
    <row r="10" spans="1:9">
      <c r="A10" s="35" t="s">
        <v>115</v>
      </c>
      <c r="B10" s="36" t="s">
        <v>107</v>
      </c>
      <c r="C10" s="40">
        <v>19170</v>
      </c>
      <c r="D10" s="40">
        <v>17137</v>
      </c>
      <c r="E10" s="36" t="s">
        <v>55</v>
      </c>
      <c r="F10" s="36">
        <v>38</v>
      </c>
      <c r="G10" s="36"/>
      <c r="H10" s="36"/>
      <c r="I10" s="36"/>
    </row>
    <row r="11" spans="1:9" ht="29">
      <c r="A11" s="35" t="s">
        <v>223</v>
      </c>
      <c r="B11" s="36" t="s">
        <v>441</v>
      </c>
      <c r="C11" s="40">
        <v>20718</v>
      </c>
      <c r="D11" s="40">
        <v>17569</v>
      </c>
      <c r="E11" s="36" t="s">
        <v>62</v>
      </c>
      <c r="F11" s="36">
        <v>39</v>
      </c>
      <c r="G11" s="36"/>
      <c r="H11" s="36"/>
      <c r="I11" s="36"/>
    </row>
    <row r="12" spans="1:9">
      <c r="A12" s="35" t="s">
        <v>442</v>
      </c>
      <c r="B12" s="36" t="s">
        <v>51</v>
      </c>
      <c r="C12" s="40">
        <v>11007</v>
      </c>
      <c r="D12" s="40">
        <v>8327</v>
      </c>
      <c r="E12" s="36" t="s">
        <v>40</v>
      </c>
      <c r="F12" s="36">
        <v>40</v>
      </c>
      <c r="G12" s="36"/>
      <c r="H12" s="36"/>
      <c r="I12" s="36"/>
    </row>
    <row r="13" spans="1:9">
      <c r="A13" s="35" t="s">
        <v>157</v>
      </c>
      <c r="B13" s="36" t="s">
        <v>68</v>
      </c>
      <c r="C13" s="40">
        <v>10509</v>
      </c>
      <c r="D13" s="40">
        <v>7573</v>
      </c>
      <c r="E13" s="36" t="s">
        <v>33</v>
      </c>
      <c r="F13" s="36">
        <v>41</v>
      </c>
      <c r="G13" s="36"/>
      <c r="H13" s="36"/>
      <c r="I13" s="36"/>
    </row>
    <row r="14" spans="1:9">
      <c r="A14" s="35" t="s">
        <v>161</v>
      </c>
      <c r="B14" s="36" t="s">
        <v>136</v>
      </c>
      <c r="C14" s="40">
        <v>20502</v>
      </c>
      <c r="D14" s="40">
        <v>18239</v>
      </c>
      <c r="E14" s="36" t="s">
        <v>142</v>
      </c>
      <c r="F14" s="36">
        <v>42</v>
      </c>
      <c r="G14" s="36"/>
      <c r="H14" s="36"/>
      <c r="I14" s="36"/>
    </row>
    <row r="15" spans="1:9">
      <c r="A15" s="35" t="s">
        <v>104</v>
      </c>
      <c r="B15" s="36" t="s">
        <v>443</v>
      </c>
      <c r="C15" s="40">
        <v>18539</v>
      </c>
      <c r="D15" s="40">
        <v>15497</v>
      </c>
      <c r="E15" s="36" t="s">
        <v>235</v>
      </c>
      <c r="F15" s="36">
        <v>43</v>
      </c>
      <c r="G15" s="36"/>
      <c r="H15" s="36"/>
      <c r="I15" s="36"/>
    </row>
    <row r="16" spans="1:9">
      <c r="A16" s="35" t="s">
        <v>112</v>
      </c>
      <c r="B16" s="36" t="s">
        <v>444</v>
      </c>
      <c r="C16" s="40">
        <v>20500</v>
      </c>
      <c r="D16" s="40">
        <v>17339</v>
      </c>
      <c r="E16" s="36" t="s">
        <v>237</v>
      </c>
      <c r="F16" s="36">
        <v>44</v>
      </c>
      <c r="G16" s="36"/>
      <c r="H16" s="36"/>
      <c r="I16" s="36"/>
    </row>
    <row r="17" spans="1:9">
      <c r="A17" s="35" t="s">
        <v>445</v>
      </c>
      <c r="B17" s="36" t="s">
        <v>71</v>
      </c>
      <c r="C17" s="40">
        <v>14873</v>
      </c>
      <c r="D17" s="40">
        <v>11503</v>
      </c>
      <c r="E17" s="36" t="s">
        <v>446</v>
      </c>
      <c r="F17" s="36">
        <v>45</v>
      </c>
      <c r="G17" s="36"/>
      <c r="H17" s="36"/>
      <c r="I17" s="36"/>
    </row>
    <row r="18" spans="1:9">
      <c r="A18" s="35" t="s">
        <v>91</v>
      </c>
      <c r="B18" s="36" t="s">
        <v>447</v>
      </c>
      <c r="C18" s="40">
        <v>15204</v>
      </c>
      <c r="D18" s="40">
        <v>12537</v>
      </c>
      <c r="E18" s="36" t="s">
        <v>367</v>
      </c>
      <c r="F18" s="36">
        <v>46</v>
      </c>
      <c r="G18" s="36"/>
      <c r="H18" s="36"/>
      <c r="I18" s="36"/>
    </row>
    <row r="19" spans="1:9">
      <c r="A19" s="35" t="s">
        <v>448</v>
      </c>
      <c r="B19" s="36" t="s">
        <v>209</v>
      </c>
      <c r="C19" s="40">
        <v>21405</v>
      </c>
      <c r="D19" s="40">
        <v>17426</v>
      </c>
      <c r="E19" s="36" t="s">
        <v>24</v>
      </c>
      <c r="F19" s="36"/>
      <c r="G19" s="36"/>
      <c r="H19" s="36"/>
      <c r="I19" s="36"/>
    </row>
    <row r="20" spans="1:9" ht="29">
      <c r="A20" s="35" t="s">
        <v>449</v>
      </c>
      <c r="B20" s="36" t="s">
        <v>35</v>
      </c>
      <c r="C20" s="40">
        <v>16646</v>
      </c>
      <c r="D20" s="40">
        <v>13546</v>
      </c>
      <c r="E20" s="36" t="s">
        <v>122</v>
      </c>
      <c r="F20" s="36"/>
      <c r="G20" s="36"/>
      <c r="H20" s="36"/>
      <c r="I20" s="36"/>
    </row>
    <row r="21" spans="1:9">
      <c r="A21" s="35" t="s">
        <v>450</v>
      </c>
      <c r="B21" s="36" t="s">
        <v>23</v>
      </c>
      <c r="C21" s="40">
        <v>14975</v>
      </c>
      <c r="D21" s="40">
        <v>10813</v>
      </c>
      <c r="E21" s="36" t="s">
        <v>103</v>
      </c>
      <c r="F21" s="36"/>
      <c r="G21" s="36"/>
      <c r="H21" s="36"/>
      <c r="I21" s="36"/>
    </row>
    <row r="22" spans="1:9">
      <c r="A22" s="35" t="s">
        <v>83</v>
      </c>
      <c r="B22" s="36" t="s">
        <v>232</v>
      </c>
      <c r="C22" s="40">
        <v>14097</v>
      </c>
      <c r="D22" s="40">
        <v>9386</v>
      </c>
      <c r="E22" s="36" t="s">
        <v>30</v>
      </c>
      <c r="F22" s="36"/>
      <c r="G22" s="36"/>
      <c r="H22" s="36"/>
      <c r="I22" s="36"/>
    </row>
    <row r="23" spans="1:9" ht="29">
      <c r="A23" s="35" t="s">
        <v>451</v>
      </c>
      <c r="B23" s="36" t="s">
        <v>452</v>
      </c>
      <c r="C23" s="40">
        <v>22433</v>
      </c>
      <c r="D23" s="40">
        <v>17880</v>
      </c>
      <c r="E23" s="36" t="s">
        <v>397</v>
      </c>
      <c r="F23" s="36"/>
      <c r="G23" s="36"/>
      <c r="H23" s="36"/>
      <c r="I23" s="36"/>
    </row>
    <row r="24" spans="1:9" ht="29">
      <c r="A24" s="35" t="s">
        <v>453</v>
      </c>
      <c r="B24" s="36" t="s">
        <v>92</v>
      </c>
      <c r="C24" s="40">
        <v>12107</v>
      </c>
      <c r="D24" s="40">
        <v>9752</v>
      </c>
      <c r="E24" s="36" t="s">
        <v>412</v>
      </c>
      <c r="F24" s="36"/>
      <c r="G24" s="36"/>
      <c r="H24" s="36"/>
      <c r="I24" s="36"/>
    </row>
    <row r="25" spans="1:9" ht="29">
      <c r="A25" s="35" t="s">
        <v>374</v>
      </c>
      <c r="B25" s="36" t="s">
        <v>454</v>
      </c>
      <c r="C25" s="40">
        <v>9763</v>
      </c>
      <c r="D25" s="40">
        <v>7362</v>
      </c>
      <c r="E25" s="36"/>
      <c r="F25" s="36"/>
      <c r="G25" s="36"/>
      <c r="H25" s="36"/>
      <c r="I25" s="36"/>
    </row>
    <row r="26" spans="1:9">
      <c r="A26" s="35" t="s">
        <v>22</v>
      </c>
      <c r="B26" s="36" t="s">
        <v>329</v>
      </c>
      <c r="C26" s="40">
        <v>15680</v>
      </c>
      <c r="D26" s="40">
        <v>12049</v>
      </c>
      <c r="E26" s="36"/>
      <c r="F26" s="36"/>
      <c r="G26" s="36"/>
      <c r="H26" s="36"/>
      <c r="I26" s="36"/>
    </row>
    <row r="27" spans="1:9" ht="29">
      <c r="A27" s="35" t="s">
        <v>455</v>
      </c>
      <c r="B27" s="36" t="s">
        <v>168</v>
      </c>
      <c r="C27" s="40">
        <v>18661</v>
      </c>
      <c r="D27" s="40">
        <v>13922</v>
      </c>
      <c r="E27" s="36"/>
      <c r="F27" s="36"/>
      <c r="G27" s="36"/>
      <c r="H27" s="36"/>
      <c r="I27" s="36"/>
    </row>
    <row r="28" spans="1:9">
      <c r="A28" s="35" t="s">
        <v>456</v>
      </c>
      <c r="B28" s="36" t="s">
        <v>357</v>
      </c>
      <c r="C28" s="40">
        <v>14862</v>
      </c>
      <c r="D28" s="40">
        <v>10157</v>
      </c>
      <c r="E28" s="36"/>
      <c r="F28" s="36"/>
      <c r="G28" s="36"/>
      <c r="H28" s="36"/>
      <c r="I28" s="36"/>
    </row>
    <row r="29" spans="1:9">
      <c r="A29" s="35" t="s">
        <v>98</v>
      </c>
      <c r="B29" s="36" t="s">
        <v>457</v>
      </c>
      <c r="C29" s="40">
        <v>10992</v>
      </c>
      <c r="D29" s="40">
        <v>8272</v>
      </c>
      <c r="E29" s="36"/>
      <c r="F29" s="36"/>
      <c r="G29" s="36"/>
      <c r="H29" s="36"/>
      <c r="I29" s="36"/>
    </row>
    <row r="30" spans="1:9">
      <c r="A30" s="35" t="s">
        <v>458</v>
      </c>
      <c r="B30" s="36" t="s">
        <v>459</v>
      </c>
      <c r="C30" s="40">
        <v>22517</v>
      </c>
      <c r="D30" s="40">
        <v>18931</v>
      </c>
      <c r="E30" s="36"/>
      <c r="F30" s="36"/>
      <c r="G30" s="36"/>
      <c r="H30" s="36"/>
      <c r="I30" s="36"/>
    </row>
    <row r="31" spans="1:9" ht="29">
      <c r="A31" s="35" t="s">
        <v>85</v>
      </c>
      <c r="B31" s="36" t="s">
        <v>346</v>
      </c>
      <c r="C31" s="40">
        <v>12633</v>
      </c>
      <c r="D31" s="40">
        <v>8399</v>
      </c>
      <c r="E31" s="36"/>
      <c r="F31" s="36"/>
      <c r="G31" s="36"/>
      <c r="H31" s="36"/>
      <c r="I31" s="36"/>
    </row>
    <row r="32" spans="1:9">
      <c r="A32" s="35" t="s">
        <v>95</v>
      </c>
      <c r="B32" s="36"/>
      <c r="C32" s="40"/>
      <c r="D32" s="1"/>
      <c r="E32" s="36"/>
      <c r="F32" s="36"/>
      <c r="G32" s="36"/>
      <c r="H32" s="36"/>
      <c r="I32" s="36"/>
    </row>
    <row r="33" spans="1:9">
      <c r="A33" s="35" t="s">
        <v>460</v>
      </c>
      <c r="B33" s="36"/>
      <c r="C33" s="40"/>
      <c r="D33" s="1"/>
      <c r="E33" s="36"/>
      <c r="F33" s="36"/>
      <c r="G33" s="36"/>
      <c r="H33" s="36"/>
      <c r="I33" s="36"/>
    </row>
    <row r="34" spans="1:9">
      <c r="A34" s="35" t="s">
        <v>139</v>
      </c>
      <c r="B34" s="36"/>
      <c r="C34" s="40"/>
      <c r="D34" s="1"/>
      <c r="E34" s="36"/>
      <c r="F34" s="36"/>
      <c r="G34" s="36"/>
      <c r="H34" s="36"/>
      <c r="I34" s="36"/>
    </row>
    <row r="35" spans="1:9">
      <c r="A35" s="35" t="s">
        <v>461</v>
      </c>
      <c r="B35" s="36"/>
      <c r="C35" s="40"/>
      <c r="D35" s="1"/>
      <c r="E35" s="36"/>
      <c r="F35" s="36"/>
      <c r="G35" s="36"/>
      <c r="H35" s="36"/>
      <c r="I35" s="36"/>
    </row>
    <row r="36" spans="1:9">
      <c r="A36" s="35" t="s">
        <v>462</v>
      </c>
      <c r="B36" s="36"/>
      <c r="C36" s="40"/>
      <c r="D36" s="1"/>
      <c r="E36" s="36"/>
      <c r="F36" s="36"/>
      <c r="G36" s="36"/>
      <c r="H36" s="36"/>
      <c r="I36" s="36"/>
    </row>
    <row r="37" spans="1:9">
      <c r="A37" s="35" t="s">
        <v>463</v>
      </c>
      <c r="B37" s="36"/>
      <c r="C37" s="40"/>
      <c r="D37" s="1"/>
      <c r="E37" s="36"/>
      <c r="F37" s="36"/>
      <c r="G37" s="36"/>
      <c r="H37" s="36"/>
      <c r="I37" s="36"/>
    </row>
    <row r="38" spans="1:9">
      <c r="A38" s="35" t="s">
        <v>464</v>
      </c>
      <c r="B38" s="36"/>
      <c r="C38" s="40"/>
      <c r="D38" s="1"/>
      <c r="E38" s="36"/>
      <c r="F38" s="36"/>
      <c r="G38" s="36"/>
      <c r="H38" s="36"/>
      <c r="I38" s="36"/>
    </row>
    <row r="39" spans="1:9">
      <c r="A39" s="35" t="s">
        <v>465</v>
      </c>
      <c r="B39" s="36"/>
      <c r="C39" s="40"/>
      <c r="D39" s="1"/>
      <c r="E39" s="36"/>
      <c r="F39" s="36"/>
      <c r="G39" s="36"/>
      <c r="H39" s="36"/>
      <c r="I39" s="3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F600E-0491-4698-822A-D2E9FAD78F9D}">
  <sheetPr codeName="Sheet3"/>
  <dimension ref="A1:U36"/>
  <sheetViews>
    <sheetView zoomScale="80" zoomScaleNormal="80" workbookViewId="0">
      <selection activeCell="J4" sqref="J4"/>
    </sheetView>
  </sheetViews>
  <sheetFormatPr defaultRowHeight="14.5"/>
  <cols>
    <col min="1" max="1" width="23.453125" customWidth="1"/>
    <col min="2" max="2" width="28.1796875" customWidth="1"/>
    <col min="3" max="3" width="23.1796875" customWidth="1"/>
    <col min="4" max="4" width="5.453125" customWidth="1"/>
    <col min="5" max="5" width="14.54296875" customWidth="1"/>
    <col min="6" max="6" width="22.453125" customWidth="1"/>
    <col min="7" max="7" width="18" customWidth="1"/>
    <col min="8" max="8" width="3.1796875" customWidth="1"/>
    <col min="9" max="9" width="19.26953125" bestFit="1" customWidth="1"/>
    <col min="10" max="10" width="13.54296875" customWidth="1"/>
    <col min="11" max="11" width="14.1796875" customWidth="1"/>
    <col min="12" max="12" width="12.54296875" customWidth="1"/>
    <col min="13" max="13" width="16.81640625" customWidth="1"/>
    <col min="14" max="14" width="24.453125" customWidth="1"/>
    <col min="15" max="15" width="13.453125" customWidth="1"/>
    <col min="16" max="16" width="13.26953125" customWidth="1"/>
    <col min="17" max="17" width="19.1796875" bestFit="1" customWidth="1"/>
    <col min="18" max="18" width="6.453125" customWidth="1"/>
    <col min="19" max="19" width="19.08984375" bestFit="1" customWidth="1"/>
    <col min="20" max="20" width="16.453125" bestFit="1" customWidth="1"/>
    <col min="21" max="21" width="10.6328125" bestFit="1" customWidth="1"/>
    <col min="22" max="22" width="12" bestFit="1" customWidth="1"/>
    <col min="23" max="120" width="10.453125" bestFit="1" customWidth="1"/>
    <col min="121" max="121" width="11.1796875" bestFit="1" customWidth="1"/>
  </cols>
  <sheetData>
    <row r="1" spans="1:21">
      <c r="I1" s="14" t="s">
        <v>466</v>
      </c>
      <c r="J1" s="14" t="s">
        <v>467</v>
      </c>
      <c r="M1" s="14" t="s">
        <v>468</v>
      </c>
      <c r="N1" t="s">
        <v>469</v>
      </c>
      <c r="Q1" s="14" t="s">
        <v>468</v>
      </c>
      <c r="S1" s="14" t="s">
        <v>466</v>
      </c>
      <c r="T1" s="14" t="s">
        <v>467</v>
      </c>
    </row>
    <row r="2" spans="1:21">
      <c r="I2" s="14" t="s">
        <v>468</v>
      </c>
      <c r="J2" t="s">
        <v>470</v>
      </c>
      <c r="K2" t="s">
        <v>471</v>
      </c>
      <c r="M2" s="15" t="s">
        <v>472</v>
      </c>
      <c r="N2" s="16">
        <v>-179010</v>
      </c>
      <c r="Q2" s="15" t="s">
        <v>68</v>
      </c>
      <c r="S2" s="14" t="s">
        <v>468</v>
      </c>
      <c r="T2" t="s">
        <v>470</v>
      </c>
      <c r="U2" t="s">
        <v>471</v>
      </c>
    </row>
    <row r="3" spans="1:21">
      <c r="A3" t="s">
        <v>466</v>
      </c>
      <c r="B3" t="s">
        <v>473</v>
      </c>
      <c r="E3" s="14" t="s">
        <v>468</v>
      </c>
      <c r="F3" t="s">
        <v>473</v>
      </c>
      <c r="G3" t="s">
        <v>466</v>
      </c>
      <c r="I3" s="15" t="s">
        <v>29</v>
      </c>
      <c r="J3" s="13">
        <v>1859250</v>
      </c>
      <c r="K3" s="13">
        <v>545380</v>
      </c>
      <c r="M3" s="21" t="s">
        <v>70</v>
      </c>
      <c r="N3" s="4">
        <v>-25058</v>
      </c>
      <c r="Q3" s="15" t="s">
        <v>124</v>
      </c>
      <c r="S3" s="15" t="s">
        <v>231</v>
      </c>
      <c r="T3" s="13">
        <v>91624</v>
      </c>
      <c r="U3" s="13"/>
    </row>
    <row r="4" spans="1:21">
      <c r="A4" s="16">
        <v>8826040</v>
      </c>
      <c r="B4" s="41">
        <v>582</v>
      </c>
      <c r="E4" s="15" t="s">
        <v>470</v>
      </c>
      <c r="F4" s="13">
        <v>452</v>
      </c>
      <c r="G4" s="38">
        <v>6883586</v>
      </c>
      <c r="I4" s="15" t="s">
        <v>49</v>
      </c>
      <c r="J4" s="13">
        <v>1148000</v>
      </c>
      <c r="K4" s="13">
        <v>225500</v>
      </c>
      <c r="M4" s="21" t="s">
        <v>236</v>
      </c>
      <c r="N4" s="4">
        <v>-21098</v>
      </c>
      <c r="Q4" s="15" t="s">
        <v>170</v>
      </c>
      <c r="S4" s="15" t="s">
        <v>115</v>
      </c>
      <c r="T4" s="13">
        <v>52526</v>
      </c>
      <c r="U4" s="13"/>
    </row>
    <row r="5" spans="1:21">
      <c r="E5" s="21" t="s">
        <v>474</v>
      </c>
      <c r="F5" s="13">
        <v>167</v>
      </c>
      <c r="G5" s="38">
        <v>2495453</v>
      </c>
      <c r="I5" s="15" t="s">
        <v>37</v>
      </c>
      <c r="J5" s="13">
        <v>1068216</v>
      </c>
      <c r="K5" s="13">
        <v>522744</v>
      </c>
      <c r="M5" s="21" t="s">
        <v>138</v>
      </c>
      <c r="N5" s="4">
        <v>-21075</v>
      </c>
      <c r="Q5" s="15" t="s">
        <v>42</v>
      </c>
      <c r="S5" s="15" t="s">
        <v>223</v>
      </c>
      <c r="T5" s="13">
        <v>45290</v>
      </c>
      <c r="U5" s="13">
        <v>43019</v>
      </c>
    </row>
    <row r="6" spans="1:21">
      <c r="E6" s="21" t="s">
        <v>475</v>
      </c>
      <c r="F6" s="13">
        <v>285</v>
      </c>
      <c r="G6" s="38">
        <v>4388133</v>
      </c>
      <c r="I6" s="15" t="s">
        <v>42</v>
      </c>
      <c r="J6" s="13">
        <v>634104</v>
      </c>
      <c r="K6" s="13">
        <v>17614</v>
      </c>
      <c r="M6" s="21" t="s">
        <v>322</v>
      </c>
      <c r="N6" s="4">
        <v>-20000</v>
      </c>
      <c r="Q6" s="15" t="s">
        <v>232</v>
      </c>
      <c r="S6" s="15" t="s">
        <v>104</v>
      </c>
      <c r="T6" s="13">
        <v>202237</v>
      </c>
      <c r="U6" s="13">
        <v>66868</v>
      </c>
    </row>
    <row r="7" spans="1:21">
      <c r="E7" s="15" t="s">
        <v>471</v>
      </c>
      <c r="F7" s="13">
        <v>130</v>
      </c>
      <c r="G7" s="38">
        <v>1942454</v>
      </c>
      <c r="I7" s="15" t="s">
        <v>53</v>
      </c>
      <c r="J7" s="13">
        <v>423034</v>
      </c>
      <c r="K7" s="13">
        <v>186922</v>
      </c>
      <c r="M7" s="21" t="s">
        <v>212</v>
      </c>
      <c r="N7" s="4">
        <v>-17456</v>
      </c>
      <c r="Q7" s="15" t="s">
        <v>23</v>
      </c>
      <c r="S7" s="15" t="s">
        <v>112</v>
      </c>
      <c r="T7" s="13">
        <v>483966</v>
      </c>
      <c r="U7" s="13">
        <v>149669</v>
      </c>
    </row>
    <row r="8" spans="1:21">
      <c r="E8" s="21" t="s">
        <v>476</v>
      </c>
      <c r="F8" s="13">
        <v>130</v>
      </c>
      <c r="G8" s="38">
        <v>1942454</v>
      </c>
      <c r="I8" s="15" t="s">
        <v>68</v>
      </c>
      <c r="J8" s="13">
        <v>273234</v>
      </c>
      <c r="K8" s="13">
        <v>73563</v>
      </c>
      <c r="M8" s="21" t="s">
        <v>213</v>
      </c>
      <c r="N8" s="4">
        <v>-16845</v>
      </c>
      <c r="Q8" s="15" t="s">
        <v>53</v>
      </c>
      <c r="S8" s="15" t="s">
        <v>91</v>
      </c>
      <c r="T8" s="13">
        <v>92367</v>
      </c>
      <c r="U8" s="13"/>
    </row>
    <row r="9" spans="1:21">
      <c r="I9" s="15" t="s">
        <v>51</v>
      </c>
      <c r="J9" s="13">
        <v>187119</v>
      </c>
      <c r="K9" s="13">
        <v>22014</v>
      </c>
      <c r="M9" s="21" t="s">
        <v>291</v>
      </c>
      <c r="N9" s="4">
        <v>-15242</v>
      </c>
      <c r="Q9" s="15" t="s">
        <v>51</v>
      </c>
      <c r="S9" s="15" t="s">
        <v>22</v>
      </c>
      <c r="T9" s="13">
        <v>5327263</v>
      </c>
      <c r="U9" s="13">
        <v>1577918</v>
      </c>
    </row>
    <row r="10" spans="1:21">
      <c r="A10" s="14" t="s">
        <v>468</v>
      </c>
      <c r="B10" t="s">
        <v>466</v>
      </c>
      <c r="I10" s="15" t="s">
        <v>32</v>
      </c>
      <c r="J10" s="13">
        <v>154360</v>
      </c>
      <c r="K10" s="13">
        <v>38590</v>
      </c>
      <c r="M10" s="21" t="s">
        <v>67</v>
      </c>
      <c r="N10" s="4">
        <v>-15075</v>
      </c>
      <c r="Q10" s="15" t="s">
        <v>357</v>
      </c>
      <c r="S10" s="15" t="s">
        <v>98</v>
      </c>
      <c r="T10" s="13">
        <v>171405</v>
      </c>
      <c r="U10" s="13">
        <v>18661</v>
      </c>
    </row>
    <row r="11" spans="1:21">
      <c r="A11" s="15" t="s">
        <v>477</v>
      </c>
      <c r="B11" s="13">
        <v>1261545</v>
      </c>
      <c r="I11" s="15" t="s">
        <v>23</v>
      </c>
      <c r="J11" s="13">
        <v>149750</v>
      </c>
      <c r="K11" s="13"/>
      <c r="M11" s="21" t="s">
        <v>202</v>
      </c>
      <c r="N11" s="4">
        <v>-13728</v>
      </c>
      <c r="Q11" s="15" t="s">
        <v>49</v>
      </c>
      <c r="S11" s="15" t="s">
        <v>95</v>
      </c>
      <c r="T11" s="13">
        <v>62904</v>
      </c>
      <c r="U11" s="13">
        <v>22591</v>
      </c>
    </row>
    <row r="12" spans="1:21">
      <c r="A12" s="15" t="s">
        <v>478</v>
      </c>
      <c r="B12" s="13">
        <v>680909</v>
      </c>
      <c r="I12" s="15" t="s">
        <v>86</v>
      </c>
      <c r="J12" s="13">
        <v>148312</v>
      </c>
      <c r="K12" s="13"/>
      <c r="M12" s="21" t="s">
        <v>378</v>
      </c>
      <c r="N12" s="4">
        <v>-13433</v>
      </c>
      <c r="Q12" s="15" t="s">
        <v>32</v>
      </c>
      <c r="S12" s="15" t="s">
        <v>139</v>
      </c>
      <c r="T12" s="13">
        <v>166685</v>
      </c>
      <c r="U12" s="13">
        <v>41000</v>
      </c>
    </row>
    <row r="13" spans="1:21">
      <c r="A13" s="15" t="s">
        <v>479</v>
      </c>
      <c r="B13" s="13">
        <v>852865</v>
      </c>
      <c r="I13" s="15" t="s">
        <v>136</v>
      </c>
      <c r="J13" s="13">
        <v>143514</v>
      </c>
      <c r="K13" s="13">
        <v>20502</v>
      </c>
      <c r="M13" s="15" t="s">
        <v>480</v>
      </c>
      <c r="N13" s="16">
        <v>-179010</v>
      </c>
      <c r="Q13" s="15" t="s">
        <v>346</v>
      </c>
      <c r="S13" s="15" t="s">
        <v>480</v>
      </c>
      <c r="T13" s="13">
        <v>6696267</v>
      </c>
      <c r="U13" s="13">
        <v>1919726</v>
      </c>
    </row>
    <row r="14" spans="1:21">
      <c r="A14" s="15" t="s">
        <v>481</v>
      </c>
      <c r="B14" s="13">
        <v>1642588</v>
      </c>
      <c r="I14" s="15" t="s">
        <v>71</v>
      </c>
      <c r="J14" s="13">
        <v>104111</v>
      </c>
      <c r="K14" s="13">
        <v>29746</v>
      </c>
      <c r="Q14" s="15" t="s">
        <v>209</v>
      </c>
    </row>
    <row r="15" spans="1:21">
      <c r="A15" s="15" t="s">
        <v>482</v>
      </c>
      <c r="B15" s="13">
        <v>2187861</v>
      </c>
      <c r="H15" s="2"/>
      <c r="I15" s="15" t="s">
        <v>124</v>
      </c>
      <c r="J15" s="13">
        <v>91224</v>
      </c>
      <c r="K15" s="13"/>
      <c r="Q15" s="15" t="s">
        <v>140</v>
      </c>
    </row>
    <row r="16" spans="1:21">
      <c r="A16" s="15" t="s">
        <v>483</v>
      </c>
      <c r="B16" s="13">
        <v>1356707</v>
      </c>
      <c r="H16" s="2"/>
      <c r="I16" s="15" t="s">
        <v>140</v>
      </c>
      <c r="J16" s="13">
        <v>90068</v>
      </c>
      <c r="K16" s="13">
        <v>45034</v>
      </c>
      <c r="Q16" s="15" t="s">
        <v>71</v>
      </c>
    </row>
    <row r="17" spans="1:17">
      <c r="A17" s="15" t="s">
        <v>484</v>
      </c>
      <c r="B17" s="13">
        <v>843565</v>
      </c>
      <c r="I17" s="15" t="s">
        <v>209</v>
      </c>
      <c r="J17" s="13">
        <v>64215</v>
      </c>
      <c r="K17" s="13"/>
      <c r="Q17" s="15" t="s">
        <v>168</v>
      </c>
    </row>
    <row r="18" spans="1:17">
      <c r="I18" s="15" t="s">
        <v>57</v>
      </c>
      <c r="J18" s="13">
        <v>61176</v>
      </c>
      <c r="K18" s="13">
        <v>71372</v>
      </c>
      <c r="Q18" s="15" t="s">
        <v>57</v>
      </c>
    </row>
    <row r="19" spans="1:17">
      <c r="I19" s="15" t="s">
        <v>92</v>
      </c>
      <c r="J19" s="13">
        <v>60535</v>
      </c>
      <c r="K19" s="13"/>
      <c r="Q19" s="15" t="s">
        <v>29</v>
      </c>
    </row>
    <row r="20" spans="1:17">
      <c r="I20" s="15" t="s">
        <v>232</v>
      </c>
      <c r="J20" s="13">
        <v>56388</v>
      </c>
      <c r="K20" s="13">
        <v>14097</v>
      </c>
      <c r="Q20" s="15" t="s">
        <v>86</v>
      </c>
    </row>
    <row r="21" spans="1:17">
      <c r="I21" s="15" t="s">
        <v>35</v>
      </c>
      <c r="J21" s="13">
        <v>49938</v>
      </c>
      <c r="K21" s="13">
        <v>33292</v>
      </c>
      <c r="M21" s="14" t="s">
        <v>468</v>
      </c>
      <c r="N21" t="s">
        <v>485</v>
      </c>
      <c r="O21" t="s">
        <v>469</v>
      </c>
      <c r="Q21" s="15" t="s">
        <v>136</v>
      </c>
    </row>
    <row r="22" spans="1:17">
      <c r="I22" s="15" t="s">
        <v>170</v>
      </c>
      <c r="J22" s="13">
        <v>44866</v>
      </c>
      <c r="K22" s="13">
        <v>22433</v>
      </c>
      <c r="M22" s="15" t="s">
        <v>472</v>
      </c>
      <c r="N22" s="41">
        <v>87</v>
      </c>
      <c r="O22" s="16">
        <v>-566814.5</v>
      </c>
      <c r="Q22" s="15" t="s">
        <v>37</v>
      </c>
    </row>
    <row r="23" spans="1:17">
      <c r="I23" s="15" t="s">
        <v>168</v>
      </c>
      <c r="J23" s="13">
        <v>37322</v>
      </c>
      <c r="K23" s="13">
        <v>18661</v>
      </c>
      <c r="M23" s="15" t="s">
        <v>486</v>
      </c>
      <c r="N23" s="41">
        <v>220</v>
      </c>
      <c r="O23" s="16">
        <v>3958198.5</v>
      </c>
      <c r="Q23" s="15" t="s">
        <v>107</v>
      </c>
    </row>
    <row r="24" spans="1:17">
      <c r="I24" s="15" t="s">
        <v>107</v>
      </c>
      <c r="J24" s="13">
        <v>19170</v>
      </c>
      <c r="K24" s="13"/>
      <c r="M24" s="15" t="s">
        <v>480</v>
      </c>
      <c r="N24" s="41">
        <v>307</v>
      </c>
      <c r="O24" s="16">
        <v>3391384</v>
      </c>
      <c r="Q24" s="15" t="s">
        <v>35</v>
      </c>
    </row>
    <row r="25" spans="1:17">
      <c r="I25" s="15" t="s">
        <v>329</v>
      </c>
      <c r="J25" s="13">
        <v>15680</v>
      </c>
      <c r="K25" s="13"/>
      <c r="Q25" s="15" t="s">
        <v>92</v>
      </c>
    </row>
    <row r="26" spans="1:17">
      <c r="I26" s="15" t="s">
        <v>357</v>
      </c>
      <c r="J26" s="13"/>
      <c r="K26" s="13">
        <v>29724</v>
      </c>
      <c r="Q26" s="15" t="s">
        <v>329</v>
      </c>
    </row>
    <row r="27" spans="1:17">
      <c r="I27" s="15" t="s">
        <v>346</v>
      </c>
      <c r="J27" s="13"/>
      <c r="K27" s="13">
        <v>25266</v>
      </c>
      <c r="Q27" s="15" t="s">
        <v>480</v>
      </c>
    </row>
    <row r="28" spans="1:17">
      <c r="I28" s="15" t="s">
        <v>480</v>
      </c>
      <c r="J28" s="13">
        <v>6883586</v>
      </c>
      <c r="K28" s="13">
        <v>1942454</v>
      </c>
    </row>
    <row r="30" spans="1:17">
      <c r="E30" t="s">
        <v>487</v>
      </c>
    </row>
    <row r="31" spans="1:17">
      <c r="E31" s="41">
        <v>10</v>
      </c>
    </row>
    <row r="34" spans="5:5">
      <c r="E34" s="14" t="s">
        <v>468</v>
      </c>
    </row>
    <row r="35" spans="5:5">
      <c r="E35" s="15" t="s">
        <v>470</v>
      </c>
    </row>
    <row r="36" spans="5:5">
      <c r="E36" s="15" t="s">
        <v>471</v>
      </c>
    </row>
  </sheetData>
  <sheetProtection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8BBE-A63B-4628-9CC5-2C1D7A7270F6}">
  <sheetPr codeName="Sheet4"/>
  <dimension ref="A10:W49"/>
  <sheetViews>
    <sheetView showGridLines="0" tabSelected="1" zoomScale="50" zoomScaleNormal="50" workbookViewId="0">
      <selection activeCell="E22" sqref="E22"/>
    </sheetView>
  </sheetViews>
  <sheetFormatPr defaultRowHeight="14.5"/>
  <cols>
    <col min="1" max="1" width="7.453125" customWidth="1"/>
    <col min="2" max="2" width="25.26953125" customWidth="1"/>
    <col min="3" max="3" width="27.81640625" customWidth="1"/>
    <col min="4" max="4" width="27.1796875" customWidth="1"/>
    <col min="5" max="5" width="17.453125" customWidth="1"/>
    <col min="6" max="6" width="2.54296875" customWidth="1"/>
    <col min="7" max="7" width="12.453125" customWidth="1"/>
    <col min="8" max="8" width="19" customWidth="1"/>
    <col min="21" max="21" width="3.453125" customWidth="1"/>
    <col min="22" max="23" width="22.54296875" customWidth="1"/>
    <col min="26" max="26" width="9" customWidth="1"/>
  </cols>
  <sheetData>
    <row r="10" spans="1:23" ht="3" customHeight="1"/>
    <row r="12" spans="1:23" ht="21">
      <c r="A12" s="24"/>
      <c r="B12" s="23"/>
      <c r="C12" s="23"/>
      <c r="D12" s="23"/>
      <c r="J12" s="22"/>
      <c r="V12" s="19" t="s">
        <v>0</v>
      </c>
      <c r="W12" s="19" t="s">
        <v>488</v>
      </c>
    </row>
    <row r="13" spans="1:23" ht="23.5">
      <c r="B13" s="19" t="s">
        <v>489</v>
      </c>
      <c r="C13" s="19">
        <v>2024</v>
      </c>
      <c r="D13" s="19">
        <v>2025</v>
      </c>
      <c r="E13" s="20" t="s">
        <v>490</v>
      </c>
      <c r="F13" s="17"/>
      <c r="H13" s="18"/>
      <c r="V13" s="25" t="str">
        <f>PIVOTS!M3</f>
        <v>AUG2024-21</v>
      </c>
      <c r="W13" s="27">
        <f>PIVOTS!N3</f>
        <v>-25058</v>
      </c>
    </row>
    <row r="14" spans="1:23" ht="23.5">
      <c r="B14" s="25" t="str">
        <f>PIVOTS!I$3</f>
        <v>Rose</v>
      </c>
      <c r="C14" s="28">
        <f>PIVOTS!J3</f>
        <v>1859250</v>
      </c>
      <c r="D14" s="28">
        <f>PIVOTS!K3</f>
        <v>545380</v>
      </c>
      <c r="E14" s="26">
        <f>(D14-C14)/C14</f>
        <v>-0.70666666666666667</v>
      </c>
      <c r="V14" s="25" t="str">
        <f>PIVOTS!M4</f>
        <v>OCT2024-53</v>
      </c>
      <c r="W14" s="27">
        <f>PIVOTS!N4</f>
        <v>-21098</v>
      </c>
    </row>
    <row r="15" spans="1:23" ht="23.5">
      <c r="B15" s="25" t="str">
        <f>PIVOTS!$I4</f>
        <v>Jade Sandal</v>
      </c>
      <c r="C15" s="28">
        <f>PIVOTS!J4</f>
        <v>1148000</v>
      </c>
      <c r="D15" s="28">
        <f>PIVOTS!K4</f>
        <v>225500</v>
      </c>
      <c r="E15" s="26">
        <f t="shared" ref="E15:E23" si="0">(D15-C15)/C15</f>
        <v>-0.8035714285714286</v>
      </c>
      <c r="V15" s="25" t="str">
        <f>PIVOTS!M5</f>
        <v>SEP2024-32</v>
      </c>
      <c r="W15" s="27">
        <f>PIVOTS!N5</f>
        <v>-21075</v>
      </c>
    </row>
    <row r="16" spans="1:23" ht="23.5">
      <c r="B16" s="25" t="str">
        <f>PIVOTS!$I5</f>
        <v>Sapphire</v>
      </c>
      <c r="C16" s="28">
        <f>PIVOTS!J5</f>
        <v>1068216</v>
      </c>
      <c r="D16" s="28">
        <f>PIVOTS!K5</f>
        <v>522744</v>
      </c>
      <c r="E16" s="26">
        <f t="shared" si="0"/>
        <v>-0.51063829787234039</v>
      </c>
      <c r="V16" s="25" t="str">
        <f>PIVOTS!M6</f>
        <v>DEC2024-22</v>
      </c>
      <c r="W16" s="27">
        <f>PIVOTS!N6</f>
        <v>-20000</v>
      </c>
    </row>
    <row r="17" spans="2:23" ht="23.5">
      <c r="B17" s="25" t="str">
        <f>PIVOTS!$I6</f>
        <v>Crystal</v>
      </c>
      <c r="C17" s="28">
        <f>PIVOTS!J6</f>
        <v>634104</v>
      </c>
      <c r="D17" s="28">
        <f>PIVOTS!K6</f>
        <v>17614</v>
      </c>
      <c r="E17" s="26">
        <f t="shared" si="0"/>
        <v>-0.97222222222222221</v>
      </c>
      <c r="V17" s="25" t="str">
        <f>PIVOTS!M7</f>
        <v>OCT2024-33</v>
      </c>
      <c r="W17" s="27">
        <f>PIVOTS!N7</f>
        <v>-17456</v>
      </c>
    </row>
    <row r="18" spans="2:23" ht="23.5">
      <c r="B18" s="25" t="str">
        <f>PIVOTS!$I7</f>
        <v>Diamond</v>
      </c>
      <c r="C18" s="28">
        <f>PIVOTS!J7</f>
        <v>423034</v>
      </c>
      <c r="D18" s="28">
        <f>PIVOTS!K7</f>
        <v>186922</v>
      </c>
      <c r="E18" s="26">
        <f t="shared" si="0"/>
        <v>-0.55813953488372092</v>
      </c>
      <c r="V18" s="25" t="str">
        <f>PIVOTS!M8</f>
        <v>OCT2024-34</v>
      </c>
      <c r="W18" s="27">
        <f>PIVOTS!N8</f>
        <v>-16845</v>
      </c>
    </row>
    <row r="19" spans="2:23" ht="23.5">
      <c r="B19" s="25" t="str">
        <f>PIVOTS!$I8</f>
        <v>Amber sandal</v>
      </c>
      <c r="C19" s="28">
        <f>PIVOTS!J8</f>
        <v>273234</v>
      </c>
      <c r="D19" s="28">
        <f>PIVOTS!K8</f>
        <v>73563</v>
      </c>
      <c r="E19" s="26">
        <f t="shared" si="0"/>
        <v>-0.73076923076923073</v>
      </c>
      <c r="V19" s="25" t="str">
        <f>PIVOTS!M9</f>
        <v>NOV2024-37</v>
      </c>
      <c r="W19" s="27">
        <f>PIVOTS!N9</f>
        <v>-15242</v>
      </c>
    </row>
    <row r="20" spans="2:23" ht="23.5">
      <c r="B20" s="25" t="str">
        <f>PIVOTS!$I9</f>
        <v>Garnet sandal</v>
      </c>
      <c r="C20" s="28">
        <f>PIVOTS!J9</f>
        <v>187119</v>
      </c>
      <c r="D20" s="28">
        <f>PIVOTS!K9</f>
        <v>22014</v>
      </c>
      <c r="E20" s="26">
        <f t="shared" si="0"/>
        <v>-0.88235294117647056</v>
      </c>
      <c r="V20" s="25" t="str">
        <f>PIVOTS!M10</f>
        <v>AUG2024-19</v>
      </c>
      <c r="W20" s="27">
        <f>PIVOTS!N10</f>
        <v>-15075</v>
      </c>
    </row>
    <row r="21" spans="2:23" ht="23.5">
      <c r="B21" s="25" t="str">
        <f>PIVOTS!$I10</f>
        <v>Lily sandal</v>
      </c>
      <c r="C21" s="28">
        <f>PIVOTS!J10</f>
        <v>154360</v>
      </c>
      <c r="D21" s="28">
        <f>PIVOTS!K10</f>
        <v>38590</v>
      </c>
      <c r="E21" s="26">
        <f t="shared" si="0"/>
        <v>-0.75</v>
      </c>
      <c r="V21" s="25" t="str">
        <f>PIVOTS!M11</f>
        <v>OCT2024-24</v>
      </c>
      <c r="W21" s="27">
        <f>PIVOTS!N11</f>
        <v>-13728</v>
      </c>
    </row>
    <row r="22" spans="2:23" ht="23.5">
      <c r="B22" s="25" t="str">
        <f>PIVOTS!$I11</f>
        <v>Delight sandal</v>
      </c>
      <c r="C22" s="28">
        <f>PIVOTS!J11</f>
        <v>149750</v>
      </c>
      <c r="D22" s="28">
        <f>PIVOTS!K11</f>
        <v>0</v>
      </c>
      <c r="E22" s="26">
        <f t="shared" si="0"/>
        <v>-1</v>
      </c>
      <c r="V22" s="25" t="str">
        <f>PIVOTS!M12</f>
        <v>JAN2025-35</v>
      </c>
      <c r="W22" s="27">
        <f>PIVOTS!N12</f>
        <v>-13433</v>
      </c>
    </row>
    <row r="23" spans="2:23" ht="23.5">
      <c r="B23" s="25" t="str">
        <f>PIVOTS!$I12</f>
        <v>Ruby Sandal</v>
      </c>
      <c r="C23" s="28">
        <f>PIVOTS!J12</f>
        <v>148312</v>
      </c>
      <c r="D23" s="28">
        <f>PIVOTS!K12</f>
        <v>0</v>
      </c>
      <c r="E23" s="26">
        <f t="shared" si="0"/>
        <v>-1</v>
      </c>
    </row>
    <row r="26" spans="2:23" ht="21">
      <c r="B26" s="19" t="s">
        <v>491</v>
      </c>
      <c r="C26" s="19">
        <v>2024</v>
      </c>
      <c r="D26" s="19">
        <v>2025</v>
      </c>
      <c r="E26" s="20" t="s">
        <v>490</v>
      </c>
    </row>
    <row r="27" spans="2:23" ht="23.5">
      <c r="B27" s="25" t="str">
        <f>PIVOTS!S3</f>
        <v>AK|Akwa Ibom</v>
      </c>
      <c r="C27" s="28">
        <f>PIVOTS!T3</f>
        <v>91624</v>
      </c>
      <c r="D27" s="28">
        <f>PIVOTS!U3</f>
        <v>0</v>
      </c>
      <c r="E27" s="26">
        <f>(D27-C27)/C27</f>
        <v>-1</v>
      </c>
    </row>
    <row r="28" spans="2:23" ht="23.5">
      <c r="B28" s="25" t="str">
        <f>PIVOTS!S4</f>
        <v>CR|Cross River</v>
      </c>
      <c r="C28" s="28">
        <f>PIVOTS!T4</f>
        <v>52526</v>
      </c>
      <c r="D28" s="28">
        <f>PIVOTS!U4</f>
        <v>0</v>
      </c>
      <c r="E28" s="26">
        <f t="shared" ref="E28:E36" si="1">(D28-C28)/C28</f>
        <v>-1</v>
      </c>
    </row>
    <row r="29" spans="2:23" ht="23.5">
      <c r="B29" s="25" t="str">
        <f>PIVOTS!S5</f>
        <v>DE|Delta</v>
      </c>
      <c r="C29" s="28">
        <f>PIVOTS!T5</f>
        <v>45290</v>
      </c>
      <c r="D29" s="28">
        <f>PIVOTS!U5</f>
        <v>43019</v>
      </c>
      <c r="E29" s="26">
        <f t="shared" si="1"/>
        <v>-5.0143519540737466E-2</v>
      </c>
    </row>
    <row r="30" spans="2:23" ht="23.5">
      <c r="B30" s="25" t="str">
        <f>PIVOTS!S6</f>
        <v>EN|Enugu</v>
      </c>
      <c r="C30" s="28">
        <f>PIVOTS!T6</f>
        <v>202237</v>
      </c>
      <c r="D30" s="28">
        <f>PIVOTS!U6</f>
        <v>66868</v>
      </c>
      <c r="E30" s="26">
        <f t="shared" si="1"/>
        <v>-0.66935822821738855</v>
      </c>
    </row>
    <row r="31" spans="2:23" ht="23.5">
      <c r="B31" s="25" t="str">
        <f>PIVOTS!S7</f>
        <v>FC|Abuja</v>
      </c>
      <c r="C31" s="28">
        <f>PIVOTS!T7</f>
        <v>483966</v>
      </c>
      <c r="D31" s="28">
        <f>PIVOTS!U7</f>
        <v>149669</v>
      </c>
      <c r="E31" s="26">
        <f t="shared" si="1"/>
        <v>-0.69074480438708508</v>
      </c>
    </row>
    <row r="32" spans="2:23" ht="23.5">
      <c r="B32" s="25" t="str">
        <f>PIVOTS!S8</f>
        <v>IM|Imo</v>
      </c>
      <c r="C32" s="28">
        <f>PIVOTS!T8</f>
        <v>92367</v>
      </c>
      <c r="D32" s="28">
        <f>PIVOTS!U8</f>
        <v>0</v>
      </c>
      <c r="E32" s="26">
        <f t="shared" si="1"/>
        <v>-1</v>
      </c>
    </row>
    <row r="33" spans="2:10" ht="23.5">
      <c r="B33" s="25" t="str">
        <f>PIVOTS!S9</f>
        <v>LA|Lagos</v>
      </c>
      <c r="C33" s="28">
        <f>PIVOTS!T9</f>
        <v>5327263</v>
      </c>
      <c r="D33" s="28">
        <f>PIVOTS!U9</f>
        <v>1577918</v>
      </c>
      <c r="E33" s="26">
        <f t="shared" si="1"/>
        <v>-0.70380324755883084</v>
      </c>
    </row>
    <row r="34" spans="2:10" ht="23.5">
      <c r="B34" s="25" t="str">
        <f>PIVOTS!S10</f>
        <v>OG|Ogun</v>
      </c>
      <c r="C34" s="28">
        <f>PIVOTS!T10</f>
        <v>171405</v>
      </c>
      <c r="D34" s="28">
        <f>PIVOTS!U10</f>
        <v>18661</v>
      </c>
      <c r="E34" s="26">
        <f t="shared" si="1"/>
        <v>-0.8911291969312447</v>
      </c>
    </row>
    <row r="35" spans="2:10" ht="23.5">
      <c r="B35" s="25" t="str">
        <f>PIVOTS!S11</f>
        <v>OY|Oyo</v>
      </c>
      <c r="C35" s="28">
        <f>PIVOTS!T11</f>
        <v>62904</v>
      </c>
      <c r="D35" s="28">
        <f>PIVOTS!U11</f>
        <v>22591</v>
      </c>
      <c r="E35" s="26">
        <f t="shared" si="1"/>
        <v>-0.64086544575861626</v>
      </c>
    </row>
    <row r="36" spans="2:10" ht="23.5">
      <c r="B36" s="25" t="str">
        <f>PIVOTS!S12</f>
        <v>RI|Rivers</v>
      </c>
      <c r="C36" s="28">
        <f>PIVOTS!T12</f>
        <v>166685</v>
      </c>
      <c r="D36" s="28">
        <f>PIVOTS!U12</f>
        <v>41000</v>
      </c>
      <c r="E36" s="26">
        <f t="shared" si="1"/>
        <v>-0.75402705702372741</v>
      </c>
    </row>
    <row r="40" spans="2:10">
      <c r="H40" s="30"/>
    </row>
    <row r="41" spans="2:10">
      <c r="H41" s="30"/>
    </row>
    <row r="42" spans="2:10">
      <c r="H42" s="30"/>
      <c r="J42" s="29"/>
    </row>
    <row r="43" spans="2:10">
      <c r="H43" s="30"/>
    </row>
    <row r="44" spans="2:10">
      <c r="H44" s="30"/>
    </row>
    <row r="45" spans="2:10">
      <c r="H45" s="30"/>
    </row>
    <row r="46" spans="2:10">
      <c r="H46" s="30"/>
    </row>
    <row r="47" spans="2:10">
      <c r="H47" s="30"/>
    </row>
    <row r="48" spans="2:10">
      <c r="H48" s="30"/>
    </row>
    <row r="49" spans="8:8">
      <c r="H49" s="30"/>
    </row>
  </sheetData>
  <sheetProtection pivotTables="0"/>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 id="{77EE78FE-B1A8-4330-BF33-2E8F7EED6C3A}">
            <x14:iconSet iconSet="3Triangles">
              <x14:cfvo type="percent">
                <xm:f>0</xm:f>
              </x14:cfvo>
              <x14:cfvo type="formula">
                <xm:f>0</xm:f>
              </x14:cfvo>
              <x14:cfvo type="formula">
                <xm:f>0.01</xm:f>
              </x14:cfvo>
            </x14:iconSet>
          </x14:cfRule>
          <xm:sqref>E14:E23</xm:sqref>
        </x14:conditionalFormatting>
        <x14:conditionalFormatting xmlns:xm="http://schemas.microsoft.com/office/excel/2006/main">
          <x14:cfRule type="iconSet" priority="1" id="{D670D4D0-9952-4AB7-937F-1F08AA843548}">
            <x14:iconSet iconSet="3Triangles">
              <x14:cfvo type="percent">
                <xm:f>0</xm:f>
              </x14:cfvo>
              <x14:cfvo type="formula">
                <xm:f>0</xm:f>
              </x14:cfvo>
              <x14:cfvo type="formula">
                <xm:f>0.01</xm:f>
              </x14:cfvo>
            </x14:iconSet>
          </x14:cfRule>
          <xm:sqref>E27:E36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88A0A2-11AF-460F-BB70-62B35CC124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Aug 2024 - Feb 2025 Combined</vt:lpstr>
      <vt:lpstr>Validation</vt:lpstr>
      <vt:lpstr>PIVOTS</vt:lpstr>
      <vt:lpstr>Sales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Akachukwu Emenike</dc:creator>
  <cp:keywords/>
  <dc:description/>
  <cp:lastModifiedBy>Emenike Akachukwu</cp:lastModifiedBy>
  <cp:revision/>
  <dcterms:created xsi:type="dcterms:W3CDTF">2025-02-23T22:40:16Z</dcterms:created>
  <dcterms:modified xsi:type="dcterms:W3CDTF">2025-03-21T13:54:10Z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2025-03-09T22:12:04Z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2858e33f-a526-4ab5-a4d4-9aa9188b8456</vt:lpwstr>
  </property>
  <property fmtid="{D5CDD505-2E9C-101B-9397-08002B2CF9AE}" pid="8" name="MSIP_Label_68104b14-b53d-46de-9ae8-975cc0e84815_ContentBits">
    <vt:lpwstr>0</vt:lpwstr>
  </property>
  <property fmtid="{D5CDD505-2E9C-101B-9397-08002B2CF9AE}" pid="9" name="MSIP_Label_68104b14-b53d-46de-9ae8-975cc0e84815_Tag">
    <vt:lpwstr>10, 3, 0, 1</vt:lpwstr>
  </property>
</Properties>
</file>