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90" yWindow="-270" windowWidth="19440" windowHeight="7245" tabRatio="596" firstSheet="2" activeTab="6"/>
  </bookViews>
  <sheets>
    <sheet name="List" sheetId="1" r:id="rId1"/>
    <sheet name="Project" sheetId="4" r:id="rId2"/>
    <sheet name="Payroll" sheetId="21" r:id="rId3"/>
    <sheet name="FY2016 billing summary" sheetId="22" r:id="rId4"/>
    <sheet name="FY2017 billing summary" sheetId="23" r:id="rId5"/>
    <sheet name="Summary" sheetId="5" r:id="rId6"/>
    <sheet name="2016" sheetId="20" r:id="rId7"/>
    <sheet name="HAT" sheetId="7" r:id="rId8"/>
    <sheet name="MBU" sheetId="10" r:id="rId9"/>
    <sheet name="PJD" sheetId="6" r:id="rId10"/>
    <sheet name="BBR" sheetId="8" r:id="rId11"/>
    <sheet name="FER" sheetId="9" r:id="rId12"/>
    <sheet name="MEL" sheetId="12" r:id="rId13"/>
  </sheets>
  <externalReferences>
    <externalReference r:id="rId14"/>
    <externalReference r:id="rId15"/>
  </externalReferences>
  <definedNames>
    <definedName name="_xlnm._FilterDatabase" localSheetId="4" hidden="1">'FY2017 billing summary'!$A$8:$DW$46</definedName>
    <definedName name="_xlnm._FilterDatabase" localSheetId="0" hidden="1">List!$A$7:$AJ$45</definedName>
    <definedName name="_xlnm._FilterDatabase" localSheetId="8" hidden="1">MBU!$A$5:$J$40</definedName>
    <definedName name="currency" localSheetId="3">'[1]Dropdown list'!$A$13:$A$14</definedName>
    <definedName name="currency" localSheetId="4">'[1]Dropdown list'!$A$13:$A$14</definedName>
    <definedName name="currency">'[2]Dropdown list'!$A$13:$A$14</definedName>
    <definedName name="Staffname" localSheetId="3">'[1]Dropdown list'!$A$1:$A$10</definedName>
    <definedName name="Staffname" localSheetId="4">'[1]Dropdown list'!$A$1:$A$10</definedName>
  </definedNames>
  <calcPr calcId="145621"/>
</workbook>
</file>

<file path=xl/calcChain.xml><?xml version="1.0" encoding="utf-8"?>
<calcChain xmlns="http://schemas.openxmlformats.org/spreadsheetml/2006/main">
  <c r="N27" i="1" l="1"/>
  <c r="V39" i="1"/>
  <c r="R37" i="1"/>
  <c r="L37" i="1"/>
  <c r="G37" i="1"/>
  <c r="R12" i="1"/>
  <c r="Q12" i="1"/>
  <c r="K37" i="1"/>
  <c r="Q37" i="1"/>
  <c r="H37" i="1"/>
  <c r="T28" i="1"/>
  <c r="K28" i="1"/>
  <c r="L28" i="1" s="1"/>
  <c r="Q28" i="1"/>
  <c r="R28" i="1" s="1"/>
  <c r="U57" i="1" l="1"/>
  <c r="T55" i="1"/>
  <c r="H54" i="1"/>
  <c r="R54" i="1"/>
  <c r="R58" i="1" s="1"/>
  <c r="H53" i="1"/>
  <c r="H56" i="1"/>
  <c r="U56" i="1" s="1"/>
  <c r="P52" i="1"/>
  <c r="P58" i="1" s="1"/>
  <c r="L52" i="1"/>
  <c r="L58" i="1" s="1"/>
  <c r="J52" i="1"/>
  <c r="AB46" i="1"/>
  <c r="AC12" i="1"/>
  <c r="AC17" i="1"/>
  <c r="AC27" i="1"/>
  <c r="AC28" i="1"/>
  <c r="AC30" i="1"/>
  <c r="AC37" i="1"/>
  <c r="AC42" i="1"/>
  <c r="AC45" i="1"/>
  <c r="H13" i="1"/>
  <c r="Z32" i="1"/>
  <c r="AC32" i="1" s="1"/>
  <c r="X22" i="1"/>
  <c r="X39" i="1"/>
  <c r="V22" i="1"/>
  <c r="V46" i="1" s="1"/>
  <c r="T18" i="1"/>
  <c r="T16" i="1"/>
  <c r="T15" i="1"/>
  <c r="T13" i="1"/>
  <c r="R43" i="1"/>
  <c r="AC43" i="1" s="1"/>
  <c r="R34" i="1"/>
  <c r="AC34" i="1" s="1"/>
  <c r="R31" i="1"/>
  <c r="R21" i="1"/>
  <c r="R18" i="1"/>
  <c r="R16" i="1"/>
  <c r="R15" i="1"/>
  <c r="R13" i="1"/>
  <c r="P41" i="1"/>
  <c r="AC41" i="1" s="1"/>
  <c r="P36" i="1"/>
  <c r="AC36" i="1" s="1"/>
  <c r="P24" i="1"/>
  <c r="P23" i="1"/>
  <c r="P20" i="1"/>
  <c r="AC20" i="1" s="1"/>
  <c r="P19" i="1"/>
  <c r="AC19" i="1" s="1"/>
  <c r="P18" i="1"/>
  <c r="P13" i="1"/>
  <c r="P9" i="1"/>
  <c r="N9" i="1"/>
  <c r="N15" i="1"/>
  <c r="N23" i="1"/>
  <c r="N22" i="1"/>
  <c r="AC22" i="1" s="1"/>
  <c r="N33" i="1"/>
  <c r="N39" i="1"/>
  <c r="N44" i="1"/>
  <c r="L39" i="1"/>
  <c r="AC39" i="1" s="1"/>
  <c r="L35" i="1"/>
  <c r="AC35" i="1" s="1"/>
  <c r="L24" i="1"/>
  <c r="AC24" i="1" s="1"/>
  <c r="L23" i="1"/>
  <c r="AC23" i="1" s="1"/>
  <c r="L16" i="1"/>
  <c r="L15" i="1"/>
  <c r="L29" i="1"/>
  <c r="AC29" i="1" s="1"/>
  <c r="L21" i="1"/>
  <c r="AC21" i="1" s="1"/>
  <c r="L18" i="1"/>
  <c r="AC18" i="1" s="1"/>
  <c r="L13" i="1"/>
  <c r="L11" i="1"/>
  <c r="AC11" i="1" s="1"/>
  <c r="J40" i="1"/>
  <c r="J15" i="1"/>
  <c r="H40" i="1"/>
  <c r="AC40" i="1" s="1"/>
  <c r="H31" i="1"/>
  <c r="AC31" i="1" s="1"/>
  <c r="H26" i="1"/>
  <c r="AC26" i="1" s="1"/>
  <c r="H25" i="1"/>
  <c r="AC25" i="1" s="1"/>
  <c r="H10" i="1"/>
  <c r="AC10" i="1" s="1"/>
  <c r="H16" i="1"/>
  <c r="H15" i="1"/>
  <c r="G44" i="1"/>
  <c r="H44" i="1" s="1"/>
  <c r="AC15" i="1" l="1"/>
  <c r="T46" i="1"/>
  <c r="AC13" i="1"/>
  <c r="U54" i="1"/>
  <c r="AC16" i="1"/>
  <c r="X46" i="1"/>
  <c r="U55" i="1"/>
  <c r="T58" i="1"/>
  <c r="U52" i="1"/>
  <c r="J58" i="1"/>
  <c r="U53" i="1"/>
  <c r="H58" i="1"/>
  <c r="Z46" i="1"/>
  <c r="H46" i="1"/>
  <c r="N46" i="1"/>
  <c r="J46" i="1"/>
  <c r="D17" i="5"/>
  <c r="F9" i="5"/>
  <c r="C7" i="5"/>
  <c r="F6" i="5"/>
  <c r="G43" i="6"/>
  <c r="C16" i="5" s="1"/>
  <c r="G41" i="6"/>
  <c r="C14" i="5" s="1"/>
  <c r="G40" i="6"/>
  <c r="G39" i="6"/>
  <c r="G30" i="7"/>
  <c r="G8" i="7"/>
  <c r="G36" i="7" s="1"/>
  <c r="I38" i="6"/>
  <c r="I30" i="6"/>
  <c r="I23" i="6"/>
  <c r="I15" i="6"/>
  <c r="I37" i="6"/>
  <c r="I27" i="6"/>
  <c r="I20" i="6"/>
  <c r="I12" i="6"/>
  <c r="I36" i="6"/>
  <c r="E14" i="5" s="1"/>
  <c r="I26" i="6"/>
  <c r="E11" i="5" s="1"/>
  <c r="I19" i="6"/>
  <c r="E8" i="5" s="1"/>
  <c r="I11" i="6"/>
  <c r="E5" i="5" s="1"/>
  <c r="I19" i="7"/>
  <c r="I18" i="7"/>
  <c r="I17" i="7"/>
  <c r="I16" i="7"/>
  <c r="I15" i="7"/>
  <c r="F7" i="5" s="1"/>
  <c r="I14" i="7"/>
  <c r="G30" i="10"/>
  <c r="G29" i="10"/>
  <c r="G28" i="10"/>
  <c r="G27" i="10"/>
  <c r="I25" i="10"/>
  <c r="I24" i="10"/>
  <c r="I23" i="10"/>
  <c r="I22" i="10"/>
  <c r="I21" i="10"/>
  <c r="G16" i="10"/>
  <c r="C6" i="5" s="1"/>
  <c r="G15" i="10"/>
  <c r="G40" i="10" s="1"/>
  <c r="G14" i="10"/>
  <c r="G13" i="10"/>
  <c r="G12" i="10"/>
  <c r="I10" i="10"/>
  <c r="I9" i="10"/>
  <c r="I8" i="10"/>
  <c r="I7" i="10"/>
  <c r="I6" i="10"/>
  <c r="G32" i="6"/>
  <c r="G29" i="6"/>
  <c r="C11" i="5" s="1"/>
  <c r="J28" i="6"/>
  <c r="G22" i="6"/>
  <c r="C8" i="5" s="1"/>
  <c r="G14" i="6"/>
  <c r="I35" i="7"/>
  <c r="I34" i="7"/>
  <c r="F14" i="5" s="1"/>
  <c r="I33" i="7"/>
  <c r="I32" i="7"/>
  <c r="I29" i="7"/>
  <c r="I28" i="7"/>
  <c r="I25" i="7"/>
  <c r="I24" i="7"/>
  <c r="G13" i="7"/>
  <c r="I11" i="7"/>
  <c r="I10" i="7"/>
  <c r="I7" i="7"/>
  <c r="I6" i="7"/>
  <c r="G26" i="10"/>
  <c r="F11" i="5" l="1"/>
  <c r="C5" i="5"/>
  <c r="U58" i="1"/>
  <c r="E17" i="5"/>
  <c r="E18" i="5" s="1"/>
  <c r="I44" i="6"/>
  <c r="G44" i="6"/>
  <c r="I40" i="10"/>
  <c r="I36" i="7"/>
  <c r="F10" i="5"/>
  <c r="C10" i="5"/>
  <c r="K14" i="1"/>
  <c r="L14" i="1" s="1"/>
  <c r="AC14" i="1" s="1"/>
  <c r="J31" i="6"/>
  <c r="J21" i="6"/>
  <c r="F8" i="5" s="1"/>
  <c r="S18" i="1"/>
  <c r="J13" i="6"/>
  <c r="F5" i="5" s="1"/>
  <c r="C17" i="5" l="1"/>
  <c r="C18" i="5" s="1"/>
  <c r="F17" i="5"/>
  <c r="F18" i="5" s="1"/>
  <c r="D47" i="21"/>
  <c r="K29" i="1" l="1"/>
  <c r="G10" i="1" l="1"/>
  <c r="C47" i="21" l="1"/>
  <c r="C53" i="21" l="1"/>
  <c r="B56" i="21"/>
  <c r="P8" i="20" l="1"/>
  <c r="AC8" i="20"/>
  <c r="P9" i="20"/>
  <c r="P40" i="20" s="1"/>
  <c r="AC9" i="20"/>
  <c r="U10" i="20"/>
  <c r="Q11" i="20"/>
  <c r="Q12" i="20"/>
  <c r="Q13" i="20"/>
  <c r="Q14" i="20"/>
  <c r="H15" i="20"/>
  <c r="Z15" i="20"/>
  <c r="H16" i="20"/>
  <c r="Z16" i="20" s="1"/>
  <c r="J17" i="20"/>
  <c r="L17" i="20" s="1"/>
  <c r="K17" i="20"/>
  <c r="M17" i="20" s="1"/>
  <c r="W17" i="20"/>
  <c r="W40" i="20" s="1"/>
  <c r="AC17" i="20"/>
  <c r="S18" i="20"/>
  <c r="R19" i="20"/>
  <c r="P20" i="20"/>
  <c r="P21" i="20"/>
  <c r="P22" i="20"/>
  <c r="P23" i="20"/>
  <c r="P24" i="20"/>
  <c r="P25" i="20"/>
  <c r="P26" i="20"/>
  <c r="P27" i="20"/>
  <c r="P28" i="20"/>
  <c r="U29" i="20"/>
  <c r="U30" i="20"/>
  <c r="AC30" i="20"/>
  <c r="U31" i="20"/>
  <c r="U32" i="20"/>
  <c r="U33" i="20"/>
  <c r="U34" i="20"/>
  <c r="J35" i="20"/>
  <c r="L35" i="20" s="1"/>
  <c r="K35" i="20"/>
  <c r="Q35" i="20"/>
  <c r="AC35" i="20"/>
  <c r="Q36" i="20"/>
  <c r="Q37" i="20"/>
  <c r="Q38" i="20"/>
  <c r="U39" i="20"/>
  <c r="H40" i="20"/>
  <c r="H358" i="20" s="1"/>
  <c r="J358" i="20" s="1"/>
  <c r="R40" i="20"/>
  <c r="S40" i="20"/>
  <c r="T40" i="20"/>
  <c r="V40" i="20"/>
  <c r="X40" i="20"/>
  <c r="Y40" i="20"/>
  <c r="AA40" i="20"/>
  <c r="AC40" i="20"/>
  <c r="AD40" i="20"/>
  <c r="J42" i="20"/>
  <c r="L42" i="20" s="1"/>
  <c r="K42" i="20"/>
  <c r="M42" i="20" s="1"/>
  <c r="AC42" i="20"/>
  <c r="J43" i="20"/>
  <c r="L43" i="20" s="1"/>
  <c r="K43" i="20"/>
  <c r="W43" i="20"/>
  <c r="W66" i="20" s="1"/>
  <c r="AC43" i="20"/>
  <c r="J44" i="20"/>
  <c r="K44" i="20"/>
  <c r="L44" i="20"/>
  <c r="W44" i="20"/>
  <c r="AC44" i="20"/>
  <c r="J45" i="20"/>
  <c r="L45" i="20" s="1"/>
  <c r="K45" i="20"/>
  <c r="W45" i="20"/>
  <c r="AC45" i="20"/>
  <c r="J46" i="20"/>
  <c r="K46" i="20"/>
  <c r="L46" i="20"/>
  <c r="P46" i="20"/>
  <c r="AC46" i="20"/>
  <c r="J47" i="20"/>
  <c r="L47" i="20" s="1"/>
  <c r="K47" i="20"/>
  <c r="P47" i="20"/>
  <c r="AC47" i="20"/>
  <c r="J48" i="20"/>
  <c r="K48" i="20"/>
  <c r="AC48" i="20"/>
  <c r="J49" i="20"/>
  <c r="L49" i="20" s="1"/>
  <c r="K49" i="20"/>
  <c r="M49" i="20" s="1"/>
  <c r="AC49" i="20"/>
  <c r="J50" i="20"/>
  <c r="L50" i="20" s="1"/>
  <c r="K50" i="20"/>
  <c r="AC50" i="20"/>
  <c r="J51" i="20"/>
  <c r="K51" i="20"/>
  <c r="L51" i="20"/>
  <c r="M51" i="20"/>
  <c r="Q51" i="20"/>
  <c r="J52" i="20"/>
  <c r="K52" i="20"/>
  <c r="L52" i="20"/>
  <c r="R52" i="20"/>
  <c r="J53" i="20"/>
  <c r="L53" i="20" s="1"/>
  <c r="K53" i="20"/>
  <c r="M53" i="20" s="1"/>
  <c r="R53" i="20"/>
  <c r="AC53" i="20"/>
  <c r="J54" i="20"/>
  <c r="M54" i="20" s="1"/>
  <c r="K54" i="20"/>
  <c r="L54" i="20"/>
  <c r="R54" i="20"/>
  <c r="AC54" i="20"/>
  <c r="H55" i="20"/>
  <c r="Z55" i="20" s="1"/>
  <c r="Z66" i="20" s="1"/>
  <c r="J56" i="20"/>
  <c r="M56" i="20" s="1"/>
  <c r="K56" i="20"/>
  <c r="L56" i="20"/>
  <c r="S56" i="20"/>
  <c r="AC56" i="20"/>
  <c r="J57" i="20"/>
  <c r="L57" i="20" s="1"/>
  <c r="K57" i="20"/>
  <c r="P57" i="20"/>
  <c r="AC57" i="20"/>
  <c r="J58" i="20"/>
  <c r="L58" i="20" s="1"/>
  <c r="K58" i="20"/>
  <c r="S58" i="20"/>
  <c r="S66" i="20" s="1"/>
  <c r="AC58" i="20"/>
  <c r="J59" i="20"/>
  <c r="L59" i="20" s="1"/>
  <c r="K59" i="20"/>
  <c r="M59" i="20" s="1"/>
  <c r="P59" i="20"/>
  <c r="AC59" i="20"/>
  <c r="J60" i="20"/>
  <c r="M60" i="20" s="1"/>
  <c r="K60" i="20"/>
  <c r="L60" i="20"/>
  <c r="P60" i="20"/>
  <c r="AC60" i="20"/>
  <c r="J61" i="20"/>
  <c r="L61" i="20" s="1"/>
  <c r="K61" i="20"/>
  <c r="S61" i="20"/>
  <c r="AC61" i="20"/>
  <c r="J62" i="20"/>
  <c r="L62" i="20" s="1"/>
  <c r="K62" i="20"/>
  <c r="Q62" i="20"/>
  <c r="Q66" i="20" s="1"/>
  <c r="AC62" i="20"/>
  <c r="V63" i="20"/>
  <c r="V64" i="20"/>
  <c r="V65" i="20"/>
  <c r="T66" i="20"/>
  <c r="U66" i="20"/>
  <c r="X66" i="20"/>
  <c r="Y66" i="20"/>
  <c r="AA66" i="20"/>
  <c r="AD66" i="20"/>
  <c r="AE66" i="20"/>
  <c r="J68" i="20"/>
  <c r="L68" i="20" s="1"/>
  <c r="K68" i="20"/>
  <c r="P68" i="20"/>
  <c r="AC68" i="20"/>
  <c r="J69" i="20"/>
  <c r="M69" i="20" s="1"/>
  <c r="K69" i="20"/>
  <c r="P69" i="20"/>
  <c r="J70" i="20"/>
  <c r="K70" i="20"/>
  <c r="L70" i="20"/>
  <c r="AC70" i="20"/>
  <c r="J71" i="20"/>
  <c r="L71" i="20" s="1"/>
  <c r="K71" i="20"/>
  <c r="M71" i="20" s="1"/>
  <c r="P71" i="20"/>
  <c r="AC71" i="20"/>
  <c r="J72" i="20"/>
  <c r="L72" i="20" s="1"/>
  <c r="K72" i="20"/>
  <c r="M72" i="20"/>
  <c r="W72" i="20"/>
  <c r="W96" i="20" s="1"/>
  <c r="J73" i="20"/>
  <c r="K73" i="20"/>
  <c r="L73" i="20"/>
  <c r="AC73" i="20"/>
  <c r="H74" i="20"/>
  <c r="J74" i="20"/>
  <c r="L74" i="20" s="1"/>
  <c r="K74" i="20"/>
  <c r="Z74" i="20"/>
  <c r="Z96" i="20" s="1"/>
  <c r="AC74" i="20"/>
  <c r="J75" i="20"/>
  <c r="K75" i="20"/>
  <c r="L75" i="20"/>
  <c r="W75" i="20"/>
  <c r="P76" i="20"/>
  <c r="P77" i="20"/>
  <c r="P78" i="20"/>
  <c r="U79" i="20"/>
  <c r="U80" i="20"/>
  <c r="J81" i="20"/>
  <c r="L81" i="20" s="1"/>
  <c r="K81" i="20"/>
  <c r="R81" i="20"/>
  <c r="AC81" i="20"/>
  <c r="J82" i="20"/>
  <c r="K82" i="20"/>
  <c r="Q82" i="20"/>
  <c r="Q96" i="20" s="1"/>
  <c r="AC82" i="20"/>
  <c r="J83" i="20"/>
  <c r="L83" i="20" s="1"/>
  <c r="K83" i="20"/>
  <c r="Q83" i="20"/>
  <c r="AC83" i="20"/>
  <c r="J84" i="20"/>
  <c r="M84" i="20" s="1"/>
  <c r="K84" i="20"/>
  <c r="Q84" i="20"/>
  <c r="AC84" i="20"/>
  <c r="J85" i="20"/>
  <c r="L85" i="20" s="1"/>
  <c r="K85" i="20"/>
  <c r="Q85" i="20"/>
  <c r="AC85" i="20"/>
  <c r="J86" i="20"/>
  <c r="K86" i="20"/>
  <c r="L86" i="20"/>
  <c r="Q86" i="20"/>
  <c r="AC86" i="20"/>
  <c r="J87" i="20"/>
  <c r="L87" i="20" s="1"/>
  <c r="K87" i="20"/>
  <c r="R87" i="20"/>
  <c r="AC87" i="20"/>
  <c r="J88" i="20"/>
  <c r="K88" i="20"/>
  <c r="L88" i="20"/>
  <c r="S88" i="20"/>
  <c r="AC88" i="20"/>
  <c r="J89" i="20"/>
  <c r="L89" i="20" s="1"/>
  <c r="K89" i="20"/>
  <c r="S89" i="20"/>
  <c r="AC89" i="20"/>
  <c r="J90" i="20"/>
  <c r="K90" i="20"/>
  <c r="AC90" i="20"/>
  <c r="J92" i="20"/>
  <c r="L92" i="20" s="1"/>
  <c r="K92" i="20"/>
  <c r="M92" i="20" s="1"/>
  <c r="AC92" i="20"/>
  <c r="J93" i="20"/>
  <c r="L93" i="20" s="1"/>
  <c r="K93" i="20"/>
  <c r="S93" i="20"/>
  <c r="AC93" i="20"/>
  <c r="J94" i="20"/>
  <c r="K94" i="20"/>
  <c r="S94" i="20"/>
  <c r="AC94" i="20"/>
  <c r="J95" i="20"/>
  <c r="L95" i="20" s="1"/>
  <c r="K95" i="20"/>
  <c r="S95" i="20"/>
  <c r="AC95" i="20"/>
  <c r="H96" i="20"/>
  <c r="H360" i="20" s="1"/>
  <c r="S96" i="20"/>
  <c r="T96" i="20"/>
  <c r="U96" i="20"/>
  <c r="V96" i="20"/>
  <c r="X96" i="20"/>
  <c r="Y96" i="20"/>
  <c r="AA96" i="20"/>
  <c r="AD96" i="20"/>
  <c r="J98" i="20"/>
  <c r="L98" i="20" s="1"/>
  <c r="K98" i="20"/>
  <c r="P98" i="20"/>
  <c r="AC98" i="20"/>
  <c r="J99" i="20"/>
  <c r="K99" i="20"/>
  <c r="P99" i="20"/>
  <c r="AC99" i="20"/>
  <c r="J100" i="20"/>
  <c r="L100" i="20" s="1"/>
  <c r="K100" i="20"/>
  <c r="P100" i="20"/>
  <c r="AC100" i="20"/>
  <c r="J101" i="20"/>
  <c r="M101" i="20" s="1"/>
  <c r="K101" i="20"/>
  <c r="P101" i="20"/>
  <c r="P125" i="20" s="1"/>
  <c r="J102" i="20"/>
  <c r="L102" i="20" s="1"/>
  <c r="K102" i="20"/>
  <c r="P102" i="20"/>
  <c r="AC102" i="20"/>
  <c r="J103" i="20"/>
  <c r="M103" i="20" s="1"/>
  <c r="K103" i="20"/>
  <c r="P103" i="20"/>
  <c r="AC103" i="20"/>
  <c r="J104" i="20"/>
  <c r="L104" i="20" s="1"/>
  <c r="K104" i="20"/>
  <c r="M104" i="20" s="1"/>
  <c r="P104" i="20"/>
  <c r="AC104" i="20"/>
  <c r="J105" i="20"/>
  <c r="K105" i="20"/>
  <c r="M105" i="20" s="1"/>
  <c r="L105" i="20"/>
  <c r="P105" i="20"/>
  <c r="AC105" i="20"/>
  <c r="J106" i="20"/>
  <c r="L106" i="20" s="1"/>
  <c r="K106" i="20"/>
  <c r="P106" i="20"/>
  <c r="AC106" i="20"/>
  <c r="J107" i="20"/>
  <c r="L107" i="20" s="1"/>
  <c r="K107" i="20"/>
  <c r="P107" i="20"/>
  <c r="AC107" i="20"/>
  <c r="J108" i="20"/>
  <c r="L108" i="20" s="1"/>
  <c r="K108" i="20"/>
  <c r="M108" i="20" s="1"/>
  <c r="P108" i="20"/>
  <c r="AC108" i="20"/>
  <c r="K109" i="20"/>
  <c r="L109" i="20"/>
  <c r="M109" i="20"/>
  <c r="P109" i="20"/>
  <c r="AC109" i="20"/>
  <c r="J110" i="20"/>
  <c r="K110" i="20"/>
  <c r="R110" i="20"/>
  <c r="AC110" i="20"/>
  <c r="J111" i="20"/>
  <c r="L111" i="20" s="1"/>
  <c r="K111" i="20"/>
  <c r="V111" i="20"/>
  <c r="AC111" i="20"/>
  <c r="J112" i="20"/>
  <c r="M112" i="20" s="1"/>
  <c r="K112" i="20"/>
  <c r="X112" i="20"/>
  <c r="AC112" i="20"/>
  <c r="H113" i="20"/>
  <c r="L113" i="20" s="1"/>
  <c r="H114" i="20"/>
  <c r="V114" i="20" s="1"/>
  <c r="V125" i="20" s="1"/>
  <c r="J115" i="20"/>
  <c r="L115" i="20" s="1"/>
  <c r="K115" i="20"/>
  <c r="R115" i="20"/>
  <c r="AC115" i="20"/>
  <c r="K116" i="20"/>
  <c r="M116" i="20" s="1"/>
  <c r="L116" i="20"/>
  <c r="R116" i="20"/>
  <c r="AC116" i="20"/>
  <c r="K117" i="20"/>
  <c r="M117" i="20" s="1"/>
  <c r="L117" i="20"/>
  <c r="R117" i="20"/>
  <c r="AC117" i="20"/>
  <c r="K118" i="20"/>
  <c r="M118" i="20" s="1"/>
  <c r="L118" i="20"/>
  <c r="R118" i="20"/>
  <c r="AC118" i="20"/>
  <c r="K119" i="20"/>
  <c r="W119" i="20"/>
  <c r="AC119" i="20"/>
  <c r="K120" i="20"/>
  <c r="M120" i="20" s="1"/>
  <c r="L120" i="20"/>
  <c r="W120" i="20"/>
  <c r="AC120" i="20"/>
  <c r="K121" i="20"/>
  <c r="M121" i="20" s="1"/>
  <c r="L121" i="20"/>
  <c r="S121" i="20"/>
  <c r="AC121" i="20"/>
  <c r="J122" i="20"/>
  <c r="M122" i="20" s="1"/>
  <c r="K122" i="20"/>
  <c r="L122" i="20"/>
  <c r="S122" i="20"/>
  <c r="AC122" i="20"/>
  <c r="S123" i="20"/>
  <c r="J124" i="20"/>
  <c r="L124" i="20" s="1"/>
  <c r="K124" i="20"/>
  <c r="S124" i="20"/>
  <c r="AC124" i="20"/>
  <c r="Q125" i="20"/>
  <c r="R125" i="20"/>
  <c r="T125" i="20"/>
  <c r="U125" i="20"/>
  <c r="X125" i="20"/>
  <c r="Y125" i="20"/>
  <c r="AA125" i="20"/>
  <c r="AD125" i="20"/>
  <c r="AD350" i="20" s="1"/>
  <c r="K127" i="20"/>
  <c r="M127" i="20" s="1"/>
  <c r="L127" i="20"/>
  <c r="U127" i="20"/>
  <c r="AC127" i="20"/>
  <c r="K128" i="20"/>
  <c r="M128" i="20" s="1"/>
  <c r="L128" i="20"/>
  <c r="U128" i="20"/>
  <c r="AC128" i="20"/>
  <c r="K129" i="20"/>
  <c r="M129" i="20" s="1"/>
  <c r="L129" i="20"/>
  <c r="U129" i="20"/>
  <c r="AC129" i="20"/>
  <c r="K130" i="20"/>
  <c r="L130" i="20"/>
  <c r="M130" i="20"/>
  <c r="U130" i="20"/>
  <c r="AC130" i="20"/>
  <c r="K131" i="20"/>
  <c r="U131" i="20"/>
  <c r="AC131" i="20"/>
  <c r="K132" i="20"/>
  <c r="L132" i="20"/>
  <c r="M132" i="20"/>
  <c r="U132" i="20"/>
  <c r="AC132" i="20"/>
  <c r="K133" i="20"/>
  <c r="M133" i="20" s="1"/>
  <c r="L133" i="20"/>
  <c r="U133" i="20"/>
  <c r="AC133" i="20"/>
  <c r="K134" i="20"/>
  <c r="M134" i="20" s="1"/>
  <c r="L134" i="20"/>
  <c r="U134" i="20"/>
  <c r="AC134" i="20"/>
  <c r="K135" i="20"/>
  <c r="L135" i="20"/>
  <c r="M135" i="20"/>
  <c r="Q135" i="20"/>
  <c r="AC135" i="20"/>
  <c r="K136" i="20"/>
  <c r="Q136" i="20"/>
  <c r="AC136" i="20"/>
  <c r="K137" i="20"/>
  <c r="Q137" i="20"/>
  <c r="AC137" i="20"/>
  <c r="Q138" i="20"/>
  <c r="J139" i="20"/>
  <c r="K139" i="20"/>
  <c r="M139" i="20" s="1"/>
  <c r="L139" i="20"/>
  <c r="R139" i="20"/>
  <c r="AC139" i="20"/>
  <c r="K140" i="20"/>
  <c r="V140" i="20"/>
  <c r="AC140" i="20"/>
  <c r="K141" i="20"/>
  <c r="V141" i="20"/>
  <c r="AC141" i="20"/>
  <c r="P142" i="20"/>
  <c r="J143" i="20"/>
  <c r="K143" i="20"/>
  <c r="P143" i="20"/>
  <c r="AC143" i="20"/>
  <c r="J144" i="20"/>
  <c r="L144" i="20" s="1"/>
  <c r="K144" i="20"/>
  <c r="P144" i="20"/>
  <c r="AC144" i="20"/>
  <c r="K145" i="20"/>
  <c r="M145" i="20" s="1"/>
  <c r="L145" i="20"/>
  <c r="U145" i="20"/>
  <c r="AC145" i="20"/>
  <c r="K146" i="20"/>
  <c r="W146" i="20"/>
  <c r="AC146" i="20"/>
  <c r="H147" i="20"/>
  <c r="K147" i="20" s="1"/>
  <c r="J148" i="20"/>
  <c r="L148" i="20" s="1"/>
  <c r="K148" i="20"/>
  <c r="P148" i="20"/>
  <c r="AC148" i="20"/>
  <c r="J149" i="20"/>
  <c r="K149" i="20"/>
  <c r="P149" i="20"/>
  <c r="AC149" i="20"/>
  <c r="H150" i="20"/>
  <c r="L150" i="20" s="1"/>
  <c r="J151" i="20"/>
  <c r="K151" i="20"/>
  <c r="L151" i="20"/>
  <c r="S151" i="20"/>
  <c r="AC151" i="20"/>
  <c r="J152" i="20"/>
  <c r="K152" i="20"/>
  <c r="L152" i="20"/>
  <c r="M152" i="20"/>
  <c r="Q152" i="20"/>
  <c r="R152" i="20"/>
  <c r="S152" i="20"/>
  <c r="T152" i="20"/>
  <c r="U152" i="20"/>
  <c r="W152" i="20"/>
  <c r="X152" i="20"/>
  <c r="Y152" i="20"/>
  <c r="AA152" i="20"/>
  <c r="AC152" i="20"/>
  <c r="AD152" i="20"/>
  <c r="J154" i="20"/>
  <c r="L154" i="20" s="1"/>
  <c r="K154" i="20"/>
  <c r="K189" i="20" s="1"/>
  <c r="W154" i="20"/>
  <c r="AC154" i="20"/>
  <c r="J155" i="20"/>
  <c r="K155" i="20"/>
  <c r="W155" i="20"/>
  <c r="AC155" i="20"/>
  <c r="J156" i="20"/>
  <c r="L156" i="20" s="1"/>
  <c r="K156" i="20"/>
  <c r="R156" i="20"/>
  <c r="R189" i="20" s="1"/>
  <c r="AC156" i="20"/>
  <c r="K157" i="20"/>
  <c r="M157" i="20" s="1"/>
  <c r="L157" i="20"/>
  <c r="Q157" i="20"/>
  <c r="AC157" i="20"/>
  <c r="T158" i="20"/>
  <c r="T159" i="20"/>
  <c r="W163" i="20"/>
  <c r="J164" i="20"/>
  <c r="M164" i="20" s="1"/>
  <c r="K164" i="20"/>
  <c r="Q164" i="20"/>
  <c r="J165" i="20"/>
  <c r="L165" i="20" s="1"/>
  <c r="K165" i="20"/>
  <c r="S165" i="20"/>
  <c r="AC165" i="20"/>
  <c r="J166" i="20"/>
  <c r="L166" i="20" s="1"/>
  <c r="K166" i="20"/>
  <c r="S166" i="20"/>
  <c r="AC166" i="20"/>
  <c r="J167" i="20"/>
  <c r="L167" i="20" s="1"/>
  <c r="K167" i="20"/>
  <c r="M167" i="20" s="1"/>
  <c r="S167" i="20"/>
  <c r="AC167" i="20"/>
  <c r="J168" i="20"/>
  <c r="M168" i="20" s="1"/>
  <c r="K168" i="20"/>
  <c r="L168" i="20"/>
  <c r="S168" i="20"/>
  <c r="AC168" i="20"/>
  <c r="J169" i="20"/>
  <c r="L169" i="20" s="1"/>
  <c r="K169" i="20"/>
  <c r="S169" i="20"/>
  <c r="AC169" i="20"/>
  <c r="S170" i="20"/>
  <c r="J171" i="20"/>
  <c r="M171" i="20" s="1"/>
  <c r="K171" i="20"/>
  <c r="L171" i="20"/>
  <c r="Q171" i="20"/>
  <c r="Q189" i="20" s="1"/>
  <c r="AC171" i="20"/>
  <c r="J172" i="20"/>
  <c r="L172" i="20" s="1"/>
  <c r="K172" i="20"/>
  <c r="Q172" i="20"/>
  <c r="AC172" i="20"/>
  <c r="J173" i="20"/>
  <c r="K173" i="20"/>
  <c r="L173" i="20"/>
  <c r="Q173" i="20"/>
  <c r="AC173" i="20"/>
  <c r="J174" i="20"/>
  <c r="L174" i="20" s="1"/>
  <c r="K174" i="20"/>
  <c r="Q174" i="20"/>
  <c r="AC174" i="20"/>
  <c r="J175" i="20"/>
  <c r="K175" i="20"/>
  <c r="Q175" i="20"/>
  <c r="AC175" i="20"/>
  <c r="J176" i="20"/>
  <c r="L176" i="20" s="1"/>
  <c r="K176" i="20"/>
  <c r="Q176" i="20"/>
  <c r="AC176" i="20"/>
  <c r="U177" i="20"/>
  <c r="U189" i="20" s="1"/>
  <c r="K178" i="20"/>
  <c r="M178" i="20" s="1"/>
  <c r="L178" i="20"/>
  <c r="U178" i="20"/>
  <c r="AC178" i="20"/>
  <c r="K179" i="20"/>
  <c r="M179" i="20" s="1"/>
  <c r="L179" i="20"/>
  <c r="U179" i="20"/>
  <c r="AC179" i="20"/>
  <c r="K180" i="20"/>
  <c r="M180" i="20" s="1"/>
  <c r="L180" i="20"/>
  <c r="U180" i="20"/>
  <c r="AC180" i="20"/>
  <c r="J181" i="20"/>
  <c r="M181" i="20" s="1"/>
  <c r="K181" i="20"/>
  <c r="L181" i="20"/>
  <c r="S181" i="20"/>
  <c r="AC181" i="20"/>
  <c r="J182" i="20"/>
  <c r="L182" i="20" s="1"/>
  <c r="K182" i="20"/>
  <c r="S182" i="20"/>
  <c r="AC182" i="20"/>
  <c r="J183" i="20"/>
  <c r="K183" i="20"/>
  <c r="L183" i="20"/>
  <c r="S183" i="20"/>
  <c r="AC183" i="20"/>
  <c r="J184" i="20"/>
  <c r="L184" i="20" s="1"/>
  <c r="K184" i="20"/>
  <c r="S184" i="20"/>
  <c r="AC184" i="20"/>
  <c r="J185" i="20"/>
  <c r="K185" i="20"/>
  <c r="S185" i="20"/>
  <c r="AC185" i="20"/>
  <c r="J186" i="20"/>
  <c r="L186" i="20" s="1"/>
  <c r="K186" i="20"/>
  <c r="S186" i="20"/>
  <c r="AC186" i="20"/>
  <c r="T187" i="20"/>
  <c r="K188" i="20"/>
  <c r="S188" i="20"/>
  <c r="AC188" i="20"/>
  <c r="H189" i="20"/>
  <c r="H363" i="20" s="1"/>
  <c r="P189" i="20"/>
  <c r="S189" i="20"/>
  <c r="V189" i="20"/>
  <c r="W189" i="20"/>
  <c r="X189" i="20"/>
  <c r="Y189" i="20"/>
  <c r="Z189" i="20"/>
  <c r="AA189" i="20"/>
  <c r="AD189" i="20"/>
  <c r="Q191" i="20"/>
  <c r="K192" i="20"/>
  <c r="S192" i="20"/>
  <c r="AC192" i="20"/>
  <c r="AC220" i="20" s="1"/>
  <c r="K193" i="20"/>
  <c r="S193" i="20"/>
  <c r="AC193" i="20"/>
  <c r="R194" i="20"/>
  <c r="R220" i="20" s="1"/>
  <c r="R195" i="20"/>
  <c r="K196" i="20"/>
  <c r="M196" i="20" s="1"/>
  <c r="L196" i="20"/>
  <c r="Q196" i="20"/>
  <c r="AC196" i="20"/>
  <c r="T197" i="20"/>
  <c r="P198" i="20"/>
  <c r="AC198" i="20"/>
  <c r="P199" i="20"/>
  <c r="AC199" i="20"/>
  <c r="J200" i="20"/>
  <c r="L200" i="20" s="1"/>
  <c r="K200" i="20"/>
  <c r="P200" i="20"/>
  <c r="AC200" i="20"/>
  <c r="J201" i="20"/>
  <c r="L201" i="20" s="1"/>
  <c r="K201" i="20"/>
  <c r="P201" i="20"/>
  <c r="AC201" i="20"/>
  <c r="J202" i="20"/>
  <c r="K202" i="20"/>
  <c r="L202" i="20"/>
  <c r="M202" i="20"/>
  <c r="P202" i="20"/>
  <c r="J203" i="20"/>
  <c r="K203" i="20"/>
  <c r="L203" i="20"/>
  <c r="P203" i="20"/>
  <c r="AC203" i="20"/>
  <c r="J204" i="20"/>
  <c r="L204" i="20" s="1"/>
  <c r="K204" i="20"/>
  <c r="P204" i="20"/>
  <c r="AC204" i="20"/>
  <c r="J205" i="20"/>
  <c r="K205" i="20"/>
  <c r="P205" i="20"/>
  <c r="AC205" i="20"/>
  <c r="J206" i="20"/>
  <c r="L206" i="20" s="1"/>
  <c r="K206" i="20"/>
  <c r="P206" i="20"/>
  <c r="AC206" i="20"/>
  <c r="J207" i="20"/>
  <c r="M207" i="20" s="1"/>
  <c r="K207" i="20"/>
  <c r="P207" i="20"/>
  <c r="AC207" i="20"/>
  <c r="J208" i="20"/>
  <c r="L208" i="20" s="1"/>
  <c r="K208" i="20"/>
  <c r="P208" i="20"/>
  <c r="AC208" i="20"/>
  <c r="J209" i="20"/>
  <c r="L209" i="20" s="1"/>
  <c r="K209" i="20"/>
  <c r="P209" i="20"/>
  <c r="AC209" i="20"/>
  <c r="K210" i="20"/>
  <c r="L210" i="20"/>
  <c r="M210" i="20"/>
  <c r="P210" i="20"/>
  <c r="AC210" i="20"/>
  <c r="T211" i="20"/>
  <c r="K212" i="20"/>
  <c r="V212" i="20"/>
  <c r="AC212" i="20"/>
  <c r="K213" i="20"/>
  <c r="V213" i="20"/>
  <c r="AC213" i="20"/>
  <c r="K214" i="20"/>
  <c r="V214" i="20"/>
  <c r="AC214" i="20"/>
  <c r="K215" i="20"/>
  <c r="T215" i="20"/>
  <c r="AC215" i="20"/>
  <c r="K216" i="20"/>
  <c r="Z216" i="20"/>
  <c r="AC216" i="20"/>
  <c r="K217" i="20"/>
  <c r="Z217" i="20"/>
  <c r="AC217" i="20"/>
  <c r="K218" i="20"/>
  <c r="L218" i="20"/>
  <c r="M218" i="20"/>
  <c r="V218" i="20"/>
  <c r="AC218" i="20"/>
  <c r="J219" i="20"/>
  <c r="L219" i="20" s="1"/>
  <c r="K219" i="20"/>
  <c r="M219" i="20" s="1"/>
  <c r="S219" i="20"/>
  <c r="AC219" i="20"/>
  <c r="H220" i="20"/>
  <c r="P220" i="20"/>
  <c r="T220" i="20"/>
  <c r="U220" i="20"/>
  <c r="V220" i="20"/>
  <c r="W220" i="20"/>
  <c r="X220" i="20"/>
  <c r="Y220" i="20"/>
  <c r="Z220" i="20"/>
  <c r="AA220" i="20"/>
  <c r="AD220" i="20"/>
  <c r="J222" i="20"/>
  <c r="L222" i="20" s="1"/>
  <c r="K222" i="20"/>
  <c r="T222" i="20"/>
  <c r="AC222" i="20"/>
  <c r="J223" i="20"/>
  <c r="L223" i="20" s="1"/>
  <c r="K223" i="20"/>
  <c r="T223" i="20"/>
  <c r="AC223" i="20"/>
  <c r="J224" i="20"/>
  <c r="L224" i="20" s="1"/>
  <c r="K224" i="20"/>
  <c r="M224" i="20"/>
  <c r="R224" i="20"/>
  <c r="R250" i="20" s="1"/>
  <c r="AC224" i="20"/>
  <c r="K225" i="20"/>
  <c r="L225" i="20"/>
  <c r="M225" i="20"/>
  <c r="Q225" i="20"/>
  <c r="AC225" i="20"/>
  <c r="Q226" i="20"/>
  <c r="Q250" i="20" s="1"/>
  <c r="Q227" i="20"/>
  <c r="J228" i="20"/>
  <c r="M228" i="20" s="1"/>
  <c r="K228" i="20"/>
  <c r="L228" i="20"/>
  <c r="P228" i="20"/>
  <c r="P250" i="20" s="1"/>
  <c r="AC228" i="20"/>
  <c r="P229" i="20"/>
  <c r="AC229" i="20"/>
  <c r="J230" i="20"/>
  <c r="M230" i="20" s="1"/>
  <c r="K230" i="20"/>
  <c r="P230" i="20"/>
  <c r="AC230" i="20"/>
  <c r="J231" i="20"/>
  <c r="L231" i="20" s="1"/>
  <c r="K231" i="20"/>
  <c r="S231" i="20"/>
  <c r="AC231" i="20"/>
  <c r="J232" i="20"/>
  <c r="M232" i="20" s="1"/>
  <c r="K232" i="20"/>
  <c r="L232" i="20"/>
  <c r="S232" i="20"/>
  <c r="AC232" i="20"/>
  <c r="Q233" i="20"/>
  <c r="T234" i="20"/>
  <c r="T235" i="20"/>
  <c r="T236" i="20"/>
  <c r="T237" i="20"/>
  <c r="J238" i="20"/>
  <c r="L238" i="20" s="1"/>
  <c r="K238" i="20"/>
  <c r="Q238" i="20"/>
  <c r="T239" i="20"/>
  <c r="K240" i="20"/>
  <c r="M240" i="20" s="1"/>
  <c r="L240" i="20"/>
  <c r="W240" i="20"/>
  <c r="AC240" i="20"/>
  <c r="K241" i="20"/>
  <c r="M241" i="20" s="1"/>
  <c r="L241" i="20"/>
  <c r="V241" i="20"/>
  <c r="V250" i="20" s="1"/>
  <c r="AC241" i="20"/>
  <c r="T242" i="20"/>
  <c r="T243" i="20"/>
  <c r="T244" i="20"/>
  <c r="T245" i="20"/>
  <c r="J246" i="20"/>
  <c r="L246" i="20" s="1"/>
  <c r="K246" i="20"/>
  <c r="M246" i="20"/>
  <c r="S246" i="20"/>
  <c r="AC246" i="20"/>
  <c r="T247" i="20"/>
  <c r="J248" i="20"/>
  <c r="L248" i="20" s="1"/>
  <c r="K248" i="20"/>
  <c r="S248" i="20"/>
  <c r="AC248" i="20"/>
  <c r="J249" i="20"/>
  <c r="K249" i="20"/>
  <c r="S249" i="20"/>
  <c r="AC249" i="20"/>
  <c r="H250" i="20"/>
  <c r="H365" i="20" s="1"/>
  <c r="K250" i="20"/>
  <c r="S250" i="20"/>
  <c r="U250" i="20"/>
  <c r="W250" i="20"/>
  <c r="X250" i="20"/>
  <c r="Y250" i="20"/>
  <c r="Z250" i="20"/>
  <c r="AA250" i="20"/>
  <c r="AD250" i="20"/>
  <c r="AE250" i="20"/>
  <c r="T252" i="20"/>
  <c r="T253" i="20"/>
  <c r="T281" i="20" s="1"/>
  <c r="V254" i="20"/>
  <c r="W255" i="20"/>
  <c r="Q256" i="20"/>
  <c r="W257" i="20"/>
  <c r="Z258" i="20"/>
  <c r="K259" i="20"/>
  <c r="M259" i="20" s="1"/>
  <c r="L259" i="20"/>
  <c r="V259" i="20"/>
  <c r="AC259" i="20"/>
  <c r="K260" i="20"/>
  <c r="Z260" i="20"/>
  <c r="AC260" i="20"/>
  <c r="J261" i="20"/>
  <c r="K261" i="20"/>
  <c r="Q261" i="20"/>
  <c r="AC261" i="20"/>
  <c r="K262" i="20"/>
  <c r="Q262" i="20"/>
  <c r="AC262" i="20"/>
  <c r="K263" i="20"/>
  <c r="Q263" i="20"/>
  <c r="AC263" i="20"/>
  <c r="V264" i="20"/>
  <c r="W265" i="20"/>
  <c r="J266" i="20"/>
  <c r="M266" i="20" s="1"/>
  <c r="K266" i="20"/>
  <c r="R266" i="20"/>
  <c r="AC266" i="20"/>
  <c r="J267" i="20"/>
  <c r="M267" i="20" s="1"/>
  <c r="K267" i="20"/>
  <c r="R267" i="20"/>
  <c r="AC267" i="20"/>
  <c r="J268" i="20"/>
  <c r="M268" i="20" s="1"/>
  <c r="K268" i="20"/>
  <c r="R268" i="20"/>
  <c r="AC268" i="20"/>
  <c r="J269" i="20"/>
  <c r="M269" i="20" s="1"/>
  <c r="K269" i="20"/>
  <c r="L269" i="20"/>
  <c r="R269" i="20"/>
  <c r="AC269" i="20"/>
  <c r="K270" i="20"/>
  <c r="L270" i="20"/>
  <c r="M270" i="20"/>
  <c r="Q270" i="20"/>
  <c r="AC270" i="20"/>
  <c r="J271" i="20"/>
  <c r="L271" i="20" s="1"/>
  <c r="K271" i="20"/>
  <c r="M271" i="20" s="1"/>
  <c r="P271" i="20"/>
  <c r="AC271" i="20"/>
  <c r="P272" i="20"/>
  <c r="P281" i="20" s="1"/>
  <c r="AC272" i="20"/>
  <c r="J273" i="20"/>
  <c r="K273" i="20"/>
  <c r="M273" i="20" s="1"/>
  <c r="L273" i="20"/>
  <c r="P273" i="20"/>
  <c r="AC273" i="20"/>
  <c r="J274" i="20"/>
  <c r="L274" i="20" s="1"/>
  <c r="K274" i="20"/>
  <c r="S274" i="20"/>
  <c r="AC274" i="20"/>
  <c r="J275" i="20"/>
  <c r="L275" i="20" s="1"/>
  <c r="K275" i="20"/>
  <c r="S275" i="20"/>
  <c r="S281" i="20" s="1"/>
  <c r="AC275" i="20"/>
  <c r="S276" i="20"/>
  <c r="J277" i="20"/>
  <c r="K277" i="20"/>
  <c r="L277" i="20"/>
  <c r="S277" i="20"/>
  <c r="AC277" i="20"/>
  <c r="H281" i="20"/>
  <c r="K281" i="20"/>
  <c r="U281" i="20"/>
  <c r="W281" i="20"/>
  <c r="X281" i="20"/>
  <c r="Y281" i="20"/>
  <c r="AA281" i="20"/>
  <c r="AD281" i="20"/>
  <c r="AC283" i="20"/>
  <c r="AC285" i="20"/>
  <c r="AC286" i="20"/>
  <c r="AC287" i="20"/>
  <c r="AC288" i="20"/>
  <c r="AC289" i="20"/>
  <c r="AC290" i="20"/>
  <c r="AC291" i="20"/>
  <c r="AC292" i="20"/>
  <c r="AC300" i="20"/>
  <c r="AC301" i="20"/>
  <c r="AC302" i="20"/>
  <c r="AC303" i="20"/>
  <c r="AC304" i="20"/>
  <c r="AC305" i="20"/>
  <c r="AC306" i="20"/>
  <c r="H308" i="20"/>
  <c r="J308" i="20"/>
  <c r="K308" i="20"/>
  <c r="L308" i="20"/>
  <c r="AG308" i="20" s="1"/>
  <c r="M308" i="20"/>
  <c r="P308" i="20"/>
  <c r="Q308" i="20"/>
  <c r="T308" i="20"/>
  <c r="U308" i="20"/>
  <c r="W308" i="20"/>
  <c r="X308" i="20"/>
  <c r="AA308" i="20"/>
  <c r="AD308" i="20"/>
  <c r="H327" i="20"/>
  <c r="J327" i="20"/>
  <c r="K327" i="20"/>
  <c r="L327" i="20"/>
  <c r="M327" i="20"/>
  <c r="P327" i="20"/>
  <c r="Q327" i="20"/>
  <c r="T327" i="20"/>
  <c r="U327" i="20"/>
  <c r="W327" i="20"/>
  <c r="X327" i="20"/>
  <c r="AA327" i="20"/>
  <c r="AC327" i="20"/>
  <c r="AD327" i="20"/>
  <c r="H348" i="20"/>
  <c r="J348" i="20"/>
  <c r="K348" i="20"/>
  <c r="L348" i="20"/>
  <c r="M348" i="20"/>
  <c r="P348" i="20"/>
  <c r="Q348" i="20"/>
  <c r="T348" i="20"/>
  <c r="U348" i="20"/>
  <c r="W348" i="20"/>
  <c r="X348" i="20"/>
  <c r="AA348" i="20"/>
  <c r="AC348" i="20"/>
  <c r="AD348" i="20"/>
  <c r="H364" i="20"/>
  <c r="A4" i="12"/>
  <c r="H10" i="12"/>
  <c r="H13" i="12" s="1"/>
  <c r="H11" i="12"/>
  <c r="F13" i="12"/>
  <c r="G13" i="12"/>
  <c r="H40" i="10"/>
  <c r="G12" i="9"/>
  <c r="H12" i="9"/>
  <c r="I12" i="9"/>
  <c r="G12" i="8"/>
  <c r="H12" i="8"/>
  <c r="I12" i="8"/>
  <c r="H36" i="7"/>
  <c r="H44" i="6"/>
  <c r="J44" i="6"/>
  <c r="W350" i="20" l="1"/>
  <c r="Z40" i="20"/>
  <c r="P350" i="20"/>
  <c r="AC189" i="20"/>
  <c r="AC308" i="20"/>
  <c r="M205" i="20"/>
  <c r="S220" i="20"/>
  <c r="M175" i="20"/>
  <c r="M166" i="20"/>
  <c r="M149" i="20"/>
  <c r="M143" i="20"/>
  <c r="M110" i="20"/>
  <c r="M107" i="20"/>
  <c r="M99" i="20"/>
  <c r="M94" i="20"/>
  <c r="M82" i="20"/>
  <c r="P96" i="20"/>
  <c r="AC96" i="20"/>
  <c r="M62" i="20"/>
  <c r="M58" i="20"/>
  <c r="AA350" i="20"/>
  <c r="M277" i="20"/>
  <c r="L266" i="20"/>
  <c r="V281" i="20"/>
  <c r="Q281" i="20"/>
  <c r="Z281" i="20"/>
  <c r="L230" i="20"/>
  <c r="L250" i="20" s="1"/>
  <c r="AG250" i="20" s="1"/>
  <c r="L207" i="20"/>
  <c r="M203" i="20"/>
  <c r="M201" i="20"/>
  <c r="M200" i="20"/>
  <c r="M183" i="20"/>
  <c r="M173" i="20"/>
  <c r="L164" i="20"/>
  <c r="T189" i="20"/>
  <c r="T350" i="20" s="1"/>
  <c r="M151" i="20"/>
  <c r="Z147" i="20"/>
  <c r="P152" i="20"/>
  <c r="AG152" i="20" s="1"/>
  <c r="M124" i="20"/>
  <c r="W125" i="20"/>
  <c r="Z113" i="20"/>
  <c r="Z125" i="20" s="1"/>
  <c r="L112" i="20"/>
  <c r="L103" i="20"/>
  <c r="L101" i="20"/>
  <c r="M88" i="20"/>
  <c r="L84" i="20"/>
  <c r="M75" i="20"/>
  <c r="L69" i="20"/>
  <c r="M52" i="20"/>
  <c r="AC66" i="20"/>
  <c r="AC350" i="20" s="1"/>
  <c r="M46" i="20"/>
  <c r="L40" i="20"/>
  <c r="T250" i="20"/>
  <c r="X350" i="20"/>
  <c r="M249" i="20"/>
  <c r="AC250" i="20"/>
  <c r="J220" i="20"/>
  <c r="M185" i="20"/>
  <c r="M155" i="20"/>
  <c r="H152" i="20"/>
  <c r="H362" i="20" s="1"/>
  <c r="S125" i="20"/>
  <c r="M90" i="20"/>
  <c r="V66" i="20"/>
  <c r="M48" i="20"/>
  <c r="Q40" i="20"/>
  <c r="AG348" i="20"/>
  <c r="M275" i="20"/>
  <c r="M274" i="20"/>
  <c r="L249" i="20"/>
  <c r="M238" i="20"/>
  <c r="M223" i="20"/>
  <c r="M250" i="20" s="1"/>
  <c r="M222" i="20"/>
  <c r="L205" i="20"/>
  <c r="K220" i="20"/>
  <c r="Q220" i="20"/>
  <c r="L185" i="20"/>
  <c r="L175" i="20"/>
  <c r="M169" i="20"/>
  <c r="M165" i="20"/>
  <c r="L155" i="20"/>
  <c r="Z150" i="20"/>
  <c r="L149" i="20"/>
  <c r="L147" i="20"/>
  <c r="L143" i="20"/>
  <c r="V152" i="20"/>
  <c r="J125" i="20"/>
  <c r="L110" i="20"/>
  <c r="M106" i="20"/>
  <c r="M102" i="20"/>
  <c r="L99" i="20"/>
  <c r="L125" i="20" s="1"/>
  <c r="L94" i="20"/>
  <c r="L90" i="20"/>
  <c r="M86" i="20"/>
  <c r="L82" i="20"/>
  <c r="R96" i="20"/>
  <c r="AG96" i="20" s="1"/>
  <c r="M73" i="20"/>
  <c r="M70" i="20"/>
  <c r="M68" i="20"/>
  <c r="H66" i="20"/>
  <c r="H359" i="20" s="1"/>
  <c r="J359" i="20" s="1"/>
  <c r="J360" i="20" s="1"/>
  <c r="M61" i="20"/>
  <c r="M57" i="20"/>
  <c r="R66" i="20"/>
  <c r="AG66" i="20" s="1"/>
  <c r="L48" i="20"/>
  <c r="P66" i="20"/>
  <c r="M44" i="20"/>
  <c r="J40" i="20"/>
  <c r="M35" i="20"/>
  <c r="M40" i="20" s="1"/>
  <c r="U40" i="20"/>
  <c r="L268" i="20"/>
  <c r="J281" i="20"/>
  <c r="AC281" i="20"/>
  <c r="L267" i="20"/>
  <c r="R281" i="20"/>
  <c r="L189" i="20"/>
  <c r="AG189" i="20" s="1"/>
  <c r="Q350" i="20"/>
  <c r="AG327" i="20"/>
  <c r="L220" i="20"/>
  <c r="AG220" i="20" s="1"/>
  <c r="U350" i="20"/>
  <c r="M261" i="20"/>
  <c r="M248" i="20"/>
  <c r="M231" i="20"/>
  <c r="M209" i="20"/>
  <c r="AC150" i="20"/>
  <c r="K150" i="20"/>
  <c r="M150" i="20" s="1"/>
  <c r="M147" i="20"/>
  <c r="AC113" i="20"/>
  <c r="AC125" i="20" s="1"/>
  <c r="K113" i="20"/>
  <c r="M113" i="20" s="1"/>
  <c r="M95" i="20"/>
  <c r="M93" i="20"/>
  <c r="M89" i="20"/>
  <c r="M87" i="20"/>
  <c r="M85" i="20"/>
  <c r="M83" i="20"/>
  <c r="M81" i="20"/>
  <c r="M74" i="20"/>
  <c r="M50" i="20"/>
  <c r="M47" i="20"/>
  <c r="M45" i="20"/>
  <c r="M43" i="20"/>
  <c r="L261" i="20"/>
  <c r="J250" i="20"/>
  <c r="M208" i="20"/>
  <c r="M206" i="20"/>
  <c r="M204" i="20"/>
  <c r="J189" i="20"/>
  <c r="M186" i="20"/>
  <c r="M184" i="20"/>
  <c r="M182" i="20"/>
  <c r="M176" i="20"/>
  <c r="M174" i="20"/>
  <c r="M172" i="20"/>
  <c r="M156" i="20"/>
  <c r="M154" i="20"/>
  <c r="M148" i="20"/>
  <c r="AC147" i="20"/>
  <c r="M144" i="20"/>
  <c r="H125" i="20"/>
  <c r="M115" i="20"/>
  <c r="M111" i="20"/>
  <c r="M100" i="20"/>
  <c r="M98" i="20"/>
  <c r="K40" i="20"/>
  <c r="J350" i="20" l="1"/>
  <c r="Z152" i="20"/>
  <c r="M281" i="20"/>
  <c r="M189" i="20"/>
  <c r="K125" i="20"/>
  <c r="M220" i="20"/>
  <c r="L281" i="20"/>
  <c r="AG281" i="20" s="1"/>
  <c r="AG40" i="20"/>
  <c r="H350" i="20"/>
  <c r="AC351" i="20" s="1"/>
  <c r="H361" i="20"/>
  <c r="J361" i="20" s="1"/>
  <c r="J362" i="20" s="1"/>
  <c r="J363" i="20" s="1"/>
  <c r="J364" i="20" s="1"/>
  <c r="J365" i="20" s="1"/>
  <c r="J366" i="20" s="1"/>
  <c r="J367" i="20" s="1"/>
  <c r="J368" i="20" s="1"/>
  <c r="J369" i="20" s="1"/>
  <c r="K350" i="20"/>
  <c r="M125" i="20"/>
  <c r="M350" i="20" s="1"/>
  <c r="AG125" i="20"/>
  <c r="S13" i="1"/>
  <c r="Q13" i="1"/>
  <c r="O13" i="1"/>
  <c r="K13" i="1"/>
  <c r="G13" i="1"/>
  <c r="M4" i="1"/>
  <c r="O44" i="1"/>
  <c r="P44" i="1" s="1"/>
  <c r="K44" i="1"/>
  <c r="L44" i="1" s="1"/>
  <c r="Q44" i="1"/>
  <c r="R44" i="1" s="1"/>
  <c r="R46" i="1" s="1"/>
  <c r="O38" i="1"/>
  <c r="P38" i="1" s="1"/>
  <c r="AC38" i="1" s="1"/>
  <c r="K11" i="1"/>
  <c r="L350" i="20" l="1"/>
  <c r="AC44" i="1"/>
  <c r="P46" i="1"/>
  <c r="K9" i="1"/>
  <c r="K33" i="1"/>
  <c r="L33" i="1" s="1"/>
  <c r="AC33" i="1" s="1"/>
  <c r="O18" i="1"/>
  <c r="Q18" i="1"/>
  <c r="K18" i="1"/>
  <c r="K21" i="1"/>
  <c r="Q21" i="1"/>
  <c r="Y32" i="1"/>
  <c r="L9" i="1" l="1"/>
  <c r="AC4" i="1"/>
  <c r="L46" i="1" l="1"/>
  <c r="AA47" i="1" s="1"/>
  <c r="AC9" i="1"/>
  <c r="AC46" i="1" s="1"/>
  <c r="B60" i="1" s="1"/>
</calcChain>
</file>

<file path=xl/comments1.xml><?xml version="1.0" encoding="utf-8"?>
<comments xmlns="http://schemas.openxmlformats.org/spreadsheetml/2006/main">
  <authors>
    <author>user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tanggalnya?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invoice?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Kak Putri</t>
        </r>
      </text>
    </comment>
  </commentList>
</comments>
</file>

<file path=xl/comments2.xml><?xml version="1.0" encoding="utf-8"?>
<comments xmlns="http://schemas.openxmlformats.org/spreadsheetml/2006/main">
  <authors>
    <author>Evans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</commentList>
</comments>
</file>

<file path=xl/comments3.xml><?xml version="1.0" encoding="utf-8"?>
<comments xmlns="http://schemas.openxmlformats.org/spreadsheetml/2006/main">
  <authors>
    <author>EvansEvans</author>
    <author>Evans</author>
  </authors>
  <commentList>
    <comment ref="S29" authorId="0">
      <text>
        <r>
          <rPr>
            <b/>
            <sz val="9"/>
            <color indexed="81"/>
            <rFont val="Tahoma"/>
            <family val="2"/>
          </rPr>
          <t>EvansEvans:</t>
        </r>
        <r>
          <rPr>
            <sz val="9"/>
            <color indexed="81"/>
            <rFont val="Tahoma"/>
            <family val="2"/>
          </rPr>
          <t xml:space="preserve">
Set up rep office svc</t>
        </r>
      </text>
    </comment>
    <comment ref="DU35" authorId="1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FY 2015</t>
        </r>
      </text>
    </comment>
  </commentList>
</comments>
</file>

<file path=xl/sharedStrings.xml><?xml version="1.0" encoding="utf-8"?>
<sst xmlns="http://schemas.openxmlformats.org/spreadsheetml/2006/main" count="3752" uniqueCount="868">
  <si>
    <t xml:space="preserve">BUSINESS SERVICE &amp; OUTSOURCING </t>
  </si>
  <si>
    <t xml:space="preserve">CLIENTS LIST </t>
  </si>
  <si>
    <t>Existing Clients List - 2017</t>
  </si>
  <si>
    <t>Services</t>
  </si>
  <si>
    <t>Company's name</t>
  </si>
  <si>
    <t>Date of engagement</t>
  </si>
  <si>
    <t>Currency</t>
  </si>
  <si>
    <t>Monthly compliance</t>
  </si>
  <si>
    <t>Annual compliance</t>
  </si>
  <si>
    <t>Payroll</t>
  </si>
  <si>
    <t>Treasury</t>
  </si>
  <si>
    <t>SFS</t>
  </si>
  <si>
    <t>BDO UK fees</t>
  </si>
  <si>
    <t>Ad hoc - Qtrly Rep</t>
  </si>
  <si>
    <t>Annual combined fee (USD)</t>
  </si>
  <si>
    <t>Allightsykes, PT</t>
  </si>
  <si>
    <t>USD</t>
  </si>
  <si>
    <t>Apple</t>
  </si>
  <si>
    <t>IDR</t>
  </si>
  <si>
    <t>HAT</t>
  </si>
  <si>
    <t xml:space="preserve">BUT SITA Telecommunications  </t>
  </si>
  <si>
    <t>Biomin Indonesia, PT</t>
  </si>
  <si>
    <t>Blue Coat Systems Indonesia, PT</t>
  </si>
  <si>
    <t>Brandtone</t>
  </si>
  <si>
    <t>BT Communications Indonesia</t>
  </si>
  <si>
    <t>BT Indonesia</t>
  </si>
  <si>
    <t xml:space="preserve">CFX Indonesia, PT </t>
  </si>
  <si>
    <t>CNTIC</t>
  </si>
  <si>
    <t>Comba Telecom, PT</t>
  </si>
  <si>
    <t>Facebook</t>
  </si>
  <si>
    <t>Infor Software Indonesia</t>
  </si>
  <si>
    <t>LCWaikiki Retail Indonesia, PT</t>
  </si>
  <si>
    <t>EVZ</t>
  </si>
  <si>
    <t>Motorola Mobility Indonesia, PT</t>
  </si>
  <si>
    <t>Mindray</t>
  </si>
  <si>
    <t>Mphasis Indonesia, PT</t>
  </si>
  <si>
    <t>PJD</t>
  </si>
  <si>
    <t>OIA International SCM Co</t>
  </si>
  <si>
    <t>PPD Development (S) Pte Ltd</t>
  </si>
  <si>
    <t>Rep. Office Twitter Asia Pacific Pte Ltd</t>
  </si>
  <si>
    <t>Stemtech Indonesia, PT</t>
  </si>
  <si>
    <t>SITA ,PT</t>
  </si>
  <si>
    <t>Sun Microsystems Indonesia</t>
  </si>
  <si>
    <t>BLN CREADOR SDN BHD</t>
  </si>
  <si>
    <t>PIC</t>
  </si>
  <si>
    <t>Expiry date of engagement</t>
  </si>
  <si>
    <t>Monthly bookeeping</t>
  </si>
  <si>
    <t>Annual  bookeeping</t>
  </si>
  <si>
    <t>Corp Secretarial</t>
  </si>
  <si>
    <t>Reminder to the client</t>
  </si>
  <si>
    <t>Remarks</t>
  </si>
  <si>
    <t>Work Permit</t>
  </si>
  <si>
    <t>GBP</t>
  </si>
  <si>
    <t>CNBC</t>
  </si>
  <si>
    <t>Recurring Services</t>
  </si>
  <si>
    <t>Company Incorporation</t>
  </si>
  <si>
    <t>Liquidation Advisory</t>
  </si>
  <si>
    <t>Tax Review</t>
  </si>
  <si>
    <t>Revocation of TIN</t>
  </si>
  <si>
    <t>Tax Audit Assistance</t>
  </si>
  <si>
    <t>Business Study</t>
  </si>
  <si>
    <t>Altron Indonesia</t>
  </si>
  <si>
    <t>Birdwood Enterprises</t>
  </si>
  <si>
    <t>HRNet One</t>
  </si>
  <si>
    <t>De Bock Maritiem</t>
  </si>
  <si>
    <t>Licenses</t>
  </si>
  <si>
    <t>Gamesa Wind (TianJin) Co.,ltd</t>
  </si>
  <si>
    <t xml:space="preserve">Wolters Kluwer Financial Services Indonesia, PT </t>
  </si>
  <si>
    <t>MAY</t>
  </si>
  <si>
    <t>Non- Recurring Services</t>
  </si>
  <si>
    <t>Astrazeneca Indonesia, PT</t>
  </si>
  <si>
    <t>Creador Kapital, PT</t>
  </si>
  <si>
    <t>Zebra, PT</t>
  </si>
  <si>
    <t>Team members</t>
  </si>
  <si>
    <t>BBR</t>
  </si>
  <si>
    <t>Covestro</t>
  </si>
  <si>
    <t>Borouge</t>
  </si>
  <si>
    <t>Triumph Motorcycles Indonesia, PT</t>
  </si>
  <si>
    <t xml:space="preserve">HRNet </t>
  </si>
  <si>
    <t>Altron</t>
  </si>
  <si>
    <t>Birdwood</t>
  </si>
  <si>
    <t>De Bock</t>
  </si>
  <si>
    <t>One97</t>
  </si>
  <si>
    <t>Pryda</t>
  </si>
  <si>
    <t>UTi</t>
  </si>
  <si>
    <t>SIS</t>
  </si>
  <si>
    <t>Zebra</t>
  </si>
  <si>
    <t>PPD</t>
  </si>
  <si>
    <t>Vcube</t>
  </si>
  <si>
    <t>DDP</t>
  </si>
  <si>
    <t>Wolters Kluwer</t>
  </si>
  <si>
    <t>Mphasis</t>
  </si>
  <si>
    <t>Marel</t>
  </si>
  <si>
    <t>Twitter</t>
  </si>
  <si>
    <t>MMI</t>
  </si>
  <si>
    <t>Unit4</t>
  </si>
  <si>
    <t>RKU</t>
  </si>
  <si>
    <t>PT Creador Kapital</t>
  </si>
  <si>
    <t>VSA</t>
  </si>
  <si>
    <t>Comba</t>
  </si>
  <si>
    <t>UNN</t>
  </si>
  <si>
    <t>Infor</t>
  </si>
  <si>
    <t>Marecal Electric</t>
  </si>
  <si>
    <t>PT Creador</t>
  </si>
  <si>
    <t>Stemtech</t>
  </si>
  <si>
    <t>ELZ</t>
  </si>
  <si>
    <t>Triumph</t>
  </si>
  <si>
    <t>SRK Consulting</t>
  </si>
  <si>
    <t>Creador</t>
  </si>
  <si>
    <t>SITA, PT</t>
  </si>
  <si>
    <t>LC Waikiki</t>
  </si>
  <si>
    <t>CFX</t>
  </si>
  <si>
    <t>Anest Iwata</t>
  </si>
  <si>
    <t>BCSI</t>
  </si>
  <si>
    <t>SITA, BUT</t>
  </si>
  <si>
    <t>FIS</t>
  </si>
  <si>
    <t>BT (3)</t>
  </si>
  <si>
    <t>Aegis</t>
  </si>
  <si>
    <t>IDP</t>
  </si>
  <si>
    <t>Oshkosh</t>
  </si>
  <si>
    <t>Audatex</t>
  </si>
  <si>
    <t>OIA</t>
  </si>
  <si>
    <t>Ironclad</t>
  </si>
  <si>
    <t>BHP (9)</t>
  </si>
  <si>
    <t>Tanah mas</t>
  </si>
  <si>
    <t>AstraZeneca</t>
  </si>
  <si>
    <t>Biomin</t>
  </si>
  <si>
    <t xml:space="preserve">ELZ </t>
  </si>
  <si>
    <t>AGFA</t>
  </si>
  <si>
    <t>Allightsykes</t>
  </si>
  <si>
    <t>Discontinued</t>
  </si>
  <si>
    <t>Pipeline</t>
  </si>
  <si>
    <t>Project Based</t>
  </si>
  <si>
    <t>Client</t>
  </si>
  <si>
    <t>MEL</t>
  </si>
  <si>
    <t>MBU</t>
  </si>
  <si>
    <t>FER</t>
  </si>
  <si>
    <t xml:space="preserve">Amount </t>
  </si>
  <si>
    <t xml:space="preserve">Invoice No. </t>
  </si>
  <si>
    <t xml:space="preserve">Client </t>
  </si>
  <si>
    <t xml:space="preserve">Pending Payments </t>
  </si>
  <si>
    <t>Contribution</t>
  </si>
  <si>
    <t>BSO Target</t>
  </si>
  <si>
    <t xml:space="preserve">Total </t>
  </si>
  <si>
    <t xml:space="preserve">IDR (Tax Base) </t>
  </si>
  <si>
    <t>AUD</t>
  </si>
  <si>
    <t xml:space="preserve">USD </t>
  </si>
  <si>
    <t xml:space="preserve">Period </t>
  </si>
  <si>
    <t xml:space="preserve">Per Client </t>
  </si>
  <si>
    <t>SUBTOTAL</t>
  </si>
  <si>
    <t>IDR (assumption)</t>
  </si>
  <si>
    <t>Date of Invoice</t>
  </si>
  <si>
    <t>Month</t>
  </si>
  <si>
    <t>Description</t>
  </si>
  <si>
    <t>Name of the Company</t>
  </si>
  <si>
    <t xml:space="preserve">SCHEDULE INVOICES - APRIL 2016 </t>
  </si>
  <si>
    <t xml:space="preserve">SCHEDULE INVOICES - JULY 2016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</si>
  <si>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</si>
  <si>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</si>
  <si>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</si>
  <si>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</si>
  <si>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</si>
  <si>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</si>
  <si>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</si>
  <si>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</si>
  <si>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</si>
  <si>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</si>
  <si>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</si>
  <si>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</si>
  <si>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Outstanding Fee</t>
  </si>
  <si>
    <t>TOTAL</t>
  </si>
  <si>
    <t>TOTAL DECEMBER</t>
  </si>
  <si>
    <t>DEC</t>
  </si>
  <si>
    <t>TOTAL NOVEMBER</t>
  </si>
  <si>
    <t>NOV</t>
  </si>
  <si>
    <t>TOTAL OCTOBER</t>
  </si>
  <si>
    <t>OCT</t>
  </si>
  <si>
    <t>TOTAL SEPTEMBER</t>
  </si>
  <si>
    <t>Pending</t>
  </si>
  <si>
    <t>BOK</t>
  </si>
  <si>
    <t>RMI</t>
  </si>
  <si>
    <t>010.033-16.30677107</t>
  </si>
  <si>
    <t>16/09/2016</t>
  </si>
  <si>
    <t>September 2016</t>
  </si>
  <si>
    <t>Bookkeeping Services</t>
  </si>
  <si>
    <t>PT Comba Telecom</t>
  </si>
  <si>
    <t>COR</t>
  </si>
  <si>
    <t>010.033-16.30677106</t>
  </si>
  <si>
    <t>15/09/2016</t>
  </si>
  <si>
    <t>Q3 2016</t>
  </si>
  <si>
    <t>Corporate Secretarial Services</t>
  </si>
  <si>
    <t>PT SUN Microsystem Indonesia</t>
  </si>
  <si>
    <t>010.033-16.30677105</t>
  </si>
  <si>
    <t>PT BT Indonesia</t>
  </si>
  <si>
    <t>010.033-16.30677104</t>
  </si>
  <si>
    <t>010.033-16.30677103</t>
  </si>
  <si>
    <t>October 2016 - December 2016</t>
  </si>
  <si>
    <t>Secretarial Services</t>
  </si>
  <si>
    <t>PPD Development (S) PTE LTD</t>
  </si>
  <si>
    <t>COM</t>
  </si>
  <si>
    <t>010.033-16.30677102</t>
  </si>
  <si>
    <t>Administration Services</t>
  </si>
  <si>
    <t>PT Motorola Mobility Indonesia</t>
  </si>
  <si>
    <t>010.033-16.30677101</t>
  </si>
  <si>
    <t>Registered Address</t>
  </si>
  <si>
    <t>010.033-16.30677100</t>
  </si>
  <si>
    <t>Compliance Services</t>
  </si>
  <si>
    <t>BHLN Creador SDN BHD</t>
  </si>
  <si>
    <t>010.033-16.30677099</t>
  </si>
  <si>
    <t>July 2016 - September 2016</t>
  </si>
  <si>
    <t>Bookkeeping, Compliance (Monthly &amp; Annual), Payroll Preparation &amp; Treasury Services</t>
  </si>
  <si>
    <t>PT Blue Coat Systems Indonesia</t>
  </si>
  <si>
    <t>PYR</t>
  </si>
  <si>
    <t>010.033-16.30677098</t>
  </si>
  <si>
    <t>May 2016 - July 2016</t>
  </si>
  <si>
    <t>Payroll Services</t>
  </si>
  <si>
    <t>PT Mphasis Indonesia</t>
  </si>
  <si>
    <t>010.033-16.30677097</t>
  </si>
  <si>
    <t>Q2 2016</t>
  </si>
  <si>
    <t>LKPM Preparation</t>
  </si>
  <si>
    <t>April 2016 - June 2016</t>
  </si>
  <si>
    <t>ITGC</t>
  </si>
  <si>
    <t>ADS</t>
  </si>
  <si>
    <t>010.033-16.30677096</t>
  </si>
  <si>
    <t>II</t>
  </si>
  <si>
    <t>IT Audit for E-Banking &amp; Penetration Test</t>
  </si>
  <si>
    <t>PT Bank Shinhan</t>
  </si>
  <si>
    <t>MC</t>
  </si>
  <si>
    <t>AAA</t>
  </si>
  <si>
    <t>010.033-16.30677095</t>
  </si>
  <si>
    <t>Re-measurement &amp; Translation</t>
  </si>
  <si>
    <t>PT KSB Indonesia</t>
  </si>
  <si>
    <t>010.033-16.30677093</t>
  </si>
  <si>
    <t>Additional Provision of Professional Services</t>
  </si>
  <si>
    <t>PT Mindray Medical Indonesia</t>
  </si>
  <si>
    <t>June - August 2016</t>
  </si>
  <si>
    <t>Monthly Compliance Services</t>
  </si>
  <si>
    <t>010.033-16.30677092</t>
  </si>
  <si>
    <t>Assistance to Registration of Foreign Loan Notifications to BI</t>
  </si>
  <si>
    <t>PT Brandtone Indonesia Data Services</t>
  </si>
  <si>
    <t>FOR</t>
  </si>
  <si>
    <t>PCL</t>
  </si>
  <si>
    <t>010.033-16.30677091</t>
  </si>
  <si>
    <t>Due Diligence Research on PT Srikrung Perkasa</t>
  </si>
  <si>
    <t>BDO USA, LLP</t>
  </si>
  <si>
    <t>010.033-16.30677090</t>
  </si>
  <si>
    <t>20 June - 02 September 2016</t>
  </si>
  <si>
    <t>Out of Pocket Expenses</t>
  </si>
  <si>
    <t>Taman Safari Indonesia</t>
  </si>
  <si>
    <t>Received</t>
  </si>
  <si>
    <t>010.033-16.30677089</t>
  </si>
  <si>
    <t>06 September 2016</t>
  </si>
  <si>
    <t>First Payment of Professional Services</t>
  </si>
  <si>
    <t>PT Bakrie Sumatera Plantations Tbk</t>
  </si>
  <si>
    <t>010.033-16.30677088</t>
  </si>
  <si>
    <t>Project Management Services</t>
  </si>
  <si>
    <t>PT Forisa Nusapersada</t>
  </si>
  <si>
    <t>010.033-16.30677087</t>
  </si>
  <si>
    <t>Professional Services</t>
  </si>
  <si>
    <t>PT Apple Indonesia</t>
  </si>
  <si>
    <t>010.033-16.30677086</t>
  </si>
  <si>
    <t>IT Audit</t>
  </si>
  <si>
    <t>010.033-16.30677085</t>
  </si>
  <si>
    <t>Consultancy Services</t>
  </si>
  <si>
    <t>Badan Pelaksana Kegiatan Usaha Hulu Minyak Gas Bumi</t>
  </si>
  <si>
    <t>010.033-16.30677084</t>
  </si>
  <si>
    <t>010.033-16.30677083</t>
  </si>
  <si>
    <t>Gamesa Wind</t>
  </si>
  <si>
    <t>SEPT</t>
  </si>
  <si>
    <t>TOTAL AUGUST</t>
  </si>
  <si>
    <t>010.033-16.30677082</t>
  </si>
  <si>
    <t>30/08/2016</t>
  </si>
  <si>
    <t>Direct Taxes - CIT</t>
  </si>
  <si>
    <t>PT Sita Information Networking Computing</t>
  </si>
  <si>
    <t>010.033-16.30677081</t>
  </si>
  <si>
    <t>Indirect Taxes</t>
  </si>
  <si>
    <t>010.033-16.30677080</t>
  </si>
  <si>
    <t>June 2016 - August 2016</t>
  </si>
  <si>
    <t>PT Triumph Motorcycles Indonesia</t>
  </si>
  <si>
    <t>010.033-16.30677079</t>
  </si>
  <si>
    <t>August 2016</t>
  </si>
  <si>
    <t>010.033-16.30677078</t>
  </si>
  <si>
    <t>Payroll, Compliance, Treasury, Bookkeeping &amp; Corporate Secretarial Services</t>
  </si>
  <si>
    <t>PT Audatex Solusi Indonesia</t>
  </si>
  <si>
    <t>July - August 2016</t>
  </si>
  <si>
    <t>Payroll, Compliance &amp; Corporate Secretarial Services</t>
  </si>
  <si>
    <t>Set Up Fee</t>
  </si>
  <si>
    <t>010.033-16.30677077</t>
  </si>
  <si>
    <t>31 August 2016</t>
  </si>
  <si>
    <t>Professional Services - Douglas George</t>
  </si>
  <si>
    <t>BDO East Coast Partnership - Melbourne</t>
  </si>
  <si>
    <t>010.033-16.30677076</t>
  </si>
  <si>
    <t>11 July 2016 - 20 August 2016</t>
  </si>
  <si>
    <t>010.033-16.30677075</t>
  </si>
  <si>
    <t>January 2016 - June 2016</t>
  </si>
  <si>
    <t>010.033-16.30677074</t>
  </si>
  <si>
    <t>Professional Services - Constraint Technologies</t>
  </si>
  <si>
    <t>010.033-16.30677073</t>
  </si>
  <si>
    <t>BHLN Facebook Singapore PTE LTD</t>
  </si>
  <si>
    <t>010.033-16.30677072</t>
  </si>
  <si>
    <t>Monthly Payroll Services</t>
  </si>
  <si>
    <t>Monthly Bookkeeping, Compliance &amp; Treasury Services</t>
  </si>
  <si>
    <t>Set Up Cost</t>
  </si>
  <si>
    <t>010.033-16.30677071</t>
  </si>
  <si>
    <t>010.033-16.30677070</t>
  </si>
  <si>
    <t>Profesional Services</t>
  </si>
  <si>
    <t>010.033-16.30677069</t>
  </si>
  <si>
    <t>But Sita Telecomunications / Societe Intr.</t>
  </si>
  <si>
    <t>010.033-16.30677068</t>
  </si>
  <si>
    <t>010.033-16.30677067</t>
  </si>
  <si>
    <t>January 2016 - March 2016</t>
  </si>
  <si>
    <t>PT CFX Indonesia</t>
  </si>
  <si>
    <t>010.033-16.30677066</t>
  </si>
  <si>
    <t>010.033-16.30677065</t>
  </si>
  <si>
    <t>Registered Address - Secretariat Services</t>
  </si>
  <si>
    <t>010.033-16.30677064</t>
  </si>
  <si>
    <t>010.033-16.30677063</t>
  </si>
  <si>
    <t>010.033-16.30677062</t>
  </si>
  <si>
    <t>August 2016 - October 2016</t>
  </si>
  <si>
    <t>010.033-16.30677061</t>
  </si>
  <si>
    <t>Monthly Accounting, Payroll, Compliance &amp; Corporate Secretarial Services</t>
  </si>
  <si>
    <t>PT Wolters Kluwers Financial Services Indonesia</t>
  </si>
  <si>
    <t>AUGUST</t>
  </si>
  <si>
    <t>TOTAL JULY</t>
  </si>
  <si>
    <t>010.033-16.30677060</t>
  </si>
  <si>
    <t>27/07/2016</t>
  </si>
  <si>
    <t>July 2016</t>
  </si>
  <si>
    <t>010.033-16.30677059</t>
  </si>
  <si>
    <t>26/07/2016</t>
  </si>
  <si>
    <t>010.033-16.30677058</t>
  </si>
  <si>
    <t>25/07/2016</t>
  </si>
  <si>
    <t>SUEK AG</t>
  </si>
  <si>
    <t>Final Payment</t>
  </si>
  <si>
    <t>Due Diligence Research Services</t>
  </si>
  <si>
    <t>010.033-16.30677057</t>
  </si>
  <si>
    <t>Outsource Compliance Work for Howson Superannuation Fund</t>
  </si>
  <si>
    <t>IA</t>
  </si>
  <si>
    <t>010.033-16.30677056</t>
  </si>
  <si>
    <t>Manhour for MSA Safety Project</t>
  </si>
  <si>
    <t>020.033-16.30677055</t>
  </si>
  <si>
    <t>First Payment</t>
  </si>
  <si>
    <t>010.031-16.62334955</t>
  </si>
  <si>
    <t>030.031-16.62334954</t>
  </si>
  <si>
    <t>Corporate Secretarial Services - Q3</t>
  </si>
  <si>
    <t>PT Sumber Barito Coal</t>
  </si>
  <si>
    <t>030.031-16.62334953</t>
  </si>
  <si>
    <t>PT Ratah Coal</t>
  </si>
  <si>
    <t>030.031-16.62334952</t>
  </si>
  <si>
    <t>PT Pari Coal</t>
  </si>
  <si>
    <t>030.031-16.62334951</t>
  </si>
  <si>
    <t>PT Maruwai Coal</t>
  </si>
  <si>
    <t>030.031-16.62334950</t>
  </si>
  <si>
    <t>PT Lahai Coal</t>
  </si>
  <si>
    <t>030.031-16.62334949</t>
  </si>
  <si>
    <t>PT Kalteng Coal</t>
  </si>
  <si>
    <t>030.031-16.62334948</t>
  </si>
  <si>
    <t>PT Juloi Coal</t>
  </si>
  <si>
    <t>010.031-16.62334947</t>
  </si>
  <si>
    <t>PT BHP Billiton Indonesia</t>
  </si>
  <si>
    <t>010.031-16.62334946</t>
  </si>
  <si>
    <t>PT Billiton Indonesia</t>
  </si>
  <si>
    <t>010.031-16.62334945</t>
  </si>
  <si>
    <t>August 2016 - September 2016</t>
  </si>
  <si>
    <t>PT Allightsykes</t>
  </si>
  <si>
    <t>010.031-16.62334944</t>
  </si>
  <si>
    <t>010.031-16.62334943</t>
  </si>
  <si>
    <t>010.031-16.62334942</t>
  </si>
  <si>
    <t>010.031-16.62334941</t>
  </si>
  <si>
    <t>010.031-16.62334940</t>
  </si>
  <si>
    <t>Distribution Services</t>
  </si>
  <si>
    <t>Twitter Asia Pasific PTE LTD</t>
  </si>
  <si>
    <t>010.031-16.62334939</t>
  </si>
  <si>
    <t>Provision of Professional Staff Services</t>
  </si>
  <si>
    <t>April 2016 - May 2016</t>
  </si>
  <si>
    <t>010.031-16.62334938</t>
  </si>
  <si>
    <t>JULY</t>
  </si>
  <si>
    <t>TOTAL JUNE</t>
  </si>
  <si>
    <t>010.031-16.62334937</t>
  </si>
  <si>
    <t>29/06/2016</t>
  </si>
  <si>
    <t>Annual Compliance Services</t>
  </si>
  <si>
    <t>010.031-16.62334936</t>
  </si>
  <si>
    <t>30 June 2016</t>
  </si>
  <si>
    <t>Professional Services - Greg Chan</t>
  </si>
  <si>
    <t>010.031-16.62334935</t>
  </si>
  <si>
    <t>27/06/2016</t>
  </si>
  <si>
    <t>Consultation Services</t>
  </si>
  <si>
    <t>010.031-16.62334934</t>
  </si>
  <si>
    <t>010.031-16.62334933</t>
  </si>
  <si>
    <t>010.031-16.62334932</t>
  </si>
  <si>
    <t>010.031-16.62334931</t>
  </si>
  <si>
    <t>010.031-16.62334930</t>
  </si>
  <si>
    <t>LAU</t>
  </si>
  <si>
    <t>010.031-16.62334929</t>
  </si>
  <si>
    <t>20/06/2016</t>
  </si>
  <si>
    <t>Financial Report Review Services</t>
  </si>
  <si>
    <t>PT Cahaya Berlian Lestari</t>
  </si>
  <si>
    <t>010.031-16.62334928</t>
  </si>
  <si>
    <t>Feb 2015 - Dec 2015</t>
  </si>
  <si>
    <t>Management Services</t>
  </si>
  <si>
    <t>PT Dam Karya Prima</t>
  </si>
  <si>
    <t>010.031-16.62334927</t>
  </si>
  <si>
    <t>31 Dec 2014 &amp; 31 Dec 2015</t>
  </si>
  <si>
    <t>Financial Report Services (III)</t>
  </si>
  <si>
    <t>PT Dahlia Dewantara</t>
  </si>
  <si>
    <t>010.031-16.62334926</t>
  </si>
  <si>
    <t>17/06/2016</t>
  </si>
  <si>
    <t>010.031-16.62334925</t>
  </si>
  <si>
    <t>Payroll Starter</t>
  </si>
  <si>
    <t>Treasury Services</t>
  </si>
  <si>
    <t>Corporation Secretarial Services</t>
  </si>
  <si>
    <t>Compliance Annual Services</t>
  </si>
  <si>
    <t>Payroll Compliance Services</t>
  </si>
  <si>
    <t>010.031-16.62334924</t>
  </si>
  <si>
    <t>16/06/2016</t>
  </si>
  <si>
    <t>010.031-16.62334923</t>
  </si>
  <si>
    <t>010.031-16.62334922</t>
  </si>
  <si>
    <t>010.031-16.62334921</t>
  </si>
  <si>
    <t>010.031-16.62334920</t>
  </si>
  <si>
    <t>010.031-16.62334919</t>
  </si>
  <si>
    <t>Provide Fregistered Address</t>
  </si>
  <si>
    <t>010.031-16.62334918</t>
  </si>
  <si>
    <t>February 2016 - April 2016</t>
  </si>
  <si>
    <t>010.031-16.62334917</t>
  </si>
  <si>
    <t>13/06/2016</t>
  </si>
  <si>
    <t>Oct 2016 - Dec 2016</t>
  </si>
  <si>
    <t>Audit Service ITGC &amp; CAAT</t>
  </si>
  <si>
    <t>Persek KAP Tanubrata Sutanto Fahmi &amp; Rekan</t>
  </si>
  <si>
    <t>010.031-16.62334916</t>
  </si>
  <si>
    <t>China National Technical Import Export Corp.</t>
  </si>
  <si>
    <t>Administration Compliance Services</t>
  </si>
  <si>
    <t>PPN Administration Compliance Services</t>
  </si>
  <si>
    <t>010.031-16.62334915</t>
  </si>
  <si>
    <t>31 May 2016</t>
  </si>
  <si>
    <t>Professional Services - Brian Davis</t>
  </si>
  <si>
    <t>010.031-16.62334914</t>
  </si>
  <si>
    <t>Professional Services - Prestonlea</t>
  </si>
  <si>
    <t>010.031-16.62334913</t>
  </si>
  <si>
    <t>010.031-16.62334912</t>
  </si>
  <si>
    <t>Bookkeeping, Administration, Payroll Services &amp; Financial Services</t>
  </si>
  <si>
    <t>010.031-16.62334911</t>
  </si>
  <si>
    <t>PT Bank KEB Hana</t>
  </si>
  <si>
    <t>IT Compliance Review of 4 Banking App. (III)</t>
  </si>
  <si>
    <t>JUNE</t>
  </si>
  <si>
    <t>TOTAL MAY</t>
  </si>
  <si>
    <t>010.031-16.62334910</t>
  </si>
  <si>
    <t>30/05/2016</t>
  </si>
  <si>
    <t>-</t>
  </si>
  <si>
    <t>24/05/2016</t>
  </si>
  <si>
    <t>1 March - 1 April 2016</t>
  </si>
  <si>
    <t>Out-of-Pocket Expenses in Islamabad Pakistan</t>
  </si>
  <si>
    <t>BDO (Nina Gross)</t>
  </si>
  <si>
    <t>010.031-16.62334909</t>
  </si>
  <si>
    <t>23/05/2016</t>
  </si>
  <si>
    <t>010.031-16.62334908</t>
  </si>
  <si>
    <t>Research Services PT Risna &amp; PT Dayaindo</t>
  </si>
  <si>
    <t>Suek AG</t>
  </si>
  <si>
    <t>010.031-16.62334907</t>
  </si>
  <si>
    <t>20/05/2016</t>
  </si>
  <si>
    <t>Audit Services ITGC &amp; CAAT</t>
  </si>
  <si>
    <t>010.031-16.62334906</t>
  </si>
  <si>
    <t>16/05/2016</t>
  </si>
  <si>
    <t>Management Consultation Services</t>
  </si>
  <si>
    <t>010.031-16.62334905</t>
  </si>
  <si>
    <t>May 2016</t>
  </si>
  <si>
    <t>010.031-16.62334904</t>
  </si>
  <si>
    <t>010.031-16.62334902</t>
  </si>
  <si>
    <t>27/05/2016</t>
  </si>
  <si>
    <t>BDO Tax Limited</t>
  </si>
  <si>
    <t>011.031-16.62334901</t>
  </si>
  <si>
    <t>Out-of-Pocket Expenses</t>
  </si>
  <si>
    <t>BDO Governance Advisory SDN BHD</t>
  </si>
  <si>
    <t>Internal Audit Fee</t>
  </si>
  <si>
    <t>010.031-16.62334900</t>
  </si>
  <si>
    <t>010.031-16.62334899</t>
  </si>
  <si>
    <t>010.031-16.62334898</t>
  </si>
  <si>
    <t>March 2016 - May 2016</t>
  </si>
  <si>
    <t>010.031-16.62334897</t>
  </si>
  <si>
    <t>March 2016 - April 2016</t>
  </si>
  <si>
    <t>010.031-16.62334896</t>
  </si>
  <si>
    <t>Financial Report Projection Services</t>
  </si>
  <si>
    <t>010.031-16.62334895</t>
  </si>
  <si>
    <t>Financial Report Services</t>
  </si>
  <si>
    <t>010.031-16.62334894</t>
  </si>
  <si>
    <t>Internal Audit Services</t>
  </si>
  <si>
    <t>PT Bank Perkreditan Rakyat Karyajatnika</t>
  </si>
  <si>
    <t>010.031-16.62334893</t>
  </si>
  <si>
    <t>January 2016 - February 2016</t>
  </si>
  <si>
    <t>010.031-16.62334892</t>
  </si>
  <si>
    <t>31 December 2015</t>
  </si>
  <si>
    <t>PT Multi Sanggar Utama</t>
  </si>
  <si>
    <t>010.031-16.62334891</t>
  </si>
  <si>
    <t>Financial Report Services (I &amp; II)</t>
  </si>
  <si>
    <t>TOTAL APRIL</t>
  </si>
  <si>
    <t>010.031-16.62334890</t>
  </si>
  <si>
    <t>29/04/2016</t>
  </si>
  <si>
    <t>Bookkeeping, Compliance, Payroll &amp; Treasury Services</t>
  </si>
  <si>
    <t>PT Biomin Indonesia</t>
  </si>
  <si>
    <t>010.031-16.62334889</t>
  </si>
  <si>
    <t>PT Stemtech Indonesia</t>
  </si>
  <si>
    <t>010.031-16.62334888</t>
  </si>
  <si>
    <t>011.031-16.62334887</t>
  </si>
  <si>
    <t>28/04/2016</t>
  </si>
  <si>
    <t>China National Tachnical Import Export Corp.</t>
  </si>
  <si>
    <t>AAS</t>
  </si>
  <si>
    <t>010.031-16.62334886</t>
  </si>
  <si>
    <t>27/04/2016</t>
  </si>
  <si>
    <t>Last Payment ERP Implementation Project</t>
  </si>
  <si>
    <t>PT Gading Prima Autoland</t>
  </si>
  <si>
    <t>010.031-16.62334885</t>
  </si>
  <si>
    <t>010.031-16.62334884</t>
  </si>
  <si>
    <t>22/04/2016</t>
  </si>
  <si>
    <t>February 2016 - March 2016</t>
  </si>
  <si>
    <t>010.031-16.62334883</t>
  </si>
  <si>
    <t>Q1 2016</t>
  </si>
  <si>
    <t>LKPM Preparation Services</t>
  </si>
  <si>
    <t>010.031-16.62334882</t>
  </si>
  <si>
    <t>19/04/2016</t>
  </si>
  <si>
    <t>Audit Services (Draeger Indonesia)</t>
  </si>
  <si>
    <t>BDO AG</t>
  </si>
  <si>
    <t>18/04/2016</t>
  </si>
  <si>
    <t>Profesional Services in Islamabad Pakistan</t>
  </si>
  <si>
    <t>GRC</t>
  </si>
  <si>
    <t>MRU</t>
  </si>
  <si>
    <t>010.031-16.62334881</t>
  </si>
  <si>
    <t>15/04/2016</t>
  </si>
  <si>
    <t>Assessment GCG Services - PT Antam Tbk</t>
  </si>
  <si>
    <t>PT Sinergi Daya Prima</t>
  </si>
  <si>
    <t>BA</t>
  </si>
  <si>
    <t>010.001-16.16170355</t>
  </si>
  <si>
    <t>Consultation Services - Initial Assessment</t>
  </si>
  <si>
    <t>PT Reycom Document Solusi</t>
  </si>
  <si>
    <t>010.001-16.16170354</t>
  </si>
  <si>
    <t>Payroll, Administration, Secretariat Services</t>
  </si>
  <si>
    <t>Twitter Asia Pacific PTE LTD</t>
  </si>
  <si>
    <t>030.001-16.16170353</t>
  </si>
  <si>
    <t>Corporate Secretarial Services - Q2</t>
  </si>
  <si>
    <t>030.001-16.16170352</t>
  </si>
  <si>
    <t>030.001-16.16170351</t>
  </si>
  <si>
    <t>030.001-16.16170350</t>
  </si>
  <si>
    <t>030.001-16.16170349</t>
  </si>
  <si>
    <t>030.001-16.16170348</t>
  </si>
  <si>
    <t>030.001-16.16170347</t>
  </si>
  <si>
    <t>010.001-16.16170346</t>
  </si>
  <si>
    <t>010.001-16.16170345</t>
  </si>
  <si>
    <t>010.001-16.16170344</t>
  </si>
  <si>
    <t>010.001-16.16170343</t>
  </si>
  <si>
    <t>April 2016</t>
  </si>
  <si>
    <t>010.001-16.16170342</t>
  </si>
  <si>
    <t>APRIL</t>
  </si>
  <si>
    <t>TOTAL MARCH</t>
  </si>
  <si>
    <t>011.001-16.16170341</t>
  </si>
  <si>
    <t>30/03/2016</t>
  </si>
  <si>
    <t>Ad-Hoc Services</t>
  </si>
  <si>
    <t>November 2015 - January 2016</t>
  </si>
  <si>
    <t>March 2016</t>
  </si>
  <si>
    <t>010.001-16.16170340</t>
  </si>
  <si>
    <t>System S.p.A</t>
  </si>
  <si>
    <t>010.001-16.16170339</t>
  </si>
  <si>
    <t>Consultancy Services for But Sita Telco.</t>
  </si>
  <si>
    <t>BDO LLP</t>
  </si>
  <si>
    <t>010.001-16.16170338</t>
  </si>
  <si>
    <t>Consultancy Services for PT Sita Information Networking Computing Indonesia</t>
  </si>
  <si>
    <t>010.001-16.16170337</t>
  </si>
  <si>
    <t>010.001-16.16170336</t>
  </si>
  <si>
    <t>010.001-16.16170335</t>
  </si>
  <si>
    <t>15/03/2016</t>
  </si>
  <si>
    <t>010.001-16.16170334</t>
  </si>
  <si>
    <t>010.001-16.16170333</t>
  </si>
  <si>
    <t>010.001-16.16170332</t>
  </si>
  <si>
    <t>Set Up Study</t>
  </si>
  <si>
    <t>Birdwood Enterprise LTD</t>
  </si>
  <si>
    <t>010.001-16.16170331</t>
  </si>
  <si>
    <t>010.001-16.16170330</t>
  </si>
  <si>
    <t>2011 - 2015</t>
  </si>
  <si>
    <t>Administration Compliance Review Services</t>
  </si>
  <si>
    <t>PT Altron Indonesia</t>
  </si>
  <si>
    <t>010.001-16.16170329</t>
  </si>
  <si>
    <t>010.001-16.16170328</t>
  </si>
  <si>
    <t>BDO Limited</t>
  </si>
  <si>
    <t>010.001-16.16170327</t>
  </si>
  <si>
    <t>Term I. Audit Services ITGC &amp; CAAT</t>
  </si>
  <si>
    <t>010.001-16.16170326</t>
  </si>
  <si>
    <t>010.001-16.16170325</t>
  </si>
  <si>
    <t>ERP System Implementation Services</t>
  </si>
  <si>
    <t>010.001-16.16170324</t>
  </si>
  <si>
    <t>October 2015 - December 2015</t>
  </si>
  <si>
    <t>010.001-16.16170323</t>
  </si>
  <si>
    <t>Representative Office Service</t>
  </si>
  <si>
    <t>Ironclad Performance Wear Corporation</t>
  </si>
  <si>
    <t>010.001-16.16170322</t>
  </si>
  <si>
    <t>010.001-16.16170321</t>
  </si>
  <si>
    <t>MARCH</t>
  </si>
  <si>
    <t>TOTAL FEBRUARY</t>
  </si>
  <si>
    <t>011.001-16.16170319</t>
  </si>
  <si>
    <t>29/02/2016</t>
  </si>
  <si>
    <t>Corporate Restructuring Services</t>
  </si>
  <si>
    <t>PT Persada Sokka Tama</t>
  </si>
  <si>
    <t>010.001-16.16170320</t>
  </si>
  <si>
    <t>24/02/2016</t>
  </si>
  <si>
    <t>January 2016</t>
  </si>
  <si>
    <t>Tax Consultancy Services</t>
  </si>
  <si>
    <t>PT Draegerindo Jaya</t>
  </si>
  <si>
    <t>December 2015</t>
  </si>
  <si>
    <t>010.001-16.16170318</t>
  </si>
  <si>
    <t>010.001-16.16170317</t>
  </si>
  <si>
    <t>Bookkeeping, Administration, Payroll Services &amp; Treasury Services</t>
  </si>
  <si>
    <t>010.001-16.16170316</t>
  </si>
  <si>
    <t>010.001-16.16170315</t>
  </si>
  <si>
    <t>February 2016</t>
  </si>
  <si>
    <t>010.001-16.16170314</t>
  </si>
  <si>
    <t>010.001-16.16170313</t>
  </si>
  <si>
    <t>010.001-16.16170312</t>
  </si>
  <si>
    <t>010.001-16.16170311</t>
  </si>
  <si>
    <t>Q4 2015</t>
  </si>
  <si>
    <t>LKPM Q4 2015 Services</t>
  </si>
  <si>
    <t>Secretarial Company Services</t>
  </si>
  <si>
    <t>010.001-16.16170310</t>
  </si>
  <si>
    <t>010.001-16.16170309</t>
  </si>
  <si>
    <t>PT BNI Divisi Local Corporate &amp; MNC 2</t>
  </si>
  <si>
    <t>010.001-16.16170308</t>
  </si>
  <si>
    <t>010.001-16.16170307</t>
  </si>
  <si>
    <t>010.001-16.16170306</t>
  </si>
  <si>
    <t>010.001-16.16170305</t>
  </si>
  <si>
    <t>IT Services</t>
  </si>
  <si>
    <t>FEBRUARY</t>
  </si>
  <si>
    <t>TOTAL JANUARY</t>
  </si>
  <si>
    <t>010.001-16.16170304</t>
  </si>
  <si>
    <t>010.001-16.16170303</t>
  </si>
  <si>
    <t>011.001-16.16170302</t>
  </si>
  <si>
    <t>July 2015 - December 2015</t>
  </si>
  <si>
    <t>010.001-16.16170301</t>
  </si>
  <si>
    <t>Term II.Internal Audit Services</t>
  </si>
  <si>
    <t>PT Suryalaya Anindita International</t>
  </si>
  <si>
    <t>010.001-16.16170300</t>
  </si>
  <si>
    <t>OPE</t>
  </si>
  <si>
    <t>PT Bima Multi Finance</t>
  </si>
  <si>
    <t>RM</t>
  </si>
  <si>
    <t>Forensic Review Services</t>
  </si>
  <si>
    <t>010.001-16.16170299</t>
  </si>
  <si>
    <t>PT Tempa Bersama</t>
  </si>
  <si>
    <t>Compliance Audit Services</t>
  </si>
  <si>
    <t>010.001-16.16170298</t>
  </si>
  <si>
    <t>Financial Statement Services</t>
  </si>
  <si>
    <t>030.001-16.16170297</t>
  </si>
  <si>
    <t>Corp. Secretarial Services</t>
  </si>
  <si>
    <t>030.001-16.16170296</t>
  </si>
  <si>
    <t>030.001-16.16170295</t>
  </si>
  <si>
    <t>030.001-16.16170294</t>
  </si>
  <si>
    <t>030.001-16.16170293</t>
  </si>
  <si>
    <t>030.001-16.16170292</t>
  </si>
  <si>
    <t>030.001-16.16170291</t>
  </si>
  <si>
    <t>010.001-16.16170290</t>
  </si>
  <si>
    <t>010.001-16.16170289</t>
  </si>
  <si>
    <t>PYR, MC, COR</t>
  </si>
  <si>
    <t>010.001-16.16170288</t>
  </si>
  <si>
    <t>Payroll, Administration &amp; Secretarial Services</t>
  </si>
  <si>
    <t>010.001-16.16170287</t>
  </si>
  <si>
    <t>011.001-16.16170286</t>
  </si>
  <si>
    <t>10 - 31 December 2015</t>
  </si>
  <si>
    <t>Out of pocket Expenses</t>
  </si>
  <si>
    <t>010.001-16.16170285</t>
  </si>
  <si>
    <t>July 2015 - September 2015</t>
  </si>
  <si>
    <t>SOP</t>
  </si>
  <si>
    <t>010.001-16.16170284</t>
  </si>
  <si>
    <t>Agreed Upon Procedure Services</t>
  </si>
  <si>
    <t>PT Indonesia Konsorsium Investama</t>
  </si>
  <si>
    <t>010.001-16.16170282</t>
  </si>
  <si>
    <t>010.001-16.16170281</t>
  </si>
  <si>
    <t>JANUARY</t>
  </si>
  <si>
    <t>check</t>
  </si>
  <si>
    <t>DHE</t>
  </si>
  <si>
    <t>EVA</t>
  </si>
  <si>
    <t>EAV</t>
  </si>
  <si>
    <t>DOK</t>
  </si>
  <si>
    <t>COST</t>
  </si>
  <si>
    <t>TOTAL AFTER PAYMENT (AMOUNT)</t>
  </si>
  <si>
    <t>Status
Received/Pending</t>
  </si>
  <si>
    <t>Bandung</t>
  </si>
  <si>
    <t>Service Code</t>
  </si>
  <si>
    <t>Dept Code</t>
  </si>
  <si>
    <t>Total Net</t>
  </si>
  <si>
    <t>Withholding tax (2%)/(6%)</t>
  </si>
  <si>
    <t>VAT</t>
  </si>
  <si>
    <t>Cost</t>
  </si>
  <si>
    <t>Amount</t>
  </si>
  <si>
    <t>No. Tax Invoice</t>
  </si>
  <si>
    <t>Date</t>
  </si>
  <si>
    <t>Period</t>
  </si>
  <si>
    <t>Company's Name</t>
  </si>
  <si>
    <t>No.</t>
  </si>
  <si>
    <t>Months</t>
  </si>
  <si>
    <t>As of 2016</t>
  </si>
  <si>
    <t xml:space="preserve">LIST OF TAX INVOICES </t>
  </si>
  <si>
    <t>Average no of payslips generated per month</t>
  </si>
  <si>
    <t>Average no of payruns processed per month</t>
  </si>
  <si>
    <t>Total gross billing (in USD)</t>
  </si>
  <si>
    <t>buy rate per BI:</t>
  </si>
  <si>
    <t>Converted to USD using average yearly rate:</t>
  </si>
  <si>
    <t>Total annual fees</t>
  </si>
  <si>
    <t>No of payslips generated monthly</t>
  </si>
  <si>
    <t>No of payruns processed monthly</t>
  </si>
  <si>
    <t>Comment</t>
  </si>
  <si>
    <t>Payroll fees p.a. (IDR)</t>
  </si>
  <si>
    <t>Payroll fees p.a. (USD)</t>
  </si>
  <si>
    <t xml:space="preserve">   </t>
  </si>
  <si>
    <t>For Payroll Services</t>
  </si>
  <si>
    <t xml:space="preserve"> </t>
  </si>
  <si>
    <t xml:space="preserve">Sumber Barito Coal, PT  </t>
  </si>
  <si>
    <t>Monthly bookkeeping &amp; annual bookkeeping. Now have CS too? Update Dropbox.</t>
  </si>
  <si>
    <t>Have not billed mthly &amp; annual compliance, SFS &amp; BDO UK fees? (or is this the same as fee for BDO LLP)?</t>
  </si>
  <si>
    <t>SITA Information Networking Computing, PT</t>
  </si>
  <si>
    <t xml:space="preserve">Ratah Coal, PT  </t>
  </si>
  <si>
    <t>PT Wolters Kluwer Financial Services Indonesia</t>
  </si>
  <si>
    <t>"</t>
  </si>
  <si>
    <t>PT Sun Microsystems Indonesia</t>
  </si>
  <si>
    <t>PT BT Communications Indonesia</t>
  </si>
  <si>
    <t>Only billed for Q4 only? Is this Q4 FY16 or 15?</t>
  </si>
  <si>
    <t>No longer client?</t>
  </si>
  <si>
    <t>PT Aegis Interaktif ASIA</t>
  </si>
  <si>
    <t xml:space="preserve">Pari Coal, PT  </t>
  </si>
  <si>
    <r>
      <t xml:space="preserve">To transfer to Alta Sigma? </t>
    </r>
    <r>
      <rPr>
        <sz val="9"/>
        <color indexed="60"/>
        <rFont val="Trebuchet MS"/>
        <family val="2"/>
        <charset val="1"/>
      </rPr>
      <t>LKPM Preparation</t>
    </r>
  </si>
  <si>
    <t>Registered address &amp; Administration address</t>
  </si>
  <si>
    <r>
      <t xml:space="preserve">Now Payroll and compliance also? Check bills tracking; </t>
    </r>
    <r>
      <rPr>
        <sz val="9"/>
        <color indexed="60"/>
        <rFont val="Trebuchet MS"/>
        <family val="2"/>
        <charset val="1"/>
      </rPr>
      <t>Additional Provision of Professional Services (Jul'16)</t>
    </r>
  </si>
  <si>
    <t xml:space="preserve">Maruwai Coal, PT </t>
  </si>
  <si>
    <t>Accounting test; Accounting test (Aug'16 Avicenna Muslim)</t>
  </si>
  <si>
    <t xml:space="preserve">Lahai Coal, PT </t>
  </si>
  <si>
    <t>Kalteng Coal, PT</t>
  </si>
  <si>
    <t xml:space="preserve">Juloi Coal, PT  </t>
  </si>
  <si>
    <t>No more monthly bills? Only one fee during the year re: set up of rep office</t>
  </si>
  <si>
    <t>Ironclad Performance Wear Corp</t>
  </si>
  <si>
    <t>Business Study Aug'16</t>
  </si>
  <si>
    <t>Gamesa</t>
  </si>
  <si>
    <t>Jan monthly bookkeeping not billed? Or already billed in FY 2015?</t>
  </si>
  <si>
    <t>No longer provide service in FY16?</t>
  </si>
  <si>
    <t>Have not billed monthly &amp; annual compliance, Corp Sec at all in FY16? Whose client?</t>
  </si>
  <si>
    <t>Have not billed annual compliance, SFS &amp; BDO UK fees? (or is this the same as fee for BDO LLP)?</t>
  </si>
  <si>
    <t xml:space="preserve">BUT SITATelecommunications  </t>
  </si>
  <si>
    <t>Assistance to Registration of Foreign Loan Notifications to BI Sept'16</t>
  </si>
  <si>
    <t>Does adm fee billed in Feb refer to compliance? Last billed until June only</t>
  </si>
  <si>
    <t>Billiton Indonesia, PT</t>
  </si>
  <si>
    <t>BHP Billiton Indonesia, PT</t>
  </si>
  <si>
    <t>One-off service only?</t>
  </si>
  <si>
    <t>BUT SITA &amp; PT SITA Consultancy FY 2015.</t>
  </si>
  <si>
    <t>BDO Gibraltar</t>
  </si>
  <si>
    <t>To start billing in October 2016.</t>
  </si>
  <si>
    <t>According to master bills list, there should be monthly &amp; annual compliance, and CorpSec. But not billed at this stage?</t>
  </si>
  <si>
    <t>Comments</t>
  </si>
  <si>
    <t>Other one-off services</t>
  </si>
  <si>
    <t>Annual Compliance</t>
  </si>
  <si>
    <t>Quarterly Fees</t>
  </si>
  <si>
    <t>Other services #2</t>
  </si>
  <si>
    <t>Other services #1</t>
  </si>
  <si>
    <t>Administration Fees</t>
  </si>
  <si>
    <t>Corp Sec</t>
  </si>
  <si>
    <t>Monthly consultancy</t>
  </si>
  <si>
    <t>Monthly b/keeping</t>
  </si>
  <si>
    <t>Date of Engagement</t>
  </si>
  <si>
    <t>Team member</t>
  </si>
  <si>
    <t>Company Name</t>
  </si>
  <si>
    <t>(Service not provided)</t>
  </si>
  <si>
    <t>For the year ended 31/12/2016</t>
  </si>
  <si>
    <t>(Month of invoice)</t>
  </si>
  <si>
    <t>Legend:</t>
  </si>
  <si>
    <t>Existing clients list and invoices billed</t>
  </si>
  <si>
    <t>BSO</t>
  </si>
  <si>
    <t>No. Of EL</t>
  </si>
  <si>
    <t>Proposed</t>
  </si>
  <si>
    <t xml:space="preserve">Prydra </t>
  </si>
  <si>
    <t>G1005/BK17-BKI/002/01-07</t>
  </si>
  <si>
    <t>Gevaert-Agfa Healthcare Indonesia, PT</t>
  </si>
  <si>
    <t>A004/JL14-BKI/017/04-14</t>
  </si>
  <si>
    <t>Altron Indonesia, PT</t>
  </si>
  <si>
    <t>A008/JL16-BKI/052/09-16</t>
  </si>
  <si>
    <t>Audatex Indonesia, PT</t>
  </si>
  <si>
    <t>A012/JL16-BKI/036/07-16</t>
  </si>
  <si>
    <t>BHLN CREADOR SDN BHD</t>
  </si>
  <si>
    <t>B030/T15-BKI/007/02-16</t>
  </si>
  <si>
    <t>CRN-PTBKI/160801</t>
  </si>
  <si>
    <t>Brandtone Indonesia Data Service, PT</t>
  </si>
  <si>
    <t>Project</t>
  </si>
  <si>
    <t>BDO LLP (21 January 2016)</t>
  </si>
  <si>
    <t>N/A</t>
  </si>
  <si>
    <t>BUT China National Technical Import Export Corporation</t>
  </si>
  <si>
    <t>B004/JL16-BKI/020/06-12</t>
  </si>
  <si>
    <t>I005/SCR-16-BKI/45/08-16</t>
  </si>
  <si>
    <t>L004/JL16-BKI/044/08-16</t>
  </si>
  <si>
    <t>Mindray Medical Indonesia, PT</t>
  </si>
  <si>
    <t>M004/JL15-BKI/008/03-16</t>
  </si>
  <si>
    <t>CRN-PTBKI/150801</t>
  </si>
  <si>
    <t>P003/JL14-BKI/025/05-14</t>
  </si>
  <si>
    <t>CRN/PTBKI/160401</t>
  </si>
  <si>
    <t>Twitter Asia Pacific Pte Ltd</t>
  </si>
  <si>
    <t>W003/JL16-BKI/029/06-16</t>
  </si>
  <si>
    <t>A008/AS15-BKI/026/06-15</t>
  </si>
  <si>
    <t>Global</t>
  </si>
  <si>
    <t>Local</t>
  </si>
  <si>
    <t>COO2/JL14-BKI/006/02-14</t>
  </si>
  <si>
    <t>BDO LLP (7 September 2016)</t>
  </si>
  <si>
    <t>Facebook Singapore PTE Ltd.</t>
  </si>
  <si>
    <t>Monthly Bookkeeping service</t>
  </si>
  <si>
    <t>Monthly Bookkeeping</t>
  </si>
  <si>
    <t>Monthly Compliance</t>
  </si>
  <si>
    <t>Corporate Secretarial</t>
  </si>
  <si>
    <t>January 2017-January 2018</t>
  </si>
  <si>
    <t>March 2016-March 2017</t>
  </si>
  <si>
    <t>April</t>
  </si>
  <si>
    <t>October</t>
  </si>
  <si>
    <t>SCHEDULE INVOICES</t>
  </si>
  <si>
    <t>Scheduled on</t>
  </si>
  <si>
    <t>May 2016-May 2017</t>
  </si>
  <si>
    <t>October 2017-October 2018</t>
  </si>
  <si>
    <t>January 2017</t>
  </si>
  <si>
    <t>January 2017-March 2017</t>
  </si>
  <si>
    <t>February 2017</t>
  </si>
  <si>
    <t>March 2017</t>
  </si>
  <si>
    <t>Apri 2017-June 2017</t>
  </si>
  <si>
    <t>May 2017</t>
  </si>
  <si>
    <t>June 2017</t>
  </si>
  <si>
    <t>July 2017</t>
  </si>
  <si>
    <t>July 2017-September 2017</t>
  </si>
  <si>
    <t>October 2017</t>
  </si>
  <si>
    <t>October 2017-December 2017</t>
  </si>
  <si>
    <t>April 2017-May 2017</t>
  </si>
  <si>
    <t>April 2017-June 2017</t>
  </si>
  <si>
    <t>July 2016-July 2017</t>
  </si>
  <si>
    <t>June 2016-July 2017</t>
  </si>
  <si>
    <t>SCHEDULE INVOICE</t>
  </si>
  <si>
    <t>(draft)</t>
  </si>
  <si>
    <t>De Bock Maritime BV</t>
  </si>
  <si>
    <t xml:space="preserve">FEE SUMMARY </t>
  </si>
  <si>
    <t>Birdwood Enterprises Ltd</t>
  </si>
  <si>
    <t>B029/JL16-BKI/059/11-16</t>
  </si>
  <si>
    <t>Apr/June</t>
  </si>
  <si>
    <t>will be issued on February 2017</t>
  </si>
  <si>
    <t>Will be issued on April/June 2017</t>
  </si>
  <si>
    <t>Will be issued on March</t>
  </si>
  <si>
    <t>Will be issued on February 2017</t>
  </si>
  <si>
    <t>April/June 2017</t>
  </si>
  <si>
    <t>had been issued on December 2016</t>
  </si>
  <si>
    <t>January 2017-June 2017</t>
  </si>
  <si>
    <t>Only an estimation, will be confirmed later by the PIC</t>
  </si>
  <si>
    <t>Oct (40%)</t>
  </si>
  <si>
    <t>Dec (10%)</t>
  </si>
  <si>
    <t>December 2017</t>
  </si>
  <si>
    <t>40% on Completion of the project</t>
  </si>
  <si>
    <t>10% on the Completion of the project</t>
  </si>
  <si>
    <t>only an estimation, will be confirmed by PIC</t>
  </si>
  <si>
    <t>50% upon the completion task</t>
  </si>
  <si>
    <t>Total (USD+AUD+GBP+IDR)</t>
  </si>
  <si>
    <t>* USD = Rp 13000
GBP = Rp 16000</t>
  </si>
  <si>
    <t>C005/JL15-BKI/036/08-15</t>
  </si>
  <si>
    <t>mbu</t>
  </si>
  <si>
    <t>Column1</t>
  </si>
  <si>
    <t>fer</t>
  </si>
  <si>
    <t>hat</t>
  </si>
  <si>
    <t>bbr</t>
  </si>
  <si>
    <t>Net</t>
  </si>
  <si>
    <t>Mix</t>
  </si>
  <si>
    <t>Gross/Net/Mix</t>
  </si>
  <si>
    <t>Gross</t>
  </si>
  <si>
    <t>?</t>
  </si>
  <si>
    <t>Original</t>
  </si>
  <si>
    <t>IDR Equivalent</t>
  </si>
  <si>
    <t>Subtotal</t>
  </si>
  <si>
    <t>USD Rate</t>
  </si>
  <si>
    <t>Fix Rate for EL</t>
  </si>
  <si>
    <t>Total</t>
  </si>
  <si>
    <t>Total Recurring &amp; Non Recurring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</si>
</sst>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_);_(@_)"/>
    <numFmt numFmtId="167" formatCode="_(* #,##0_);_(* \(#,##0\);_(* &quot;-&quot;??_);_(@_)"/>
    <numFmt numFmtId="168" formatCode="dd/mm/yyyy;@"/>
    <numFmt numFmtId="169" formatCode="mmm\-yyyy"/>
    <numFmt numFmtId="170" formatCode="_(* #.##0.00_);_(* \(#.##0.00\);_(* &quot;-&quot;??_);_(@_)"/>
  </numFmts>
  <fonts count="96" x14ac:knownFonts="1">
    <font>
      <sz val="11"/>
      <color theme="1"/>
      <name val="Trebuchet MS"/>
      <family val="2"/>
      <charset val="1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"/>
      <scheme val="minor"/>
    </font>
    <font>
      <sz val="10"/>
      <color theme="1"/>
      <name val="Trebuchet MS"/>
      <family val="2"/>
      <charset val="1"/>
      <scheme val="minor"/>
    </font>
    <font>
      <sz val="10"/>
      <color indexed="8"/>
      <name val="MS Sans Serif"/>
      <family val="2"/>
    </font>
    <font>
      <sz val="10"/>
      <color theme="1"/>
      <name val="Trebuchet MS"/>
      <family val="2"/>
      <scheme val="minor"/>
    </font>
    <font>
      <b/>
      <sz val="16"/>
      <color theme="5"/>
      <name val="Trebuchet MS"/>
      <family val="2"/>
      <scheme val="minor"/>
    </font>
    <font>
      <b/>
      <sz val="10"/>
      <color theme="0"/>
      <name val="Trebuchet MS"/>
      <family val="2"/>
      <scheme val="major"/>
    </font>
    <font>
      <sz val="10"/>
      <color theme="1"/>
      <name val="Trebuchet MS"/>
      <family val="2"/>
      <scheme val="major"/>
    </font>
    <font>
      <sz val="10"/>
      <color theme="3"/>
      <name val="Trebuchet MS"/>
      <family val="2"/>
      <scheme val="minor"/>
    </font>
    <font>
      <sz val="10"/>
      <color theme="1"/>
      <name val="Trebuchet MS"/>
      <family val="2"/>
    </font>
    <font>
      <b/>
      <sz val="10"/>
      <color theme="5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20"/>
      <color theme="4"/>
      <name val="Trebuchet MS"/>
      <family val="2"/>
      <scheme val="minor"/>
    </font>
    <font>
      <sz val="10"/>
      <color theme="4"/>
      <name val="Trebuchet MS"/>
      <family val="2"/>
      <scheme val="minor"/>
    </font>
    <font>
      <sz val="10"/>
      <color theme="4"/>
      <name val="Trebuchet MS"/>
      <family val="2"/>
      <charset val="1"/>
      <scheme val="minor"/>
    </font>
    <font>
      <sz val="10"/>
      <color theme="4"/>
      <name val="Trebuchet MS"/>
      <family val="2"/>
      <charset val="1"/>
    </font>
    <font>
      <sz val="10"/>
      <color rgb="FFFF00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5"/>
      <name val="Trebuchet MS"/>
      <family val="2"/>
      <scheme val="minor"/>
    </font>
    <font>
      <sz val="10.5"/>
      <color theme="1"/>
      <name val="Trebuchet MS"/>
      <family val="2"/>
      <scheme val="minor"/>
    </font>
    <font>
      <b/>
      <sz val="10.5"/>
      <color theme="1"/>
      <name val="Trebuchet MS"/>
      <family val="2"/>
      <scheme val="minor"/>
    </font>
    <font>
      <b/>
      <sz val="10.5"/>
      <color rgb="FF006600"/>
      <name val="Trebuchet MS"/>
      <family val="2"/>
    </font>
    <font>
      <sz val="10.5"/>
      <name val="Trebuchet MS"/>
      <family val="2"/>
    </font>
    <font>
      <sz val="10.5"/>
      <color indexed="8"/>
      <name val="Trebuchet MS"/>
      <family val="2"/>
    </font>
    <font>
      <b/>
      <sz val="10.5"/>
      <color theme="0"/>
      <name val="Trebuchet MS"/>
      <family val="2"/>
    </font>
    <font>
      <i/>
      <sz val="10.5"/>
      <name val="Trebuchet MS"/>
      <family val="2"/>
    </font>
    <font>
      <sz val="11"/>
      <color rgb="FFFF0000"/>
      <name val="Trebuchet MS"/>
      <family val="2"/>
      <charset val="1"/>
      <scheme val="minor"/>
    </font>
    <font>
      <b/>
      <sz val="1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sz val="11"/>
      <color theme="0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scheme val="minor"/>
    </font>
    <font>
      <sz val="11"/>
      <color theme="2" tint="-0.499984740745262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sz val="10"/>
      <color theme="2" tint="-0.499984740745262"/>
      <name val="Trebuchet MS"/>
      <family val="2"/>
      <scheme val="minor"/>
    </font>
    <font>
      <b/>
      <sz val="10"/>
      <color theme="2"/>
      <name val="Trebuchet MS"/>
      <family val="2"/>
      <scheme val="minor"/>
    </font>
    <font>
      <sz val="11"/>
      <color theme="1" tint="0.249977111117893"/>
      <name val="Trebuchet MS"/>
      <family val="2"/>
      <charset val="1"/>
      <scheme val="minor"/>
    </font>
    <font>
      <b/>
      <sz val="10"/>
      <color theme="1" tint="0.34998626667073579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0"/>
      <color theme="2"/>
      <name val="Trebuchet MS"/>
      <family val="2"/>
      <scheme val="minor"/>
    </font>
    <font>
      <b/>
      <sz val="10"/>
      <color rgb="FF008000"/>
      <name val="Trebuchet MS"/>
      <family val="2"/>
      <scheme val="minor"/>
    </font>
    <font>
      <b/>
      <sz val="11"/>
      <color theme="2" tint="-0.499984740745262"/>
      <name val="Trebuchet MS"/>
      <family val="2"/>
      <scheme val="minor"/>
    </font>
    <font>
      <b/>
      <sz val="11"/>
      <color theme="1" tint="0.34998626667073579"/>
      <name val="Trebuchet MS"/>
      <family val="2"/>
      <scheme val="minor"/>
    </font>
    <font>
      <b/>
      <sz val="10.5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0"/>
      <color theme="3" tint="-0.499984740745262"/>
      <name val="Trebuchet MS"/>
      <family val="2"/>
      <scheme val="minor"/>
    </font>
    <font>
      <sz val="10"/>
      <color theme="3" tint="-0.499984740745262"/>
      <name val="Trebuchet MS"/>
      <family val="2"/>
      <scheme val="minor"/>
    </font>
    <font>
      <sz val="10.5"/>
      <color theme="1" tint="0.249977111117893"/>
      <name val="Trebuchet MS"/>
      <family val="2"/>
      <scheme val="minor"/>
    </font>
    <font>
      <sz val="10"/>
      <color theme="1" tint="0.34998626667073579"/>
      <name val="Trebuchet MS"/>
      <family val="2"/>
      <scheme val="minor"/>
    </font>
    <font>
      <sz val="11"/>
      <color theme="2"/>
      <name val="Trebuchet MS"/>
      <family val="2"/>
      <scheme val="minor"/>
    </font>
    <font>
      <b/>
      <sz val="9"/>
      <color theme="2" tint="-0.499984740745262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sz val="11"/>
      <color theme="2" tint="-0.499984740745262"/>
      <name val="Trebuchet MS"/>
      <family val="2"/>
      <charset val="1"/>
      <scheme val="minor"/>
    </font>
    <font>
      <b/>
      <sz val="11"/>
      <color theme="2" tint="-0.499984740745262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charset val="1"/>
      <scheme val="minor"/>
    </font>
    <font>
      <sz val="12"/>
      <color theme="2" tint="-0.499984740745262"/>
      <name val="Trebuchet MS"/>
      <family val="2"/>
      <charset val="1"/>
      <scheme val="minor"/>
    </font>
    <font>
      <b/>
      <sz val="10"/>
      <color theme="1"/>
      <name val="Trebuchet MS"/>
      <family val="2"/>
      <scheme val="major"/>
    </font>
    <font>
      <sz val="10"/>
      <color theme="0"/>
      <name val="Trebuchet MS"/>
      <family val="2"/>
      <scheme val="major"/>
    </font>
    <font>
      <sz val="20"/>
      <color theme="3"/>
      <name val="Trebuchet MS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rebuchet MS"/>
      <family val="2"/>
      <charset val="1"/>
      <scheme val="minor"/>
    </font>
    <font>
      <sz val="9"/>
      <name val="Trebuchet MS"/>
      <family val="2"/>
      <charset val="1"/>
      <scheme val="minor"/>
    </font>
    <font>
      <sz val="10"/>
      <name val="Wingdings 2"/>
      <family val="1"/>
      <charset val="2"/>
    </font>
    <font>
      <b/>
      <sz val="10"/>
      <color theme="0"/>
      <name val="Trebuchet MS"/>
      <family val="2"/>
      <charset val="1"/>
      <scheme val="minor"/>
    </font>
    <font>
      <sz val="10"/>
      <name val="Trebuchet MS"/>
      <family val="2"/>
      <scheme val="major"/>
    </font>
    <font>
      <sz val="8.5"/>
      <color theme="1"/>
      <name val="Trebuchet MS"/>
      <family val="2"/>
      <scheme val="minor"/>
    </font>
    <font>
      <sz val="8.5"/>
      <color theme="1"/>
      <name val="Trebuchet MS"/>
      <family val="2"/>
      <scheme val="major"/>
    </font>
    <font>
      <sz val="10"/>
      <color theme="3"/>
      <name val="Trebuchet MS"/>
      <family val="2"/>
      <charset val="1"/>
      <scheme val="minor"/>
    </font>
    <font>
      <sz val="9"/>
      <color theme="3"/>
      <name val="Trebuchet MS"/>
      <family val="2"/>
      <charset val="1"/>
      <scheme val="minor"/>
    </font>
    <font>
      <sz val="9"/>
      <color rgb="FFFF0000"/>
      <name val="Trebuchet MS"/>
      <family val="2"/>
      <charset val="1"/>
      <scheme val="minor"/>
    </font>
    <font>
      <sz val="9"/>
      <color indexed="60"/>
      <name val="Trebuchet MS"/>
      <family val="2"/>
      <charset val="1"/>
    </font>
    <font>
      <sz val="9"/>
      <color theme="7"/>
      <name val="Trebuchet MS"/>
      <family val="2"/>
      <charset val="1"/>
      <scheme val="minor"/>
    </font>
    <font>
      <sz val="9"/>
      <color theme="7"/>
      <name val="Trebuchet MS"/>
      <family val="2"/>
      <scheme val="minor"/>
    </font>
    <font>
      <sz val="10"/>
      <color theme="0"/>
      <name val="Trebuchet MS"/>
      <family val="2"/>
      <charset val="1"/>
      <scheme val="minor"/>
    </font>
    <font>
      <sz val="10"/>
      <color theme="0"/>
      <name val="Trebuchet MS"/>
      <family val="2"/>
      <scheme val="minor"/>
    </font>
    <font>
      <sz val="12"/>
      <color theme="1"/>
      <name val="Trebuchet MS"/>
      <family val="2"/>
      <charset val="1"/>
      <scheme val="minor"/>
    </font>
    <font>
      <sz val="10"/>
      <name val="Trebuchet MS"/>
      <family val="2"/>
      <scheme val="minor"/>
    </font>
    <font>
      <u/>
      <sz val="11"/>
      <color theme="10"/>
      <name val="Trebuchet MS"/>
      <family val="2"/>
      <charset val="1"/>
      <scheme val="minor"/>
    </font>
    <font>
      <u/>
      <sz val="10"/>
      <color theme="10"/>
      <name val="Trebuchet MS"/>
      <family val="2"/>
      <charset val="1"/>
      <scheme val="minor"/>
    </font>
    <font>
      <u/>
      <sz val="10"/>
      <name val="Trebuchet MS"/>
      <family val="2"/>
      <scheme val="minor"/>
    </font>
    <font>
      <sz val="10"/>
      <color theme="1"/>
      <name val="Trebuchet MS"/>
      <family val="2"/>
      <scheme val="major"/>
    </font>
    <font>
      <sz val="10"/>
      <color theme="1"/>
      <name val="Trebuchet MS"/>
      <family val="2"/>
      <scheme val="minor"/>
    </font>
    <font>
      <b/>
      <sz val="10"/>
      <name val="Trebuchet MS"/>
      <family val="2"/>
      <charset val="1"/>
      <scheme val="minor"/>
    </font>
    <font>
      <sz val="10"/>
      <name val="Trebuchet MS"/>
      <family val="2"/>
    </font>
    <font>
      <sz val="10"/>
      <color rgb="FF555555"/>
      <name val="Lucida Sans Unicode"/>
      <family val="2"/>
    </font>
    <font>
      <b/>
      <sz val="10"/>
      <color theme="3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gray06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7FF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6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/>
      <right style="thin">
        <color theme="5" tint="0.59999389629810485"/>
      </right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0"/>
      </left>
      <right/>
      <top style="thin">
        <color theme="5" tint="0.79998168889431442"/>
      </top>
      <bottom/>
      <diagonal/>
    </border>
    <border>
      <left style="thin">
        <color theme="0"/>
      </left>
      <right/>
      <top/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5" tint="0.79998168889431442"/>
      </top>
      <bottom/>
      <diagonal/>
    </border>
    <border>
      <left/>
      <right style="thin">
        <color theme="0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6" tint="-4.9989318521683403E-2"/>
      </left>
      <right/>
      <top style="thin">
        <color theme="6" tint="-4.9989318521683403E-2"/>
      </top>
      <bottom style="thin">
        <color theme="6" tint="-4.9989318521683403E-2"/>
      </bottom>
      <diagonal/>
    </border>
    <border>
      <left style="thin">
        <color theme="6" tint="-4.9989318521683403E-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4">
    <xf numFmtId="0" fontId="0" fillId="0" borderId="0"/>
    <xf numFmtId="41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1" fillId="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85" fillId="0" borderId="0" applyNumberFormat="0" applyFill="0" applyBorder="0" applyAlignment="0" applyProtection="0"/>
  </cellStyleXfs>
  <cellXfs count="868">
    <xf numFmtId="0" fontId="0" fillId="0" borderId="0" xfId="0"/>
    <xf numFmtId="0" fontId="0" fillId="0" borderId="0" xfId="0"/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164" fontId="12" fillId="2" borderId="3" xfId="3" applyFont="1" applyFill="1" applyBorder="1" applyAlignment="1">
      <alignment horizontal="center" vertical="center" wrapText="1"/>
    </xf>
    <xf numFmtId="41" fontId="0" fillId="0" borderId="0" xfId="1" applyFont="1"/>
    <xf numFmtId="165" fontId="0" fillId="0" borderId="0" xfId="0" applyNumberFormat="1"/>
    <xf numFmtId="0" fontId="1" fillId="0" borderId="0" xfId="6"/>
    <xf numFmtId="0" fontId="1" fillId="0" borderId="0" xfId="6" applyBorder="1"/>
    <xf numFmtId="0" fontId="1" fillId="0" borderId="1" xfId="6" applyBorder="1"/>
    <xf numFmtId="166" fontId="1" fillId="0" borderId="0" xfId="6" applyNumberFormat="1"/>
    <xf numFmtId="167" fontId="1" fillId="0" borderId="0" xfId="6" applyNumberFormat="1"/>
    <xf numFmtId="167" fontId="0" fillId="0" borderId="0" xfId="7" applyNumberFormat="1" applyFont="1"/>
    <xf numFmtId="0" fontId="1" fillId="8" borderId="3" xfId="6" applyFill="1" applyBorder="1"/>
    <xf numFmtId="0" fontId="1" fillId="8" borderId="1" xfId="6" applyFill="1" applyBorder="1"/>
    <xf numFmtId="0" fontId="1" fillId="9" borderId="1" xfId="6" applyFill="1" applyBorder="1"/>
    <xf numFmtId="0" fontId="1" fillId="9" borderId="0" xfId="6" applyFill="1" applyBorder="1"/>
    <xf numFmtId="0" fontId="1" fillId="10" borderId="1" xfId="6" applyFill="1" applyBorder="1"/>
    <xf numFmtId="0" fontId="1" fillId="11" borderId="0" xfId="6" applyFill="1" applyBorder="1"/>
    <xf numFmtId="0" fontId="1" fillId="11" borderId="1" xfId="6" applyFill="1" applyBorder="1"/>
    <xf numFmtId="0" fontId="1" fillId="9" borderId="3" xfId="6" applyFill="1" applyBorder="1"/>
    <xf numFmtId="0" fontId="21" fillId="12" borderId="1" xfId="6" applyFont="1" applyFill="1" applyBorder="1"/>
    <xf numFmtId="0" fontId="19" fillId="13" borderId="5" xfId="6" applyFont="1" applyFill="1" applyBorder="1"/>
    <xf numFmtId="0" fontId="1" fillId="13" borderId="0" xfId="6" applyFill="1"/>
    <xf numFmtId="0" fontId="1" fillId="14" borderId="0" xfId="6" applyFill="1" applyBorder="1"/>
    <xf numFmtId="0" fontId="1" fillId="14" borderId="1" xfId="6" applyFill="1" applyBorder="1"/>
    <xf numFmtId="0" fontId="1" fillId="14" borderId="3" xfId="6" applyFill="1" applyBorder="1"/>
    <xf numFmtId="0" fontId="21" fillId="2" borderId="1" xfId="6" applyFont="1" applyFill="1" applyBorder="1"/>
    <xf numFmtId="0" fontId="1" fillId="15" borderId="0" xfId="6" applyFill="1"/>
    <xf numFmtId="0" fontId="22" fillId="15" borderId="0" xfId="6" applyFont="1" applyFill="1"/>
    <xf numFmtId="0" fontId="22" fillId="3" borderId="0" xfId="6" applyFont="1" applyFill="1"/>
    <xf numFmtId="0" fontId="21" fillId="16" borderId="0" xfId="6" applyFont="1" applyFill="1" applyAlignment="1">
      <alignment horizontal="center"/>
    </xf>
    <xf numFmtId="9" fontId="0" fillId="15" borderId="0" xfId="8" applyFont="1" applyFill="1"/>
    <xf numFmtId="165" fontId="0" fillId="15" borderId="0" xfId="9" applyNumberFormat="1" applyFont="1" applyFill="1"/>
    <xf numFmtId="41" fontId="0" fillId="3" borderId="9" xfId="10" applyFont="1" applyFill="1" applyBorder="1"/>
    <xf numFmtId="0" fontId="20" fillId="3" borderId="9" xfId="6" applyFont="1" applyFill="1" applyBorder="1"/>
    <xf numFmtId="41" fontId="0" fillId="3" borderId="0" xfId="10" applyFont="1" applyFill="1"/>
    <xf numFmtId="17" fontId="20" fillId="3" borderId="0" xfId="6" applyNumberFormat="1" applyFont="1" applyFill="1"/>
    <xf numFmtId="41" fontId="22" fillId="15" borderId="0" xfId="6" applyNumberFormat="1" applyFont="1" applyFill="1"/>
    <xf numFmtId="41" fontId="22" fillId="15" borderId="0" xfId="10" applyFont="1" applyFill="1"/>
    <xf numFmtId="0" fontId="21" fillId="15" borderId="0" xfId="6" applyFont="1" applyFill="1" applyAlignment="1">
      <alignment horizontal="center"/>
    </xf>
    <xf numFmtId="0" fontId="1" fillId="15" borderId="0" xfId="6" applyFill="1" applyAlignment="1">
      <alignment horizontal="left"/>
    </xf>
    <xf numFmtId="0" fontId="18" fillId="6" borderId="0" xfId="6" applyFont="1" applyFill="1" applyAlignment="1">
      <alignment horizontal="center"/>
    </xf>
    <xf numFmtId="0" fontId="21" fillId="6" borderId="0" xfId="6" applyFont="1" applyFill="1" applyAlignment="1">
      <alignment horizontal="left"/>
    </xf>
    <xf numFmtId="0" fontId="23" fillId="15" borderId="0" xfId="6" applyFont="1" applyFill="1" applyAlignment="1"/>
    <xf numFmtId="0" fontId="24" fillId="0" borderId="0" xfId="6" applyFont="1"/>
    <xf numFmtId="0" fontId="24" fillId="15" borderId="0" xfId="6" applyFont="1" applyFill="1"/>
    <xf numFmtId="0" fontId="24" fillId="0" borderId="0" xfId="6" applyFont="1" applyAlignment="1">
      <alignment horizontal="center"/>
    </xf>
    <xf numFmtId="0" fontId="24" fillId="15" borderId="0" xfId="6" applyFont="1" applyFill="1" applyAlignment="1">
      <alignment horizontal="center"/>
    </xf>
    <xf numFmtId="165" fontId="24" fillId="15" borderId="0" xfId="6" applyNumberFormat="1" applyFont="1" applyFill="1"/>
    <xf numFmtId="41" fontId="25" fillId="15" borderId="10" xfId="10" applyFont="1" applyFill="1" applyBorder="1"/>
    <xf numFmtId="0" fontId="24" fillId="17" borderId="11" xfId="6" applyFont="1" applyFill="1" applyBorder="1"/>
    <xf numFmtId="165" fontId="25" fillId="18" borderId="12" xfId="6" applyNumberFormat="1" applyFont="1" applyFill="1" applyBorder="1"/>
    <xf numFmtId="0" fontId="25" fillId="17" borderId="11" xfId="6" applyFont="1" applyFill="1" applyBorder="1" applyAlignment="1">
      <alignment horizontal="center"/>
    </xf>
    <xf numFmtId="0" fontId="26" fillId="3" borderId="11" xfId="2" applyFont="1" applyFill="1" applyBorder="1" applyAlignment="1">
      <alignment horizontal="center" vertical="center"/>
    </xf>
    <xf numFmtId="165" fontId="27" fillId="3" borderId="12" xfId="9" applyNumberFormat="1" applyFont="1" applyFill="1" applyBorder="1" applyAlignment="1">
      <alignment vertical="center"/>
    </xf>
    <xf numFmtId="165" fontId="27" fillId="3" borderId="11" xfId="9" applyNumberFormat="1" applyFont="1" applyFill="1" applyBorder="1" applyAlignment="1">
      <alignment vertical="center"/>
    </xf>
    <xf numFmtId="15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/>
    </xf>
    <xf numFmtId="0" fontId="27" fillId="3" borderId="11" xfId="2" applyFont="1" applyFill="1" applyBorder="1" applyAlignment="1">
      <alignment vertical="center"/>
    </xf>
    <xf numFmtId="0" fontId="26" fillId="3" borderId="11" xfId="2" applyFont="1" applyFill="1" applyBorder="1" applyAlignment="1">
      <alignment horizontal="left" vertical="center"/>
    </xf>
    <xf numFmtId="17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0" fontId="28" fillId="15" borderId="0" xfId="2" applyFont="1" applyFill="1" applyAlignment="1">
      <alignment vertical="center"/>
    </xf>
    <xf numFmtId="165" fontId="29" fillId="5" borderId="11" xfId="9" applyNumberFormat="1" applyFont="1" applyFill="1" applyBorder="1" applyAlignment="1">
      <alignment horizontal="center" vertical="center"/>
    </xf>
    <xf numFmtId="165" fontId="29" fillId="5" borderId="11" xfId="9" applyNumberFormat="1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/>
    </xf>
    <xf numFmtId="0" fontId="25" fillId="15" borderId="0" xfId="6" applyFont="1" applyFill="1"/>
    <xf numFmtId="14" fontId="27" fillId="3" borderId="11" xfId="2" applyNumberFormat="1" applyFont="1" applyFill="1" applyBorder="1" applyAlignment="1">
      <alignment horizontal="center" vertical="center"/>
    </xf>
    <xf numFmtId="15" fontId="30" fillId="3" borderId="11" xfId="2" applyNumberFormat="1" applyFont="1" applyFill="1" applyBorder="1" applyAlignment="1">
      <alignment horizontal="left" vertical="center"/>
    </xf>
    <xf numFmtId="15" fontId="30" fillId="3" borderId="11" xfId="2" applyNumberFormat="1" applyFont="1" applyFill="1" applyBorder="1" applyAlignment="1">
      <alignment horizontal="center" vertical="center"/>
    </xf>
    <xf numFmtId="14" fontId="30" fillId="3" borderId="11" xfId="2" applyNumberFormat="1" applyFont="1" applyFill="1" applyBorder="1" applyAlignment="1">
      <alignment horizontal="center" vertical="center"/>
    </xf>
    <xf numFmtId="15" fontId="27" fillId="3" borderId="11" xfId="2" applyNumberFormat="1" applyFont="1" applyFill="1" applyBorder="1" applyAlignment="1">
      <alignment horizontal="left" vertical="center"/>
    </xf>
    <xf numFmtId="14" fontId="27" fillId="3" borderId="11" xfId="9" applyNumberFormat="1" applyFont="1" applyFill="1" applyBorder="1" applyAlignment="1">
      <alignment vertical="center"/>
    </xf>
    <xf numFmtId="14" fontId="27" fillId="3" borderId="11" xfId="9" quotePrefix="1" applyNumberFormat="1" applyFont="1" applyFill="1" applyBorder="1" applyAlignment="1">
      <alignment vertical="center"/>
    </xf>
    <xf numFmtId="14" fontId="29" fillId="5" borderId="11" xfId="2" applyNumberFormat="1" applyFont="1" applyFill="1" applyBorder="1" applyAlignment="1">
      <alignment horizontal="center" vertical="center" wrapText="1"/>
    </xf>
    <xf numFmtId="14" fontId="27" fillId="3" borderId="11" xfId="9" applyNumberFormat="1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vertical="top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41" fontId="0" fillId="15" borderId="0" xfId="0" applyNumberFormat="1" applyFill="1"/>
    <xf numFmtId="3" fontId="31" fillId="15" borderId="0" xfId="0" applyNumberFormat="1" applyFont="1" applyFill="1"/>
    <xf numFmtId="41" fontId="31" fillId="15" borderId="0" xfId="0" applyNumberFormat="1" applyFont="1" applyFill="1"/>
    <xf numFmtId="41" fontId="2" fillId="15" borderId="0" xfId="1" applyFont="1" applyFill="1" applyAlignment="1">
      <alignment vertical="top"/>
    </xf>
    <xf numFmtId="167" fontId="2" fillId="15" borderId="0" xfId="11" applyNumberFormat="1" applyFont="1" applyFill="1"/>
    <xf numFmtId="167" fontId="0" fillId="15" borderId="0" xfId="0" applyNumberFormat="1" applyFill="1"/>
    <xf numFmtId="41" fontId="0" fillId="15" borderId="0" xfId="0" applyNumberFormat="1" applyFill="1" applyAlignment="1">
      <alignment vertical="top"/>
    </xf>
    <xf numFmtId="41" fontId="0" fillId="15" borderId="0" xfId="0" applyNumberFormat="1" applyFill="1" applyAlignment="1">
      <alignment vertical="center"/>
    </xf>
    <xf numFmtId="41" fontId="20" fillId="3" borderId="0" xfId="0" applyNumberFormat="1" applyFont="1" applyFill="1" applyAlignment="1">
      <alignment vertical="top"/>
    </xf>
    <xf numFmtId="0" fontId="0" fillId="19" borderId="4" xfId="0" applyFill="1" applyBorder="1" applyAlignment="1">
      <alignment vertical="center"/>
    </xf>
    <xf numFmtId="41" fontId="32" fillId="19" borderId="4" xfId="0" applyNumberFormat="1" applyFont="1" applyFill="1" applyBorder="1" applyAlignment="1">
      <alignment vertical="center"/>
    </xf>
    <xf numFmtId="41" fontId="32" fillId="19" borderId="4" xfId="1" applyFont="1" applyFill="1" applyBorder="1" applyAlignment="1">
      <alignment vertical="center"/>
    </xf>
    <xf numFmtId="0" fontId="33" fillId="19" borderId="4" xfId="0" applyFont="1" applyFill="1" applyBorder="1" applyAlignment="1">
      <alignment vertical="center"/>
    </xf>
    <xf numFmtId="41" fontId="34" fillId="19" borderId="13" xfId="1" applyFont="1" applyFill="1" applyBorder="1" applyAlignment="1">
      <alignment vertical="center"/>
    </xf>
    <xf numFmtId="41" fontId="34" fillId="19" borderId="13" xfId="1" applyFont="1" applyFill="1" applyBorder="1" applyAlignment="1">
      <alignment horizontal="right" vertical="center"/>
    </xf>
    <xf numFmtId="41" fontId="34" fillId="19" borderId="13" xfId="1" applyFont="1" applyFill="1" applyBorder="1" applyAlignment="1">
      <alignment horizontal="center" vertical="center"/>
    </xf>
    <xf numFmtId="41" fontId="34" fillId="19" borderId="4" xfId="1" applyFont="1" applyFill="1" applyBorder="1" applyAlignment="1">
      <alignment vertical="center"/>
    </xf>
    <xf numFmtId="0" fontId="35" fillId="20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vertical="center"/>
    </xf>
    <xf numFmtId="0" fontId="35" fillId="20" borderId="5" xfId="0" applyFont="1" applyFill="1" applyBorder="1" applyAlignment="1">
      <alignment vertical="center"/>
    </xf>
    <xf numFmtId="0" fontId="35" fillId="20" borderId="5" xfId="0" applyFont="1" applyFill="1" applyBorder="1" applyAlignment="1">
      <alignment horizontal="right" vertical="center"/>
    </xf>
    <xf numFmtId="0" fontId="35" fillId="20" borderId="5" xfId="0" applyFont="1" applyFill="1" applyBorder="1" applyAlignment="1">
      <alignment horizontal="center" vertical="center"/>
    </xf>
    <xf numFmtId="0" fontId="35" fillId="20" borderId="6" xfId="0" applyFont="1" applyFill="1" applyBorder="1" applyAlignment="1">
      <alignment vertical="center"/>
    </xf>
    <xf numFmtId="41" fontId="36" fillId="15" borderId="0" xfId="0" applyNumberFormat="1" applyFont="1" applyFill="1" applyAlignment="1">
      <alignment vertical="center"/>
    </xf>
    <xf numFmtId="0" fontId="0" fillId="6" borderId="2" xfId="0" applyFill="1" applyBorder="1" applyAlignment="1">
      <alignment vertical="center"/>
    </xf>
    <xf numFmtId="41" fontId="37" fillId="6" borderId="2" xfId="1" applyFont="1" applyFill="1" applyBorder="1" applyAlignment="1">
      <alignment vertical="center"/>
    </xf>
    <xf numFmtId="41" fontId="18" fillId="6" borderId="2" xfId="1" applyFont="1" applyFill="1" applyBorder="1" applyAlignment="1">
      <alignment vertical="center"/>
    </xf>
    <xf numFmtId="0" fontId="19" fillId="19" borderId="2" xfId="0" applyFont="1" applyFill="1" applyBorder="1" applyAlignment="1">
      <alignment vertical="center"/>
    </xf>
    <xf numFmtId="41" fontId="18" fillId="4" borderId="8" xfId="0" applyNumberFormat="1" applyFont="1" applyFill="1" applyBorder="1" applyAlignment="1">
      <alignment vertical="center"/>
    </xf>
    <xf numFmtId="41" fontId="18" fillId="2" borderId="8" xfId="0" applyNumberFormat="1" applyFont="1" applyFill="1" applyBorder="1" applyAlignment="1">
      <alignment horizontal="right" vertical="center"/>
    </xf>
    <xf numFmtId="41" fontId="18" fillId="6" borderId="8" xfId="0" applyNumberFormat="1" applyFont="1" applyFill="1" applyBorder="1" applyAlignment="1">
      <alignment horizontal="center" vertical="center"/>
    </xf>
    <xf numFmtId="41" fontId="18" fillId="6" borderId="8" xfId="0" applyNumberFormat="1" applyFont="1" applyFill="1" applyBorder="1" applyAlignment="1">
      <alignment vertical="center"/>
    </xf>
    <xf numFmtId="41" fontId="18" fillId="6" borderId="3" xfId="0" applyNumberFormat="1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8" fillId="6" borderId="6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41" fontId="39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41" fontId="40" fillId="3" borderId="6" xfId="0" applyNumberFormat="1" applyFont="1" applyFill="1" applyBorder="1" applyAlignment="1">
      <alignment horizontal="center" vertical="center"/>
    </xf>
    <xf numFmtId="41" fontId="40" fillId="14" borderId="6" xfId="0" applyNumberFormat="1" applyFont="1" applyFill="1" applyBorder="1" applyAlignment="1">
      <alignment horizontal="right" vertical="center"/>
    </xf>
    <xf numFmtId="41" fontId="40" fillId="14" borderId="6" xfId="1" applyFont="1" applyFill="1" applyBorder="1" applyAlignment="1">
      <alignment horizontal="right" vertical="center"/>
    </xf>
    <xf numFmtId="41" fontId="40" fillId="3" borderId="6" xfId="1" applyFont="1" applyFill="1" applyBorder="1" applyAlignment="1">
      <alignment horizontal="center" vertical="center"/>
    </xf>
    <xf numFmtId="41" fontId="40" fillId="3" borderId="1" xfId="1" applyFont="1" applyFill="1" applyBorder="1" applyAlignment="1">
      <alignment vertical="center"/>
    </xf>
    <xf numFmtId="41" fontId="41" fillId="3" borderId="1" xfId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 wrapText="1"/>
    </xf>
    <xf numFmtId="0" fontId="41" fillId="3" borderId="1" xfId="0" applyFont="1" applyFill="1" applyBorder="1" applyAlignment="1">
      <alignment vertical="center"/>
    </xf>
    <xf numFmtId="169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left" vertical="center" wrapText="1"/>
    </xf>
    <xf numFmtId="17" fontId="41" fillId="3" borderId="1" xfId="0" applyNumberFormat="1" applyFont="1" applyFill="1" applyBorder="1" applyAlignment="1">
      <alignment horizontal="center" vertical="center" wrapText="1"/>
    </xf>
    <xf numFmtId="0" fontId="42" fillId="20" borderId="7" xfId="0" applyFont="1" applyFill="1" applyBorder="1" applyAlignment="1">
      <alignment vertical="center"/>
    </xf>
    <xf numFmtId="0" fontId="42" fillId="20" borderId="5" xfId="0" applyFont="1" applyFill="1" applyBorder="1" applyAlignment="1">
      <alignment vertical="center"/>
    </xf>
    <xf numFmtId="0" fontId="42" fillId="20" borderId="5" xfId="0" applyFont="1" applyFill="1" applyBorder="1" applyAlignment="1">
      <alignment horizontal="right" vertical="center"/>
    </xf>
    <xf numFmtId="0" fontId="42" fillId="20" borderId="5" xfId="0" applyFont="1" applyFill="1" applyBorder="1" applyAlignment="1">
      <alignment horizontal="center" vertical="center"/>
    </xf>
    <xf numFmtId="0" fontId="42" fillId="20" borderId="6" xfId="0" applyFont="1" applyFill="1" applyBorder="1" applyAlignment="1">
      <alignment vertical="center"/>
    </xf>
    <xf numFmtId="41" fontId="18" fillId="21" borderId="8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/>
    </xf>
    <xf numFmtId="41" fontId="41" fillId="3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41" fontId="37" fillId="6" borderId="1" xfId="1" applyFont="1" applyFill="1" applyBorder="1" applyAlignment="1">
      <alignment vertical="center"/>
    </xf>
    <xf numFmtId="41" fontId="18" fillId="6" borderId="1" xfId="1" applyFont="1" applyFill="1" applyBorder="1" applyAlignment="1">
      <alignment vertical="center"/>
    </xf>
    <xf numFmtId="41" fontId="18" fillId="4" borderId="1" xfId="0" applyNumberFormat="1" applyFont="1" applyFill="1" applyBorder="1" applyAlignment="1">
      <alignment vertical="center"/>
    </xf>
    <xf numFmtId="41" fontId="18" fillId="21" borderId="1" xfId="0" applyNumberFormat="1" applyFont="1" applyFill="1" applyBorder="1" applyAlignment="1">
      <alignment horizontal="right" vertical="center"/>
    </xf>
    <xf numFmtId="41" fontId="18" fillId="6" borderId="1" xfId="0" applyNumberFormat="1" applyFont="1" applyFill="1" applyBorder="1" applyAlignment="1">
      <alignment horizontal="center" vertical="center"/>
    </xf>
    <xf numFmtId="41" fontId="18" fillId="6" borderId="1" xfId="0" applyNumberFormat="1" applyFont="1" applyFill="1" applyBorder="1" applyAlignment="1">
      <alignment vertical="center"/>
    </xf>
    <xf numFmtId="0" fontId="43" fillId="3" borderId="2" xfId="0" applyFont="1" applyFill="1" applyBorder="1" applyAlignment="1">
      <alignment vertical="center"/>
    </xf>
    <xf numFmtId="41" fontId="43" fillId="3" borderId="2" xfId="1" applyFont="1" applyFill="1" applyBorder="1" applyAlignment="1">
      <alignment vertical="center" wrapText="1"/>
    </xf>
    <xf numFmtId="167" fontId="5" fillId="3" borderId="4" xfId="0" applyNumberFormat="1" applyFont="1" applyFill="1" applyBorder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41" fontId="44" fillId="3" borderId="17" xfId="0" applyNumberFormat="1" applyFont="1" applyFill="1" applyBorder="1" applyAlignment="1">
      <alignment horizontal="center" vertical="center"/>
    </xf>
    <xf numFmtId="41" fontId="40" fillId="14" borderId="17" xfId="1" applyFont="1" applyFill="1" applyBorder="1" applyAlignment="1">
      <alignment horizontal="right" vertical="center" wrapText="1"/>
    </xf>
    <xf numFmtId="41" fontId="40" fillId="14" borderId="1" xfId="1" applyFont="1" applyFill="1" applyBorder="1" applyAlignment="1">
      <alignment horizontal="right" vertical="center" wrapText="1"/>
    </xf>
    <xf numFmtId="41" fontId="41" fillId="3" borderId="1" xfId="1" applyFont="1" applyFill="1" applyBorder="1" applyAlignment="1">
      <alignment horizontal="center" vertical="center" wrapText="1"/>
    </xf>
    <xf numFmtId="41" fontId="41" fillId="3" borderId="1" xfId="1" applyFont="1" applyFill="1" applyBorder="1" applyAlignment="1">
      <alignment vertical="center" wrapText="1"/>
    </xf>
    <xf numFmtId="41" fontId="41" fillId="3" borderId="2" xfId="1" applyFont="1" applyFill="1" applyBorder="1" applyAlignment="1">
      <alignment vertical="center"/>
    </xf>
    <xf numFmtId="41" fontId="41" fillId="3" borderId="2" xfId="0" applyNumberFormat="1" applyFont="1" applyFill="1" applyBorder="1" applyAlignment="1">
      <alignment vertical="center"/>
    </xf>
    <xf numFmtId="168" fontId="41" fillId="3" borderId="2" xfId="0" applyNumberFormat="1" applyFont="1" applyFill="1" applyBorder="1" applyAlignment="1">
      <alignment horizontal="center" vertical="center"/>
    </xf>
    <xf numFmtId="169" fontId="41" fillId="3" borderId="2" xfId="0" applyNumberFormat="1" applyFont="1" applyFill="1" applyBorder="1" applyAlignment="1">
      <alignment horizontal="center" vertical="center"/>
    </xf>
    <xf numFmtId="168" fontId="41" fillId="3" borderId="2" xfId="0" applyNumberFormat="1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3" borderId="6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 wrapText="1"/>
    </xf>
    <xf numFmtId="0" fontId="41" fillId="3" borderId="2" xfId="0" applyFont="1" applyFill="1" applyBorder="1" applyAlignment="1">
      <alignment vertical="center" wrapText="1"/>
    </xf>
    <xf numFmtId="0" fontId="43" fillId="3" borderId="1" xfId="0" applyFont="1" applyFill="1" applyBorder="1" applyAlignment="1">
      <alignment vertical="center"/>
    </xf>
    <xf numFmtId="41" fontId="43" fillId="3" borderId="1" xfId="1" applyFont="1" applyFill="1" applyBorder="1" applyAlignment="1">
      <alignment vertical="center" wrapText="1"/>
    </xf>
    <xf numFmtId="41" fontId="44" fillId="3" borderId="6" xfId="0" applyNumberFormat="1" applyFont="1" applyFill="1" applyBorder="1" applyAlignment="1">
      <alignment horizontal="center" vertical="center"/>
    </xf>
    <xf numFmtId="41" fontId="40" fillId="14" borderId="6" xfId="1" applyFont="1" applyFill="1" applyBorder="1" applyAlignment="1">
      <alignment horizontal="right" vertical="center" wrapText="1"/>
    </xf>
    <xf numFmtId="41" fontId="43" fillId="3" borderId="1" xfId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vertical="center"/>
    </xf>
    <xf numFmtId="0" fontId="47" fillId="3" borderId="4" xfId="0" applyFont="1" applyFill="1" applyBorder="1" applyAlignment="1">
      <alignment horizontal="center" vertical="center"/>
    </xf>
    <xf numFmtId="41" fontId="40" fillId="14" borderId="4" xfId="1" applyFont="1" applyFill="1" applyBorder="1" applyAlignment="1">
      <alignment horizontal="right" vertical="center" wrapText="1"/>
    </xf>
    <xf numFmtId="167" fontId="5" fillId="3" borderId="4" xfId="11" applyNumberFormat="1" applyFont="1" applyFill="1" applyBorder="1" applyAlignment="1">
      <alignment vertical="center"/>
    </xf>
    <xf numFmtId="0" fontId="4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40" fillId="20" borderId="7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horizontal="right" vertical="center" wrapText="1"/>
    </xf>
    <xf numFmtId="0" fontId="40" fillId="20" borderId="5" xfId="0" applyFont="1" applyFill="1" applyBorder="1" applyAlignment="1">
      <alignment horizontal="center" vertical="center" wrapText="1"/>
    </xf>
    <xf numFmtId="0" fontId="40" fillId="20" borderId="6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8" fillId="6" borderId="14" xfId="0" applyFont="1" applyFill="1" applyBorder="1" applyAlignment="1">
      <alignment vertical="center"/>
    </xf>
    <xf numFmtId="0" fontId="18" fillId="6" borderId="18" xfId="0" applyFont="1" applyFill="1" applyBorder="1" applyAlignment="1">
      <alignment vertical="center"/>
    </xf>
    <xf numFmtId="0" fontId="18" fillId="6" borderId="13" xfId="0" applyFont="1" applyFill="1" applyBorder="1" applyAlignment="1">
      <alignment vertical="center"/>
    </xf>
    <xf numFmtId="41" fontId="49" fillId="3" borderId="1" xfId="1" applyFont="1" applyFill="1" applyBorder="1" applyAlignment="1">
      <alignment horizontal="center" vertical="center"/>
    </xf>
    <xf numFmtId="41" fontId="44" fillId="3" borderId="1" xfId="0" applyNumberFormat="1" applyFont="1" applyFill="1" applyBorder="1" applyAlignment="1">
      <alignment horizontal="center" vertical="center"/>
    </xf>
    <xf numFmtId="41" fontId="44" fillId="14" borderId="1" xfId="0" applyNumberFormat="1" applyFont="1" applyFill="1" applyBorder="1" applyAlignment="1">
      <alignment horizontal="right" vertical="center"/>
    </xf>
    <xf numFmtId="41" fontId="40" fillId="3" borderId="1" xfId="1" applyFont="1" applyFill="1" applyBorder="1" applyAlignment="1">
      <alignment horizontal="center" vertical="center" wrapText="1"/>
    </xf>
    <xf numFmtId="41" fontId="40" fillId="3" borderId="1" xfId="1" applyFont="1" applyFill="1" applyBorder="1" applyAlignment="1">
      <alignment vertical="center" wrapText="1"/>
    </xf>
    <xf numFmtId="168" fontId="41" fillId="3" borderId="1" xfId="0" applyNumberFormat="1" applyFont="1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41" fontId="50" fillId="3" borderId="1" xfId="0" applyNumberFormat="1" applyFont="1" applyFill="1" applyBorder="1" applyAlignment="1">
      <alignment horizontal="center" vertical="center"/>
    </xf>
    <xf numFmtId="41" fontId="40" fillId="3" borderId="13" xfId="0" applyNumberFormat="1" applyFont="1" applyFill="1" applyBorder="1" applyAlignment="1">
      <alignment horizontal="center" vertical="center"/>
    </xf>
    <xf numFmtId="41" fontId="40" fillId="22" borderId="13" xfId="0" applyNumberFormat="1" applyFont="1" applyFill="1" applyBorder="1" applyAlignment="1">
      <alignment horizontal="right" vertical="center"/>
    </xf>
    <xf numFmtId="41" fontId="40" fillId="22" borderId="6" xfId="0" applyNumberFormat="1" applyFont="1" applyFill="1" applyBorder="1" applyAlignment="1">
      <alignment horizontal="right" vertical="center"/>
    </xf>
    <xf numFmtId="41" fontId="40" fillId="22" borderId="6" xfId="1" applyFont="1" applyFill="1" applyBorder="1" applyAlignment="1">
      <alignment horizontal="right" vertical="center"/>
    </xf>
    <xf numFmtId="41" fontId="40" fillId="3" borderId="13" xfId="1" applyFont="1" applyFill="1" applyBorder="1" applyAlignment="1">
      <alignment horizontal="center" vertical="center"/>
    </xf>
    <xf numFmtId="41" fontId="41" fillId="3" borderId="4" xfId="1" applyFont="1" applyFill="1" applyBorder="1" applyAlignment="1">
      <alignment vertical="center"/>
    </xf>
    <xf numFmtId="0" fontId="41" fillId="3" borderId="4" xfId="0" applyFont="1" applyFill="1" applyBorder="1" applyAlignment="1">
      <alignment horizontal="center" vertical="center"/>
    </xf>
    <xf numFmtId="168" fontId="41" fillId="3" borderId="4" xfId="0" applyNumberFormat="1" applyFont="1" applyFill="1" applyBorder="1" applyAlignment="1">
      <alignment horizontal="right" vertical="center"/>
    </xf>
    <xf numFmtId="17" fontId="41" fillId="3" borderId="4" xfId="0" quotePrefix="1" applyNumberFormat="1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left" vertical="center" wrapText="1"/>
    </xf>
    <xf numFmtId="0" fontId="41" fillId="3" borderId="4" xfId="0" applyFont="1" applyFill="1" applyBorder="1" applyAlignment="1">
      <alignment vertical="center"/>
    </xf>
    <xf numFmtId="0" fontId="51" fillId="3" borderId="4" xfId="0" applyFont="1" applyFill="1" applyBorder="1" applyAlignment="1">
      <alignment vertical="center"/>
    </xf>
    <xf numFmtId="41" fontId="50" fillId="3" borderId="4" xfId="0" applyNumberFormat="1" applyFont="1" applyFill="1" applyBorder="1" applyAlignment="1">
      <alignment horizontal="center" vertical="center"/>
    </xf>
    <xf numFmtId="41" fontId="40" fillId="14" borderId="13" xfId="0" applyNumberFormat="1" applyFont="1" applyFill="1" applyBorder="1" applyAlignment="1">
      <alignment horizontal="right" vertical="center"/>
    </xf>
    <xf numFmtId="41" fontId="40" fillId="14" borderId="13" xfId="1" applyFont="1" applyFill="1" applyBorder="1" applyAlignment="1">
      <alignment horizontal="right" vertical="center"/>
    </xf>
    <xf numFmtId="41" fontId="40" fillId="3" borderId="4" xfId="1" applyFont="1" applyFill="1" applyBorder="1" applyAlignment="1">
      <alignment vertical="center"/>
    </xf>
    <xf numFmtId="0" fontId="41" fillId="3" borderId="4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1" fontId="40" fillId="3" borderId="1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41" fontId="50" fillId="3" borderId="2" xfId="0" applyNumberFormat="1" applyFont="1" applyFill="1" applyBorder="1" applyAlignment="1">
      <alignment horizontal="center" vertical="center"/>
    </xf>
    <xf numFmtId="41" fontId="40" fillId="3" borderId="2" xfId="0" applyNumberFormat="1" applyFont="1" applyFill="1" applyBorder="1" applyAlignment="1">
      <alignment horizontal="center" vertical="center"/>
    </xf>
    <xf numFmtId="41" fontId="40" fillId="14" borderId="17" xfId="0" applyNumberFormat="1" applyFont="1" applyFill="1" applyBorder="1" applyAlignment="1">
      <alignment horizontal="right" vertical="center"/>
    </xf>
    <xf numFmtId="41" fontId="40" fillId="14" borderId="17" xfId="1" applyFont="1" applyFill="1" applyBorder="1" applyAlignment="1">
      <alignment horizontal="right" vertical="center"/>
    </xf>
    <xf numFmtId="41" fontId="40" fillId="3" borderId="1" xfId="1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left" vertical="center"/>
    </xf>
    <xf numFmtId="0" fontId="41" fillId="3" borderId="5" xfId="0" applyFont="1" applyFill="1" applyBorder="1" applyAlignment="1">
      <alignment vertical="center"/>
    </xf>
    <xf numFmtId="17" fontId="41" fillId="3" borderId="1" xfId="0" quotePrefix="1" applyNumberFormat="1" applyFont="1" applyFill="1" applyBorder="1" applyAlignment="1">
      <alignment horizontal="center" vertical="center" wrapText="1"/>
    </xf>
    <xf numFmtId="41" fontId="41" fillId="18" borderId="4" xfId="1" applyFont="1" applyFill="1" applyBorder="1" applyAlignment="1">
      <alignment vertical="center"/>
    </xf>
    <xf numFmtId="41" fontId="50" fillId="3" borderId="16" xfId="0" applyNumberFormat="1" applyFont="1" applyFill="1" applyBorder="1" applyAlignment="1">
      <alignment horizontal="center" vertical="center"/>
    </xf>
    <xf numFmtId="41" fontId="40" fillId="3" borderId="5" xfId="0" applyNumberFormat="1" applyFont="1" applyFill="1" applyBorder="1" applyAlignment="1">
      <alignment horizontal="center" vertical="center"/>
    </xf>
    <xf numFmtId="41" fontId="40" fillId="14" borderId="1" xfId="0" applyNumberFormat="1" applyFont="1" applyFill="1" applyBorder="1" applyAlignment="1">
      <alignment horizontal="right" vertical="center"/>
    </xf>
    <xf numFmtId="41" fontId="40" fillId="14" borderId="5" xfId="0" applyNumberFormat="1" applyFont="1" applyFill="1" applyBorder="1" applyAlignment="1">
      <alignment horizontal="right" vertical="center"/>
    </xf>
    <xf numFmtId="41" fontId="40" fillId="14" borderId="5" xfId="1" applyFont="1" applyFill="1" applyBorder="1" applyAlignment="1">
      <alignment horizontal="right" vertical="center"/>
    </xf>
    <xf numFmtId="41" fontId="40" fillId="14" borderId="1" xfId="1" applyFont="1" applyFill="1" applyBorder="1" applyAlignment="1">
      <alignment horizontal="right" vertical="center"/>
    </xf>
    <xf numFmtId="0" fontId="41" fillId="3" borderId="18" xfId="0" applyFont="1" applyFill="1" applyBorder="1" applyAlignment="1">
      <alignment horizontal="left" vertical="center"/>
    </xf>
    <xf numFmtId="0" fontId="41" fillId="3" borderId="18" xfId="0" applyFont="1" applyFill="1" applyBorder="1" applyAlignment="1">
      <alignment vertical="center"/>
    </xf>
    <xf numFmtId="41" fontId="41" fillId="18" borderId="1" xfId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/>
    </xf>
    <xf numFmtId="41" fontId="40" fillId="3" borderId="1" xfId="0" applyNumberFormat="1" applyFont="1" applyFill="1" applyBorder="1" applyAlignment="1">
      <alignment horizontal="center" vertical="center"/>
    </xf>
    <xf numFmtId="0" fontId="41" fillId="3" borderId="1" xfId="0" quotePrefix="1" applyFont="1" applyFill="1" applyBorder="1" applyAlignment="1">
      <alignment horizontal="center" vertical="center" wrapText="1"/>
    </xf>
    <xf numFmtId="41" fontId="40" fillId="3" borderId="17" xfId="0" applyNumberFormat="1" applyFont="1" applyFill="1" applyBorder="1" applyAlignment="1">
      <alignment horizontal="center" vertical="center"/>
    </xf>
    <xf numFmtId="41" fontId="40" fillId="3" borderId="17" xfId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168" fontId="41" fillId="3" borderId="1" xfId="0" quotePrefix="1" applyNumberFormat="1" applyFont="1" applyFill="1" applyBorder="1" applyAlignment="1">
      <alignment horizontal="center" vertical="center" wrapText="1"/>
    </xf>
    <xf numFmtId="168" fontId="41" fillId="3" borderId="1" xfId="0" applyNumberFormat="1" applyFont="1" applyFill="1" applyBorder="1" applyAlignment="1">
      <alignment horizontal="center" vertical="center" wrapText="1"/>
    </xf>
    <xf numFmtId="41" fontId="41" fillId="18" borderId="1" xfId="0" applyNumberFormat="1" applyFont="1" applyFill="1" applyBorder="1" applyAlignment="1">
      <alignment vertical="center"/>
    </xf>
    <xf numFmtId="168" fontId="41" fillId="3" borderId="1" xfId="0" quotePrefix="1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left" vertical="center"/>
    </xf>
    <xf numFmtId="0" fontId="0" fillId="20" borderId="7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0" borderId="5" xfId="0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vertical="center"/>
    </xf>
    <xf numFmtId="41" fontId="40" fillId="3" borderId="8" xfId="0" applyNumberFormat="1" applyFont="1" applyFill="1" applyBorder="1" applyAlignment="1">
      <alignment horizontal="center" vertical="center"/>
    </xf>
    <xf numFmtId="41" fontId="40" fillId="22" borderId="8" xfId="0" applyNumberFormat="1" applyFont="1" applyFill="1" applyBorder="1" applyAlignment="1">
      <alignment horizontal="right" vertical="center"/>
    </xf>
    <xf numFmtId="41" fontId="40" fillId="22" borderId="17" xfId="0" applyNumberFormat="1" applyFont="1" applyFill="1" applyBorder="1" applyAlignment="1">
      <alignment horizontal="right" vertical="center"/>
    </xf>
    <xf numFmtId="41" fontId="40" fillId="22" borderId="17" xfId="1" applyFont="1" applyFill="1" applyBorder="1" applyAlignment="1">
      <alignment horizontal="right" vertical="center"/>
    </xf>
    <xf numFmtId="41" fontId="41" fillId="22" borderId="6" xfId="5" applyNumberFormat="1" applyFont="1" applyFill="1" applyBorder="1" applyAlignment="1">
      <alignment horizontal="right" vertical="center"/>
    </xf>
    <xf numFmtId="41" fontId="52" fillId="3" borderId="6" xfId="1" applyFont="1" applyFill="1" applyBorder="1" applyAlignment="1">
      <alignment horizontal="center" vertical="center"/>
    </xf>
    <xf numFmtId="41" fontId="52" fillId="3" borderId="1" xfId="1" applyFont="1" applyFill="1" applyBorder="1" applyAlignment="1">
      <alignment vertical="center"/>
    </xf>
    <xf numFmtId="41" fontId="53" fillId="3" borderId="1" xfId="0" applyNumberFormat="1" applyFont="1" applyFill="1" applyBorder="1" applyAlignment="1">
      <alignment vertical="center"/>
    </xf>
    <xf numFmtId="41" fontId="53" fillId="3" borderId="1" xfId="1" applyFont="1" applyFill="1" applyBorder="1" applyAlignment="1">
      <alignment vertical="center"/>
    </xf>
    <xf numFmtId="17" fontId="41" fillId="3" borderId="5" xfId="0" quotePrefix="1" applyNumberFormat="1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left" vertical="center" wrapText="1"/>
    </xf>
    <xf numFmtId="0" fontId="53" fillId="3" borderId="18" xfId="0" applyFont="1" applyFill="1" applyBorder="1" applyAlignment="1">
      <alignment vertical="center"/>
    </xf>
    <xf numFmtId="41" fontId="41" fillId="22" borderId="13" xfId="5" applyNumberFormat="1" applyFont="1" applyFill="1" applyBorder="1" applyAlignment="1">
      <alignment horizontal="right" vertical="center"/>
    </xf>
    <xf numFmtId="168" fontId="41" fillId="3" borderId="1" xfId="0" applyNumberFormat="1" applyFont="1" applyFill="1" applyBorder="1" applyAlignment="1">
      <alignment vertical="center" wrapText="1"/>
    </xf>
    <xf numFmtId="41" fontId="40" fillId="22" borderId="8" xfId="1" applyFont="1" applyFill="1" applyBorder="1" applyAlignment="1">
      <alignment horizontal="right" vertical="center"/>
    </xf>
    <xf numFmtId="41" fontId="40" fillId="3" borderId="8" xfId="1" applyFont="1" applyFill="1" applyBorder="1" applyAlignment="1">
      <alignment horizontal="center" vertical="center"/>
    </xf>
    <xf numFmtId="41" fontId="40" fillId="3" borderId="8" xfId="1" applyFont="1" applyFill="1" applyBorder="1" applyAlignment="1">
      <alignment vertical="center"/>
    </xf>
    <xf numFmtId="41" fontId="41" fillId="3" borderId="8" xfId="0" applyNumberFormat="1" applyFont="1" applyFill="1" applyBorder="1" applyAlignment="1">
      <alignment vertical="center"/>
    </xf>
    <xf numFmtId="41" fontId="41" fillId="3" borderId="3" xfId="1" applyFont="1" applyFill="1" applyBorder="1" applyAlignment="1">
      <alignment vertical="center"/>
    </xf>
    <xf numFmtId="41" fontId="40" fillId="3" borderId="18" xfId="0" applyNumberFormat="1" applyFont="1" applyFill="1" applyBorder="1" applyAlignment="1">
      <alignment horizontal="center" vertical="center"/>
    </xf>
    <xf numFmtId="41" fontId="40" fillId="14" borderId="4" xfId="0" applyNumberFormat="1" applyFont="1" applyFill="1" applyBorder="1" applyAlignment="1">
      <alignment horizontal="right" vertical="center"/>
    </xf>
    <xf numFmtId="41" fontId="40" fillId="14" borderId="18" xfId="1" applyFont="1" applyFill="1" applyBorder="1" applyAlignment="1">
      <alignment horizontal="right" vertical="center"/>
    </xf>
    <xf numFmtId="41" fontId="40" fillId="14" borderId="4" xfId="1" applyFont="1" applyFill="1" applyBorder="1" applyAlignment="1">
      <alignment horizontal="right" vertical="center"/>
    </xf>
    <xf numFmtId="0" fontId="44" fillId="20" borderId="7" xfId="0" applyFont="1" applyFill="1" applyBorder="1" applyAlignment="1">
      <alignment vertical="center"/>
    </xf>
    <xf numFmtId="0" fontId="44" fillId="20" borderId="5" xfId="0" applyFont="1" applyFill="1" applyBorder="1" applyAlignment="1">
      <alignment vertical="center"/>
    </xf>
    <xf numFmtId="0" fontId="44" fillId="20" borderId="5" xfId="0" applyFont="1" applyFill="1" applyBorder="1" applyAlignment="1">
      <alignment horizontal="right" vertical="center"/>
    </xf>
    <xf numFmtId="0" fontId="44" fillId="20" borderId="5" xfId="0" applyFont="1" applyFill="1" applyBorder="1" applyAlignment="1">
      <alignment horizontal="center" vertical="center"/>
    </xf>
    <xf numFmtId="0" fontId="44" fillId="20" borderId="6" xfId="0" applyFont="1" applyFill="1" applyBorder="1" applyAlignment="1">
      <alignment vertical="center"/>
    </xf>
    <xf numFmtId="41" fontId="37" fillId="6" borderId="1" xfId="0" applyNumberFormat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 wrapText="1"/>
    </xf>
    <xf numFmtId="15" fontId="41" fillId="3" borderId="1" xfId="0" quotePrefix="1" applyNumberFormat="1" applyFont="1" applyFill="1" applyBorder="1" applyAlignment="1">
      <alignment horizontal="center" vertical="center" wrapText="1"/>
    </xf>
    <xf numFmtId="17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center"/>
    </xf>
    <xf numFmtId="41" fontId="54" fillId="3" borderId="1" xfId="0" applyNumberFormat="1" applyFont="1" applyFill="1" applyBorder="1" applyAlignment="1">
      <alignment horizontal="center" vertical="center"/>
    </xf>
    <xf numFmtId="41" fontId="55" fillId="3" borderId="1" xfId="0" applyNumberFormat="1" applyFont="1" applyFill="1" applyBorder="1" applyAlignment="1">
      <alignment horizontal="center" vertical="center"/>
    </xf>
    <xf numFmtId="41" fontId="55" fillId="14" borderId="1" xfId="0" applyNumberFormat="1" applyFont="1" applyFill="1" applyBorder="1" applyAlignment="1">
      <alignment horizontal="right" vertical="center"/>
    </xf>
    <xf numFmtId="41" fontId="41" fillId="14" borderId="1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41" fontId="50" fillId="3" borderId="1" xfId="0" applyNumberFormat="1" applyFont="1" applyFill="1" applyBorder="1" applyAlignment="1">
      <alignment horizontal="center" vertical="center" wrapText="1"/>
    </xf>
    <xf numFmtId="41" fontId="40" fillId="3" borderId="6" xfId="0" applyNumberFormat="1" applyFont="1" applyFill="1" applyBorder="1" applyAlignment="1">
      <alignment horizontal="center" vertical="center" wrapText="1"/>
    </xf>
    <xf numFmtId="41" fontId="40" fillId="14" borderId="6" xfId="0" applyNumberFormat="1" applyFont="1" applyFill="1" applyBorder="1" applyAlignment="1">
      <alignment horizontal="right" vertical="center" wrapText="1"/>
    </xf>
    <xf numFmtId="41" fontId="40" fillId="3" borderId="1" xfId="0" applyNumberFormat="1" applyFont="1" applyFill="1" applyBorder="1" applyAlignment="1">
      <alignment vertical="center" wrapText="1"/>
    </xf>
    <xf numFmtId="41" fontId="41" fillId="3" borderId="1" xfId="0" applyNumberFormat="1" applyFont="1" applyFill="1" applyBorder="1" applyAlignment="1">
      <alignment vertical="center" wrapText="1"/>
    </xf>
    <xf numFmtId="0" fontId="41" fillId="3" borderId="5" xfId="0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vertical="center" wrapText="1"/>
    </xf>
    <xf numFmtId="17" fontId="41" fillId="3" borderId="4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vertical="center"/>
    </xf>
    <xf numFmtId="0" fontId="40" fillId="20" borderId="5" xfId="0" applyFont="1" applyFill="1" applyBorder="1" applyAlignment="1">
      <alignment vertical="center"/>
    </xf>
    <xf numFmtId="0" fontId="40" fillId="20" borderId="5" xfId="0" applyFont="1" applyFill="1" applyBorder="1" applyAlignment="1">
      <alignment horizontal="right" vertical="center"/>
    </xf>
    <xf numFmtId="0" fontId="40" fillId="20" borderId="5" xfId="0" applyFont="1" applyFill="1" applyBorder="1" applyAlignment="1">
      <alignment horizontal="center" vertical="center"/>
    </xf>
    <xf numFmtId="0" fontId="40" fillId="20" borderId="6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41" fontId="21" fillId="6" borderId="1" xfId="0" applyNumberFormat="1" applyFont="1" applyFill="1" applyBorder="1" applyAlignment="1">
      <alignment vertical="center"/>
    </xf>
    <xf numFmtId="41" fontId="18" fillId="4" borderId="17" xfId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41" fillId="3" borderId="4" xfId="0" applyNumberFormat="1" applyFont="1" applyFill="1" applyBorder="1" applyAlignment="1">
      <alignment horizontal="center" vertical="center" wrapText="1"/>
    </xf>
    <xf numFmtId="168" fontId="53" fillId="3" borderId="4" xfId="0" applyNumberFormat="1" applyFont="1" applyFill="1" applyBorder="1" applyAlignment="1">
      <alignment horizontal="right" vertical="center"/>
    </xf>
    <xf numFmtId="0" fontId="45" fillId="3" borderId="4" xfId="0" applyFont="1" applyFill="1" applyBorder="1" applyAlignment="1">
      <alignment horizontal="center" vertical="center"/>
    </xf>
    <xf numFmtId="41" fontId="50" fillId="3" borderId="7" xfId="0" applyNumberFormat="1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41" fontId="40" fillId="3" borderId="4" xfId="0" applyNumberFormat="1" applyFont="1" applyFill="1" applyBorder="1" applyAlignment="1">
      <alignment horizontal="center" vertical="center"/>
    </xf>
    <xf numFmtId="41" fontId="40" fillId="22" borderId="18" xfId="0" applyNumberFormat="1" applyFont="1" applyFill="1" applyBorder="1" applyAlignment="1">
      <alignment horizontal="right" vertical="center"/>
    </xf>
    <xf numFmtId="41" fontId="40" fillId="22" borderId="4" xfId="0" applyNumberFormat="1" applyFont="1" applyFill="1" applyBorder="1" applyAlignment="1">
      <alignment horizontal="right" vertical="center"/>
    </xf>
    <xf numFmtId="41" fontId="50" fillId="3" borderId="14" xfId="0" applyNumberFormat="1" applyFont="1" applyFill="1" applyBorder="1" applyAlignment="1">
      <alignment horizontal="center" vertical="center"/>
    </xf>
    <xf numFmtId="0" fontId="47" fillId="3" borderId="7" xfId="0" applyFont="1" applyFill="1" applyBorder="1" applyAlignment="1">
      <alignment horizontal="center" vertical="center"/>
    </xf>
    <xf numFmtId="0" fontId="47" fillId="3" borderId="15" xfId="0" applyFont="1" applyFill="1" applyBorder="1" applyAlignment="1">
      <alignment horizontal="center" vertical="center"/>
    </xf>
    <xf numFmtId="41" fontId="40" fillId="22" borderId="1" xfId="0" applyNumberFormat="1" applyFont="1" applyFill="1" applyBorder="1" applyAlignment="1">
      <alignment horizontal="right" vertical="center"/>
    </xf>
    <xf numFmtId="41" fontId="40" fillId="22" borderId="1" xfId="1" applyFont="1" applyFill="1" applyBorder="1" applyAlignment="1">
      <alignment horizontal="right" vertical="center"/>
    </xf>
    <xf numFmtId="41" fontId="40" fillId="22" borderId="2" xfId="1" applyFont="1" applyFill="1" applyBorder="1" applyAlignment="1">
      <alignment horizontal="right" vertical="center"/>
    </xf>
    <xf numFmtId="0" fontId="45" fillId="3" borderId="7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41" fontId="40" fillId="3" borderId="20" xfId="0" applyNumberFormat="1" applyFont="1" applyFill="1" applyBorder="1" applyAlignment="1">
      <alignment horizontal="center" vertical="center"/>
    </xf>
    <xf numFmtId="41" fontId="40" fillId="14" borderId="2" xfId="0" applyNumberFormat="1" applyFont="1" applyFill="1" applyBorder="1" applyAlignment="1">
      <alignment horizontal="right" vertical="center"/>
    </xf>
    <xf numFmtId="41" fontId="53" fillId="3" borderId="4" xfId="1" applyFont="1" applyFill="1" applyBorder="1" applyAlignment="1">
      <alignment vertical="center"/>
    </xf>
    <xf numFmtId="17" fontId="53" fillId="3" borderId="4" xfId="0" quotePrefix="1" applyNumberFormat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left" vertical="center" wrapText="1"/>
    </xf>
    <xf numFmtId="0" fontId="53" fillId="3" borderId="4" xfId="0" applyFont="1" applyFill="1" applyBorder="1" applyAlignment="1">
      <alignment vertical="center"/>
    </xf>
    <xf numFmtId="0" fontId="46" fillId="20" borderId="7" xfId="0" applyFont="1" applyFill="1" applyBorder="1" applyAlignment="1">
      <alignment vertical="center"/>
    </xf>
    <xf numFmtId="0" fontId="46" fillId="20" borderId="5" xfId="0" applyFont="1" applyFill="1" applyBorder="1" applyAlignment="1">
      <alignment vertical="center"/>
    </xf>
    <xf numFmtId="0" fontId="46" fillId="20" borderId="5" xfId="0" applyFont="1" applyFill="1" applyBorder="1" applyAlignment="1">
      <alignment horizontal="right" vertical="center"/>
    </xf>
    <xf numFmtId="0" fontId="46" fillId="20" borderId="5" xfId="0" applyFont="1" applyFill="1" applyBorder="1" applyAlignment="1">
      <alignment horizontal="center" vertical="center"/>
    </xf>
    <xf numFmtId="0" fontId="46" fillId="20" borderId="6" xfId="0" applyFont="1" applyFill="1" applyBorder="1" applyAlignment="1">
      <alignment vertical="center"/>
    </xf>
    <xf numFmtId="41" fontId="37" fillId="6" borderId="2" xfId="0" applyNumberFormat="1" applyFont="1" applyFill="1" applyBorder="1" applyAlignment="1">
      <alignment vertical="center"/>
    </xf>
    <xf numFmtId="41" fontId="18" fillId="6" borderId="2" xfId="0" applyNumberFormat="1" applyFont="1" applyFill="1" applyBorder="1" applyAlignment="1">
      <alignment vertical="center"/>
    </xf>
    <xf numFmtId="41" fontId="18" fillId="21" borderId="17" xfId="1" applyFont="1" applyFill="1" applyBorder="1" applyAlignment="1">
      <alignment horizontal="right" vertical="center"/>
    </xf>
    <xf numFmtId="41" fontId="18" fillId="6" borderId="17" xfId="1" applyFont="1" applyFill="1" applyBorder="1" applyAlignment="1">
      <alignment horizontal="center" vertical="center"/>
    </xf>
    <xf numFmtId="41" fontId="18" fillId="6" borderId="17" xfId="1" applyFont="1" applyFill="1" applyBorder="1" applyAlignment="1">
      <alignment vertical="center"/>
    </xf>
    <xf numFmtId="41" fontId="40" fillId="22" borderId="5" xfId="0" applyNumberFormat="1" applyFont="1" applyFill="1" applyBorder="1" applyAlignment="1">
      <alignment horizontal="right" vertical="center"/>
    </xf>
    <xf numFmtId="41" fontId="40" fillId="22" borderId="5" xfId="1" applyFont="1" applyFill="1" applyBorder="1" applyAlignment="1">
      <alignment horizontal="right" vertical="center"/>
    </xf>
    <xf numFmtId="41" fontId="18" fillId="4" borderId="8" xfId="0" applyNumberFormat="1" applyFont="1" applyFill="1" applyBorder="1" applyAlignment="1">
      <alignment horizontal="right" vertical="center"/>
    </xf>
    <xf numFmtId="168" fontId="41" fillId="3" borderId="4" xfId="0" applyNumberFormat="1" applyFont="1" applyFill="1" applyBorder="1" applyAlignment="1">
      <alignment vertical="center"/>
    </xf>
    <xf numFmtId="0" fontId="41" fillId="3" borderId="18" xfId="0" applyFont="1" applyFill="1" applyBorder="1" applyAlignment="1">
      <alignment horizontal="left" vertical="center" wrapText="1"/>
    </xf>
    <xf numFmtId="41" fontId="41" fillId="3" borderId="1" xfId="1" applyFont="1" applyFill="1" applyBorder="1" applyAlignment="1">
      <alignment horizontal="right" vertical="center"/>
    </xf>
    <xf numFmtId="0" fontId="56" fillId="15" borderId="0" xfId="0" applyFont="1" applyFill="1" applyAlignment="1">
      <alignment vertical="center"/>
    </xf>
    <xf numFmtId="41" fontId="18" fillId="19" borderId="3" xfId="0" applyNumberFormat="1" applyFont="1" applyFill="1" applyBorder="1" applyAlignment="1">
      <alignment vertical="center"/>
    </xf>
    <xf numFmtId="41" fontId="18" fillId="4" borderId="3" xfId="0" applyNumberFormat="1" applyFont="1" applyFill="1" applyBorder="1" applyAlignment="1">
      <alignment vertical="center"/>
    </xf>
    <xf numFmtId="41" fontId="18" fillId="2" borderId="3" xfId="0" applyNumberFormat="1" applyFont="1" applyFill="1" applyBorder="1" applyAlignment="1">
      <alignment vertical="center"/>
    </xf>
    <xf numFmtId="0" fontId="41" fillId="3" borderId="14" xfId="0" applyFont="1" applyFill="1" applyBorder="1" applyAlignment="1">
      <alignment horizontal="center" vertical="center"/>
    </xf>
    <xf numFmtId="168" fontId="41" fillId="3" borderId="18" xfId="0" applyNumberFormat="1" applyFont="1" applyFill="1" applyBorder="1" applyAlignment="1">
      <alignment horizontal="right" vertical="center"/>
    </xf>
    <xf numFmtId="17" fontId="41" fillId="3" borderId="18" xfId="0" quotePrefix="1" applyNumberFormat="1" applyFont="1" applyFill="1" applyBorder="1" applyAlignment="1">
      <alignment horizontal="center" vertical="center" wrapText="1"/>
    </xf>
    <xf numFmtId="41" fontId="40" fillId="14" borderId="8" xfId="0" applyNumberFormat="1" applyFont="1" applyFill="1" applyBorder="1" applyAlignment="1">
      <alignment horizontal="right" vertical="center"/>
    </xf>
    <xf numFmtId="41" fontId="40" fillId="14" borderId="8" xfId="1" applyFont="1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36" fillId="15" borderId="0" xfId="0" applyFont="1" applyFill="1" applyAlignment="1">
      <alignment vertical="center"/>
    </xf>
    <xf numFmtId="41" fontId="18" fillId="19" borderId="1" xfId="0" applyNumberFormat="1" applyFont="1" applyFill="1" applyBorder="1" applyAlignment="1">
      <alignment vertical="center"/>
    </xf>
    <xf numFmtId="41" fontId="18" fillId="2" borderId="1" xfId="0" applyNumberFormat="1" applyFont="1" applyFill="1" applyBorder="1" applyAlignment="1">
      <alignment vertical="center"/>
    </xf>
    <xf numFmtId="41" fontId="51" fillId="3" borderId="1" xfId="1" applyFont="1" applyFill="1" applyBorder="1" applyAlignment="1">
      <alignment horizontal="center" vertical="center"/>
    </xf>
    <xf numFmtId="41" fontId="58" fillId="3" borderId="1" xfId="1" applyFont="1" applyFill="1" applyBorder="1" applyAlignment="1">
      <alignment horizontal="center" vertical="center"/>
    </xf>
    <xf numFmtId="168" fontId="41" fillId="3" borderId="5" xfId="0" applyNumberFormat="1" applyFont="1" applyFill="1" applyBorder="1" applyAlignment="1">
      <alignment vertical="center"/>
    </xf>
    <xf numFmtId="0" fontId="41" fillId="3" borderId="5" xfId="0" quotePrefix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4" fillId="23" borderId="1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59" fillId="15" borderId="0" xfId="0" applyFont="1" applyFill="1"/>
    <xf numFmtId="0" fontId="59" fillId="15" borderId="0" xfId="0" applyFont="1" applyFill="1" applyAlignment="1">
      <alignment vertical="top"/>
    </xf>
    <xf numFmtId="0" fontId="59" fillId="15" borderId="0" xfId="0" applyFont="1" applyFill="1" applyAlignment="1">
      <alignment vertical="center"/>
    </xf>
    <xf numFmtId="0" fontId="59" fillId="15" borderId="0" xfId="0" applyFont="1" applyFill="1" applyAlignment="1">
      <alignment horizontal="center"/>
    </xf>
    <xf numFmtId="0" fontId="59" fillId="15" borderId="0" xfId="0" applyFont="1" applyFill="1" applyAlignment="1">
      <alignment horizontal="left"/>
    </xf>
    <xf numFmtId="0" fontId="60" fillId="15" borderId="0" xfId="0" applyFont="1" applyFill="1" applyAlignment="1"/>
    <xf numFmtId="0" fontId="61" fillId="15" borderId="0" xfId="0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170" fontId="62" fillId="15" borderId="0" xfId="0" applyNumberFormat="1" applyFont="1" applyFill="1"/>
    <xf numFmtId="0" fontId="62" fillId="15" borderId="0" xfId="0" applyFont="1" applyFill="1"/>
    <xf numFmtId="0" fontId="62" fillId="15" borderId="0" xfId="0" applyFont="1" applyFill="1" applyAlignment="1">
      <alignment horizontal="center"/>
    </xf>
    <xf numFmtId="0" fontId="62" fillId="15" borderId="0" xfId="0" applyFont="1" applyFill="1" applyAlignment="1">
      <alignment horizontal="left"/>
    </xf>
    <xf numFmtId="0" fontId="62" fillId="15" borderId="0" xfId="0" applyFont="1" applyFill="1" applyAlignment="1">
      <alignment vertical="center"/>
    </xf>
    <xf numFmtId="0" fontId="31" fillId="15" borderId="0" xfId="0" applyFont="1" applyFill="1" applyAlignment="1">
      <alignment horizontal="center"/>
    </xf>
    <xf numFmtId="0" fontId="48" fillId="15" borderId="0" xfId="0" applyFont="1" applyFill="1" applyAlignment="1">
      <alignment vertic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165" fontId="8" fillId="18" borderId="0" xfId="0" applyNumberFormat="1" applyFont="1" applyFill="1"/>
    <xf numFmtId="164" fontId="8" fillId="0" borderId="0" xfId="4" applyFont="1" applyAlignment="1">
      <alignment horizontal="left"/>
    </xf>
    <xf numFmtId="165" fontId="8" fillId="0" borderId="0" xfId="0" applyNumberFormat="1" applyFont="1"/>
    <xf numFmtId="164" fontId="8" fillId="0" borderId="0" xfId="0" applyNumberFormat="1" applyFont="1"/>
    <xf numFmtId="0" fontId="0" fillId="0" borderId="0" xfId="0" applyFill="1"/>
    <xf numFmtId="0" fontId="3" fillId="0" borderId="0" xfId="0" applyFont="1" applyFill="1"/>
    <xf numFmtId="0" fontId="8" fillId="0" borderId="0" xfId="0" applyFont="1" applyFill="1"/>
    <xf numFmtId="49" fontId="8" fillId="0" borderId="0" xfId="0" applyNumberFormat="1" applyFont="1" applyFill="1"/>
    <xf numFmtId="165" fontId="8" fillId="0" borderId="0" xfId="0" applyNumberFormat="1" applyFont="1" applyFill="1"/>
    <xf numFmtId="165" fontId="8" fillId="0" borderId="0" xfId="0" applyNumberFormat="1" applyFont="1" applyFill="1" applyAlignment="1">
      <alignment horizontal="left"/>
    </xf>
    <xf numFmtId="0" fontId="63" fillId="0" borderId="0" xfId="0" applyFont="1" applyFill="1"/>
    <xf numFmtId="165" fontId="8" fillId="8" borderId="0" xfId="0" applyNumberFormat="1" applyFont="1" applyFill="1"/>
    <xf numFmtId="165" fontId="8" fillId="8" borderId="0" xfId="0" applyNumberFormat="1" applyFont="1" applyFill="1" applyAlignment="1">
      <alignment horizontal="left"/>
    </xf>
    <xf numFmtId="0" fontId="63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65" fontId="8" fillId="0" borderId="0" xfId="4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165" fontId="8" fillId="0" borderId="0" xfId="4" applyNumberFormat="1" applyFont="1" applyAlignment="1">
      <alignment horizontal="left"/>
    </xf>
    <xf numFmtId="165" fontId="8" fillId="0" borderId="0" xfId="4" applyNumberFormat="1" applyFont="1" applyFill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left" vertical="top"/>
    </xf>
    <xf numFmtId="165" fontId="8" fillId="14" borderId="1" xfId="4" applyNumberFormat="1" applyFont="1" applyFill="1" applyBorder="1" applyAlignment="1">
      <alignment horizontal="left" vertical="top"/>
    </xf>
    <xf numFmtId="0" fontId="8" fillId="14" borderId="1" xfId="0" applyFont="1" applyFill="1" applyBorder="1" applyAlignment="1">
      <alignment horizontal="left" vertical="top"/>
    </xf>
    <xf numFmtId="165" fontId="8" fillId="3" borderId="1" xfId="4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8" fillId="14" borderId="1" xfId="4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5" fontId="8" fillId="3" borderId="1" xfId="4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64" fillId="2" borderId="4" xfId="0" applyFont="1" applyFill="1" applyBorder="1" applyAlignment="1">
      <alignment horizontal="center" wrapText="1"/>
    </xf>
    <xf numFmtId="0" fontId="64" fillId="2" borderId="4" xfId="0" applyFont="1" applyFill="1" applyBorder="1" applyAlignment="1">
      <alignment horizontal="left" wrapText="1"/>
    </xf>
    <xf numFmtId="0" fontId="65" fillId="0" borderId="0" xfId="0" applyFont="1" applyAlignment="1"/>
    <xf numFmtId="0" fontId="8" fillId="14" borderId="17" xfId="0" applyFont="1" applyFill="1" applyBorder="1" applyAlignment="1">
      <alignment horizontal="left" vertical="top"/>
    </xf>
    <xf numFmtId="0" fontId="8" fillId="14" borderId="0" xfId="0" applyFont="1" applyFill="1" applyBorder="1" applyAlignment="1">
      <alignment horizontal="left" vertical="top"/>
    </xf>
    <xf numFmtId="165" fontId="8" fillId="0" borderId="1" xfId="4" applyNumberFormat="1" applyFont="1" applyFill="1" applyBorder="1" applyAlignment="1">
      <alignment horizontal="left"/>
    </xf>
    <xf numFmtId="165" fontId="8" fillId="14" borderId="0" xfId="4" applyNumberFormat="1" applyFont="1" applyFill="1" applyBorder="1" applyAlignment="1">
      <alignment horizontal="left" vertical="top"/>
    </xf>
    <xf numFmtId="0" fontId="5" fillId="0" borderId="1" xfId="0" applyFont="1" applyFill="1" applyBorder="1"/>
    <xf numFmtId="49" fontId="8" fillId="14" borderId="0" xfId="4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/>
    <xf numFmtId="49" fontId="8" fillId="3" borderId="0" xfId="4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8" fillId="14" borderId="0" xfId="4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49" fontId="8" fillId="3" borderId="0" xfId="4" applyNumberFormat="1" applyFont="1" applyFill="1" applyBorder="1" applyAlignment="1">
      <alignment horizontal="center" vertical="top"/>
    </xf>
    <xf numFmtId="0" fontId="8" fillId="14" borderId="0" xfId="4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/>
    </xf>
    <xf numFmtId="0" fontId="8" fillId="3" borderId="0" xfId="4" applyNumberFormat="1" applyFont="1" applyFill="1" applyBorder="1" applyAlignment="1">
      <alignment horizontal="center" vertical="top"/>
    </xf>
    <xf numFmtId="0" fontId="2" fillId="0" borderId="0" xfId="12"/>
    <xf numFmtId="0" fontId="2" fillId="0" borderId="0" xfId="12" applyAlignment="1">
      <alignment horizontal="center" vertical="center"/>
    </xf>
    <xf numFmtId="0" fontId="8" fillId="0" borderId="0" xfId="12" applyFont="1" applyAlignment="1">
      <alignment horizontal="left"/>
    </xf>
    <xf numFmtId="164" fontId="5" fillId="0" borderId="0" xfId="3" applyFont="1"/>
    <xf numFmtId="0" fontId="5" fillId="0" borderId="0" xfId="12" applyFont="1"/>
    <xf numFmtId="0" fontId="2" fillId="0" borderId="0" xfId="12" applyAlignment="1">
      <alignment horizontal="left"/>
    </xf>
    <xf numFmtId="0" fontId="68" fillId="0" borderId="21" xfId="12" applyFont="1" applyFill="1" applyBorder="1" applyAlignment="1">
      <alignment horizontal="left" vertical="top"/>
    </xf>
    <xf numFmtId="0" fontId="69" fillId="0" borderId="21" xfId="12" applyFont="1" applyFill="1" applyBorder="1" applyAlignment="1"/>
    <xf numFmtId="0" fontId="68" fillId="0" borderId="21" xfId="12" applyFont="1" applyFill="1" applyBorder="1" applyAlignment="1">
      <alignment horizontal="center" vertical="center"/>
    </xf>
    <xf numFmtId="0" fontId="70" fillId="0" borderId="21" xfId="12" applyFont="1" applyFill="1" applyBorder="1" applyAlignment="1">
      <alignment horizontal="left" vertical="top"/>
    </xf>
    <xf numFmtId="0" fontId="68" fillId="0" borderId="21" xfId="12" applyFont="1" applyFill="1" applyBorder="1" applyAlignment="1">
      <alignment horizontal="center"/>
    </xf>
    <xf numFmtId="0" fontId="3" fillId="0" borderId="0" xfId="12" applyFont="1"/>
    <xf numFmtId="0" fontId="71" fillId="0" borderId="0" xfId="12" applyFont="1" applyFill="1" applyAlignment="1"/>
    <xf numFmtId="14" fontId="68" fillId="0" borderId="21" xfId="12" applyNumberFormat="1" applyFont="1" applyFill="1" applyBorder="1" applyAlignment="1">
      <alignment horizontal="left"/>
    </xf>
    <xf numFmtId="0" fontId="72" fillId="0" borderId="0" xfId="12" applyFont="1" applyFill="1" applyBorder="1" applyAlignment="1"/>
    <xf numFmtId="0" fontId="68" fillId="0" borderId="0" xfId="12" applyFont="1" applyFill="1" applyBorder="1" applyAlignment="1"/>
    <xf numFmtId="0" fontId="68" fillId="0" borderId="0" xfId="12" applyFont="1" applyFill="1" applyBorder="1" applyAlignment="1">
      <alignment horizontal="center" vertical="center"/>
    </xf>
    <xf numFmtId="0" fontId="72" fillId="0" borderId="0" xfId="12" applyFont="1" applyAlignment="1"/>
    <xf numFmtId="0" fontId="68" fillId="0" borderId="21" xfId="12" applyFont="1" applyFill="1" applyBorder="1" applyAlignment="1">
      <alignment horizontal="left" vertical="center"/>
    </xf>
    <xf numFmtId="0" fontId="68" fillId="24" borderId="21" xfId="12" applyFont="1" applyFill="1" applyBorder="1" applyAlignment="1">
      <alignment horizontal="left" vertical="top"/>
    </xf>
    <xf numFmtId="164" fontId="73" fillId="25" borderId="0" xfId="3" applyFont="1" applyFill="1"/>
    <xf numFmtId="0" fontId="73" fillId="26" borderId="0" xfId="12" applyFont="1" applyFill="1"/>
    <xf numFmtId="0" fontId="74" fillId="27" borderId="0" xfId="12" applyFont="1" applyFill="1" applyAlignment="1">
      <alignment horizontal="left"/>
    </xf>
    <xf numFmtId="14" fontId="75" fillId="0" borderId="21" xfId="12" applyNumberFormat="1" applyFont="1" applyFill="1" applyBorder="1" applyAlignment="1">
      <alignment horizontal="left"/>
    </xf>
    <xf numFmtId="0" fontId="76" fillId="0" borderId="21" xfId="12" applyFont="1" applyFill="1" applyBorder="1" applyAlignment="1"/>
    <xf numFmtId="0" fontId="77" fillId="0" borderId="21" xfId="12" applyFont="1" applyFill="1" applyBorder="1" applyAlignment="1"/>
    <xf numFmtId="0" fontId="74" fillId="28" borderId="0" xfId="12" applyFont="1" applyFill="1" applyAlignment="1">
      <alignment horizontal="left"/>
    </xf>
    <xf numFmtId="0" fontId="73" fillId="29" borderId="0" xfId="12" applyFont="1" applyFill="1"/>
    <xf numFmtId="0" fontId="74" fillId="30" borderId="0" xfId="12" applyFont="1" applyFill="1" applyAlignment="1">
      <alignment horizontal="left"/>
    </xf>
    <xf numFmtId="0" fontId="68" fillId="0" borderId="0" xfId="12" applyFont="1" applyFill="1" applyBorder="1" applyAlignment="1">
      <alignment horizontal="left" vertical="top"/>
    </xf>
    <xf numFmtId="0" fontId="70" fillId="0" borderId="0" xfId="12" applyFont="1" applyFill="1" applyBorder="1" applyAlignment="1">
      <alignment horizontal="left" vertical="top"/>
    </xf>
    <xf numFmtId="0" fontId="74" fillId="13" borderId="0" xfId="12" applyFont="1" applyFill="1" applyAlignment="1">
      <alignment horizontal="left"/>
    </xf>
    <xf numFmtId="0" fontId="73" fillId="31" borderId="0" xfId="12" applyFont="1" applyFill="1"/>
    <xf numFmtId="0" fontId="74" fillId="32" borderId="0" xfId="12" applyFont="1" applyFill="1" applyAlignment="1">
      <alignment horizontal="left"/>
    </xf>
    <xf numFmtId="0" fontId="79" fillId="0" borderId="21" xfId="12" applyFont="1" applyFill="1" applyBorder="1" applyAlignment="1"/>
    <xf numFmtId="0" fontId="73" fillId="29" borderId="0" xfId="12" applyFont="1" applyFill="1" applyAlignment="1">
      <alignment horizontal="center" vertical="center"/>
    </xf>
    <xf numFmtId="0" fontId="74" fillId="0" borderId="0" xfId="12" applyFont="1" applyFill="1" applyAlignment="1">
      <alignment horizontal="left"/>
    </xf>
    <xf numFmtId="0" fontId="74" fillId="30" borderId="0" xfId="12" applyFont="1" applyFill="1" applyAlignment="1">
      <alignment horizontal="center"/>
    </xf>
    <xf numFmtId="164" fontId="73" fillId="25" borderId="0" xfId="3" applyFont="1" applyFill="1" applyAlignment="1">
      <alignment horizontal="center" vertical="center"/>
    </xf>
    <xf numFmtId="0" fontId="74" fillId="33" borderId="0" xfId="12" applyFont="1" applyFill="1" applyAlignment="1">
      <alignment horizontal="left"/>
    </xf>
    <xf numFmtId="0" fontId="72" fillId="0" borderId="0" xfId="12" applyFont="1" applyAlignment="1">
      <alignment horizontal="center" vertical="center"/>
    </xf>
    <xf numFmtId="0" fontId="68" fillId="24" borderId="0" xfId="12" applyFont="1" applyFill="1" applyBorder="1" applyAlignment="1">
      <alignment horizontal="left" vertical="top"/>
    </xf>
    <xf numFmtId="0" fontId="27" fillId="34" borderId="11" xfId="2" applyFont="1" applyFill="1" applyBorder="1" applyAlignment="1">
      <alignment vertical="center"/>
    </xf>
    <xf numFmtId="0" fontId="73" fillId="26" borderId="0" xfId="12" applyFont="1" applyFill="1" applyAlignment="1">
      <alignment horizontal="center" vertical="center"/>
    </xf>
    <xf numFmtId="0" fontId="80" fillId="0" borderId="11" xfId="2" applyFont="1" applyFill="1" applyBorder="1" applyAlignment="1">
      <alignment horizontal="left" vertical="center"/>
    </xf>
    <xf numFmtId="0" fontId="74" fillId="32" borderId="0" xfId="12" applyFont="1" applyFill="1" applyAlignment="1">
      <alignment horizontal="center" vertical="center"/>
    </xf>
    <xf numFmtId="0" fontId="64" fillId="0" borderId="0" xfId="12" applyFont="1" applyAlignment="1">
      <alignment vertical="center"/>
    </xf>
    <xf numFmtId="0" fontId="81" fillId="0" borderId="0" xfId="12" applyFont="1" applyFill="1" applyBorder="1" applyAlignment="1">
      <alignment vertical="center"/>
    </xf>
    <xf numFmtId="0" fontId="82" fillId="23" borderId="21" xfId="12" applyFont="1" applyFill="1" applyBorder="1" applyAlignment="1">
      <alignment horizontal="left" vertical="center"/>
    </xf>
    <xf numFmtId="0" fontId="83" fillId="0" borderId="0" xfId="12" applyFont="1" applyBorder="1" applyAlignment="1"/>
    <xf numFmtId="0" fontId="83" fillId="0" borderId="0" xfId="12" applyFont="1" applyBorder="1" applyAlignment="1">
      <alignment horizontal="left"/>
    </xf>
    <xf numFmtId="0" fontId="2" fillId="0" borderId="0" xfId="12" applyFill="1"/>
    <xf numFmtId="0" fontId="2" fillId="0" borderId="0" xfId="12" applyFill="1" applyAlignment="1">
      <alignment horizontal="center" vertical="center"/>
    </xf>
    <xf numFmtId="0" fontId="8" fillId="0" borderId="0" xfId="12" applyFont="1" applyFill="1" applyAlignment="1">
      <alignment horizontal="left"/>
    </xf>
    <xf numFmtId="164" fontId="73" fillId="0" borderId="0" xfId="3" applyFont="1" applyFill="1"/>
    <xf numFmtId="0" fontId="73" fillId="0" borderId="0" xfId="12" applyFont="1" applyFill="1"/>
    <xf numFmtId="0" fontId="2" fillId="0" borderId="0" xfId="12" applyFill="1" applyAlignment="1">
      <alignment horizontal="left"/>
    </xf>
    <xf numFmtId="0" fontId="74" fillId="35" borderId="0" xfId="12" applyFont="1" applyFill="1" applyAlignment="1">
      <alignment horizontal="left"/>
    </xf>
    <xf numFmtId="0" fontId="74" fillId="36" borderId="0" xfId="12" applyFont="1" applyFill="1" applyAlignment="1">
      <alignment horizontal="left"/>
    </xf>
    <xf numFmtId="0" fontId="6" fillId="0" borderId="0" xfId="12" applyFont="1" applyAlignment="1"/>
    <xf numFmtId="0" fontId="6" fillId="0" borderId="0" xfId="12" applyFont="1" applyAlignment="1">
      <alignment horizontal="left"/>
    </xf>
    <xf numFmtId="0" fontId="65" fillId="0" borderId="0" xfId="12" applyFont="1" applyAlignment="1"/>
    <xf numFmtId="0" fontId="65" fillId="0" borderId="0" xfId="12" applyFont="1" applyAlignment="1">
      <alignment horizontal="left"/>
    </xf>
    <xf numFmtId="41" fontId="7" fillId="0" borderId="0" xfId="1" applyFont="1" applyFill="1" applyBorder="1" applyAlignment="1">
      <alignment vertical="center"/>
    </xf>
    <xf numFmtId="0" fontId="0" fillId="3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14" fontId="86" fillId="3" borderId="1" xfId="13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1" fontId="3" fillId="3" borderId="1" xfId="1" applyFont="1" applyFill="1" applyBorder="1"/>
    <xf numFmtId="0" fontId="3" fillId="37" borderId="1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41" fontId="3" fillId="37" borderId="1" xfId="1" applyFont="1" applyFill="1" applyBorder="1"/>
    <xf numFmtId="0" fontId="3" fillId="3" borderId="3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165" fontId="88" fillId="0" borderId="0" xfId="4" applyNumberFormat="1" applyFont="1" applyFill="1" applyAlignment="1">
      <alignment horizontal="left"/>
    </xf>
    <xf numFmtId="0" fontId="17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7" fillId="0" borderId="1" xfId="0" applyFont="1" applyFill="1" applyBorder="1"/>
    <xf numFmtId="165" fontId="8" fillId="14" borderId="1" xfId="3" applyNumberFormat="1" applyFont="1" applyFill="1" applyBorder="1" applyAlignment="1">
      <alignment horizontal="center"/>
    </xf>
    <xf numFmtId="0" fontId="3" fillId="14" borderId="0" xfId="0" applyFont="1" applyFill="1"/>
    <xf numFmtId="0" fontId="8" fillId="37" borderId="1" xfId="0" applyFont="1" applyFill="1" applyBorder="1" applyAlignment="1">
      <alignment horizontal="left" vertical="top"/>
    </xf>
    <xf numFmtId="165" fontId="8" fillId="37" borderId="1" xfId="3" applyNumberFormat="1" applyFont="1" applyFill="1" applyBorder="1" applyAlignment="1">
      <alignment horizontal="center"/>
    </xf>
    <xf numFmtId="165" fontId="8" fillId="37" borderId="1" xfId="4" applyNumberFormat="1" applyFont="1" applyFill="1" applyBorder="1" applyAlignment="1">
      <alignment horizontal="left" vertical="top"/>
    </xf>
    <xf numFmtId="0" fontId="8" fillId="14" borderId="0" xfId="0" applyFont="1" applyFill="1" applyAlignment="1">
      <alignment horizontal="center"/>
    </xf>
    <xf numFmtId="0" fontId="8" fillId="14" borderId="0" xfId="0" applyNumberFormat="1" applyFont="1" applyFill="1" applyAlignment="1">
      <alignment horizontal="center"/>
    </xf>
    <xf numFmtId="0" fontId="3" fillId="37" borderId="0" xfId="0" applyFont="1" applyFill="1"/>
    <xf numFmtId="49" fontId="8" fillId="37" borderId="0" xfId="4" applyNumberFormat="1" applyFont="1" applyFill="1" applyBorder="1" applyAlignment="1">
      <alignment horizontal="center" vertical="top"/>
    </xf>
    <xf numFmtId="0" fontId="8" fillId="37" borderId="0" xfId="4" applyNumberFormat="1" applyFont="1" applyFill="1" applyBorder="1" applyAlignment="1">
      <alignment horizontal="center" vertical="top"/>
    </xf>
    <xf numFmtId="0" fontId="64" fillId="2" borderId="4" xfId="0" applyFont="1" applyFill="1" applyBorder="1" applyAlignment="1">
      <alignment horizontal="center" vertical="center" wrapText="1"/>
    </xf>
    <xf numFmtId="0" fontId="68" fillId="24" borderId="24" xfId="12" applyFont="1" applyFill="1" applyBorder="1" applyAlignment="1">
      <alignment horizontal="left" vertical="top"/>
    </xf>
    <xf numFmtId="0" fontId="68" fillId="0" borderId="22" xfId="12" applyFont="1" applyFill="1" applyBorder="1" applyAlignment="1">
      <alignment horizontal="center" vertical="center"/>
    </xf>
    <xf numFmtId="0" fontId="68" fillId="0" borderId="22" xfId="12" applyFont="1" applyFill="1" applyBorder="1" applyAlignment="1">
      <alignment horizontal="left" vertical="center"/>
    </xf>
    <xf numFmtId="0" fontId="68" fillId="0" borderId="22" xfId="12" applyFont="1" applyFill="1" applyBorder="1" applyAlignment="1">
      <alignment horizontal="center"/>
    </xf>
    <xf numFmtId="0" fontId="68" fillId="0" borderId="29" xfId="12" applyFont="1" applyFill="1" applyBorder="1" applyAlignment="1">
      <alignment horizontal="center" vertical="center"/>
    </xf>
    <xf numFmtId="0" fontId="80" fillId="0" borderId="30" xfId="2" applyFont="1" applyFill="1" applyBorder="1" applyAlignment="1">
      <alignment horizontal="left" vertical="center"/>
    </xf>
    <xf numFmtId="0" fontId="77" fillId="0" borderId="29" xfId="12" applyFont="1" applyFill="1" applyBorder="1" applyAlignment="1"/>
    <xf numFmtId="0" fontId="69" fillId="0" borderId="32" xfId="12" applyFont="1" applyFill="1" applyBorder="1" applyAlignment="1"/>
    <xf numFmtId="0" fontId="69" fillId="0" borderId="33" xfId="12" applyFont="1" applyFill="1" applyBorder="1" applyAlignment="1"/>
    <xf numFmtId="0" fontId="77" fillId="0" borderId="34" xfId="12" applyFont="1" applyFill="1" applyBorder="1" applyAlignment="1"/>
    <xf numFmtId="0" fontId="77" fillId="0" borderId="31" xfId="12" applyFont="1" applyFill="1" applyBorder="1" applyAlignment="1"/>
    <xf numFmtId="0" fontId="68" fillId="0" borderId="24" xfId="12" applyFont="1" applyFill="1" applyBorder="1" applyAlignment="1">
      <alignment horizontal="left" vertical="top"/>
    </xf>
    <xf numFmtId="0" fontId="72" fillId="0" borderId="0" xfId="12" applyFont="1" applyFill="1" applyAlignment="1"/>
    <xf numFmtId="0" fontId="73" fillId="31" borderId="0" xfId="12" applyFont="1" applyFill="1" applyAlignment="1">
      <alignment horizontal="center"/>
    </xf>
    <xf numFmtId="164" fontId="73" fillId="0" borderId="0" xfId="3" applyFont="1" applyFill="1" applyAlignment="1">
      <alignment horizontal="center" vertical="center"/>
    </xf>
    <xf numFmtId="0" fontId="74" fillId="0" borderId="0" xfId="12" applyFont="1" applyFill="1" applyAlignment="1">
      <alignment horizontal="center"/>
    </xf>
    <xf numFmtId="0" fontId="3" fillId="0" borderId="3" xfId="0" applyFont="1" applyFill="1" applyBorder="1"/>
    <xf numFmtId="0" fontId="68" fillId="0" borderId="24" xfId="12" applyFont="1" applyFill="1" applyBorder="1" applyAlignment="1">
      <alignment horizontal="center"/>
    </xf>
    <xf numFmtId="0" fontId="68" fillId="0" borderId="22" xfId="12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41" xfId="0" applyFont="1" applyFill="1" applyBorder="1"/>
    <xf numFmtId="0" fontId="3" fillId="0" borderId="45" xfId="0" applyFont="1" applyFill="1" applyBorder="1"/>
    <xf numFmtId="0" fontId="90" fillId="0" borderId="46" xfId="12" applyFont="1" applyFill="1" applyBorder="1" applyAlignment="1"/>
    <xf numFmtId="0" fontId="3" fillId="0" borderId="8" xfId="0" applyFont="1" applyFill="1" applyBorder="1"/>
    <xf numFmtId="0" fontId="3" fillId="0" borderId="44" xfId="0" applyFont="1" applyFill="1" applyBorder="1"/>
    <xf numFmtId="0" fontId="3" fillId="0" borderId="47" xfId="12" applyFont="1" applyBorder="1"/>
    <xf numFmtId="0" fontId="3" fillId="0" borderId="39" xfId="0" applyFont="1" applyFill="1" applyBorder="1"/>
    <xf numFmtId="0" fontId="84" fillId="0" borderId="48" xfId="0" applyFont="1" applyFill="1" applyBorder="1" applyAlignment="1">
      <alignment horizontal="left" vertical="top"/>
    </xf>
    <xf numFmtId="0" fontId="84" fillId="0" borderId="48" xfId="0" applyFont="1" applyFill="1" applyBorder="1" applyAlignment="1">
      <alignment vertical="top"/>
    </xf>
    <xf numFmtId="0" fontId="5" fillId="0" borderId="48" xfId="0" applyFont="1" applyFill="1" applyBorder="1" applyAlignment="1">
      <alignment vertical="top"/>
    </xf>
    <xf numFmtId="0" fontId="5" fillId="0" borderId="48" xfId="0" applyFont="1" applyFill="1" applyBorder="1"/>
    <xf numFmtId="0" fontId="17" fillId="0" borderId="48" xfId="0" applyFont="1" applyFill="1" applyBorder="1" applyAlignment="1">
      <alignment vertical="top"/>
    </xf>
    <xf numFmtId="0" fontId="17" fillId="0" borderId="48" xfId="0" applyFont="1" applyFill="1" applyBorder="1"/>
    <xf numFmtId="0" fontId="84" fillId="0" borderId="48" xfId="0" applyFont="1" applyFill="1" applyBorder="1"/>
    <xf numFmtId="0" fontId="84" fillId="0" borderId="48" xfId="0" applyFont="1" applyFill="1" applyBorder="1" applyAlignment="1"/>
    <xf numFmtId="0" fontId="82" fillId="23" borderId="23" xfId="12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/>
    </xf>
    <xf numFmtId="14" fontId="5" fillId="0" borderId="21" xfId="0" applyNumberFormat="1" applyFont="1" applyFill="1" applyBorder="1" applyAlignment="1">
      <alignment horizontal="center" vertical="top"/>
    </xf>
    <xf numFmtId="0" fontId="74" fillId="27" borderId="21" xfId="12" applyFont="1" applyFill="1" applyBorder="1" applyAlignment="1">
      <alignment horizontal="left"/>
    </xf>
    <xf numFmtId="0" fontId="74" fillId="13" borderId="21" xfId="12" applyFont="1" applyFill="1" applyBorder="1" applyAlignment="1">
      <alignment horizontal="left"/>
    </xf>
    <xf numFmtId="0" fontId="74" fillId="32" borderId="21" xfId="12" applyFont="1" applyFill="1" applyBorder="1" applyAlignment="1">
      <alignment horizontal="left"/>
    </xf>
    <xf numFmtId="0" fontId="73" fillId="26" borderId="21" xfId="12" applyFont="1" applyFill="1" applyBorder="1"/>
    <xf numFmtId="0" fontId="73" fillId="31" borderId="21" xfId="12" applyFont="1" applyFill="1" applyBorder="1"/>
    <xf numFmtId="0" fontId="73" fillId="29" borderId="21" xfId="12" applyFont="1" applyFill="1" applyBorder="1"/>
    <xf numFmtId="0" fontId="8" fillId="0" borderId="21" xfId="0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center" vertical="top"/>
    </xf>
    <xf numFmtId="164" fontId="73" fillId="25" borderId="21" xfId="3" applyFont="1" applyFill="1" applyBorder="1"/>
    <xf numFmtId="0" fontId="5" fillId="0" borderId="21" xfId="0" applyFont="1" applyFill="1" applyBorder="1" applyAlignment="1">
      <alignment horizontal="center"/>
    </xf>
    <xf numFmtId="0" fontId="74" fillId="0" borderId="21" xfId="12" applyFont="1" applyFill="1" applyBorder="1" applyAlignment="1">
      <alignment horizontal="left"/>
    </xf>
    <xf numFmtId="0" fontId="73" fillId="0" borderId="21" xfId="12" applyFont="1" applyFill="1" applyBorder="1"/>
    <xf numFmtId="0" fontId="72" fillId="0" borderId="21" xfId="12" applyFont="1" applyBorder="1" applyAlignment="1"/>
    <xf numFmtId="0" fontId="74" fillId="33" borderId="21" xfId="12" applyFont="1" applyFill="1" applyBorder="1" applyAlignment="1">
      <alignment horizontal="left"/>
    </xf>
    <xf numFmtId="0" fontId="15" fillId="0" borderId="21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84" fillId="37" borderId="49" xfId="0" applyFont="1" applyFill="1" applyBorder="1" applyAlignment="1">
      <alignment horizontal="left" vertical="top"/>
    </xf>
    <xf numFmtId="0" fontId="84" fillId="37" borderId="50" xfId="0" applyFont="1" applyFill="1" applyBorder="1" applyAlignment="1">
      <alignment horizontal="left" vertical="top"/>
    </xf>
    <xf numFmtId="0" fontId="27" fillId="37" borderId="11" xfId="2" applyFont="1" applyFill="1" applyBorder="1" applyAlignment="1">
      <alignment vertical="center"/>
    </xf>
    <xf numFmtId="0" fontId="27" fillId="37" borderId="11" xfId="2" applyFont="1" applyFill="1" applyBorder="1" applyAlignment="1">
      <alignment horizontal="left" vertical="center"/>
    </xf>
    <xf numFmtId="15" fontId="27" fillId="37" borderId="11" xfId="2" applyNumberFormat="1" applyFont="1" applyFill="1" applyBorder="1" applyAlignment="1">
      <alignment horizontal="center" vertical="center"/>
    </xf>
    <xf numFmtId="165" fontId="27" fillId="37" borderId="11" xfId="9" applyNumberFormat="1" applyFont="1" applyFill="1" applyBorder="1" applyAlignment="1">
      <alignment vertical="center"/>
    </xf>
    <xf numFmtId="165" fontId="27" fillId="37" borderId="12" xfId="9" applyNumberFormat="1" applyFont="1" applyFill="1" applyBorder="1" applyAlignment="1">
      <alignment vertical="center"/>
    </xf>
    <xf numFmtId="0" fontId="26" fillId="37" borderId="11" xfId="2" applyFont="1" applyFill="1" applyBorder="1" applyAlignment="1">
      <alignment horizontal="center" vertical="center"/>
    </xf>
    <xf numFmtId="0" fontId="24" fillId="37" borderId="11" xfId="6" applyFont="1" applyFill="1" applyBorder="1"/>
    <xf numFmtId="41" fontId="24" fillId="37" borderId="11" xfId="1" applyFont="1" applyFill="1" applyBorder="1"/>
    <xf numFmtId="41" fontId="24" fillId="37" borderId="12" xfId="1" applyFont="1" applyFill="1" applyBorder="1"/>
    <xf numFmtId="0" fontId="24" fillId="37" borderId="51" xfId="6" applyFont="1" applyFill="1" applyBorder="1"/>
    <xf numFmtId="0" fontId="24" fillId="37" borderId="11" xfId="6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 wrapText="1"/>
    </xf>
    <xf numFmtId="17" fontId="27" fillId="3" borderId="11" xfId="2" applyNumberFormat="1" applyFont="1" applyFill="1" applyBorder="1" applyAlignment="1">
      <alignment horizontal="left" vertical="center" wrapText="1"/>
    </xf>
    <xf numFmtId="17" fontId="27" fillId="3" borderId="11" xfId="2" applyNumberFormat="1" applyFont="1" applyFill="1" applyBorder="1" applyAlignment="1">
      <alignment horizontal="center" vertical="center" wrapText="1"/>
    </xf>
    <xf numFmtId="0" fontId="24" fillId="37" borderId="52" xfId="6" applyFont="1" applyFill="1" applyBorder="1"/>
    <xf numFmtId="0" fontId="24" fillId="37" borderId="12" xfId="6" applyFont="1" applyFill="1" applyBorder="1"/>
    <xf numFmtId="41" fontId="0" fillId="3" borderId="0" xfId="1" applyFont="1" applyFill="1"/>
    <xf numFmtId="0" fontId="20" fillId="3" borderId="0" xfId="6" applyFont="1" applyFill="1" applyBorder="1"/>
    <xf numFmtId="41" fontId="0" fillId="3" borderId="0" xfId="10" applyFont="1" applyFill="1" applyBorder="1"/>
    <xf numFmtId="0" fontId="27" fillId="3" borderId="11" xfId="2" applyNumberFormat="1" applyFont="1" applyFill="1" applyBorder="1" applyAlignment="1">
      <alignment horizontal="center" vertical="center" wrapText="1"/>
    </xf>
    <xf numFmtId="41" fontId="1" fillId="15" borderId="0" xfId="6" applyNumberFormat="1" applyFill="1"/>
    <xf numFmtId="0" fontId="5" fillId="37" borderId="11" xfId="6" applyFont="1" applyFill="1" applyBorder="1" applyAlignment="1">
      <alignment horizontal="left"/>
    </xf>
    <xf numFmtId="0" fontId="91" fillId="3" borderId="11" xfId="2" applyFont="1" applyFill="1" applyBorder="1" applyAlignment="1">
      <alignment horizontal="left" vertical="center"/>
    </xf>
    <xf numFmtId="0" fontId="1" fillId="15" borderId="0" xfId="6" applyFill="1" applyAlignment="1">
      <alignment wrapText="1"/>
    </xf>
    <xf numFmtId="0" fontId="84" fillId="37" borderId="1" xfId="0" applyFont="1" applyFill="1" applyBorder="1" applyAlignment="1">
      <alignment horizontal="left" vertical="top"/>
    </xf>
    <xf numFmtId="0" fontId="84" fillId="37" borderId="1" xfId="0" applyFont="1" applyFill="1" applyBorder="1" applyAlignment="1">
      <alignment horizontal="center" vertical="top"/>
    </xf>
    <xf numFmtId="14" fontId="5" fillId="37" borderId="1" xfId="0" applyNumberFormat="1" applyFont="1" applyFill="1" applyBorder="1" applyAlignment="1">
      <alignment horizontal="center" vertical="top"/>
    </xf>
    <xf numFmtId="14" fontId="86" fillId="37" borderId="1" xfId="13" applyNumberFormat="1" applyFont="1" applyFill="1" applyBorder="1" applyAlignment="1">
      <alignment horizontal="center" vertical="top"/>
    </xf>
    <xf numFmtId="14" fontId="14" fillId="37" borderId="1" xfId="0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/>
    </xf>
    <xf numFmtId="14" fontId="15" fillId="37" borderId="1" xfId="0" applyNumberFormat="1" applyFont="1" applyFill="1" applyBorder="1" applyAlignment="1">
      <alignment horizontal="center"/>
    </xf>
    <xf numFmtId="0" fontId="3" fillId="37" borderId="6" xfId="0" applyFont="1" applyFill="1" applyBorder="1"/>
    <xf numFmtId="0" fontId="0" fillId="37" borderId="0" xfId="0" applyFill="1"/>
    <xf numFmtId="14" fontId="84" fillId="37" borderId="1" xfId="0" applyNumberFormat="1" applyFont="1" applyFill="1" applyBorder="1" applyAlignment="1">
      <alignment horizontal="center" vertical="top"/>
    </xf>
    <xf numFmtId="0" fontId="84" fillId="37" borderId="1" xfId="0" applyFont="1" applyFill="1" applyBorder="1" applyAlignment="1">
      <alignment vertical="top"/>
    </xf>
    <xf numFmtId="0" fontId="5" fillId="37" borderId="1" xfId="0" applyFont="1" applyFill="1" applyBorder="1" applyAlignment="1">
      <alignment horizontal="center" vertical="top"/>
    </xf>
    <xf numFmtId="165" fontId="8" fillId="37" borderId="1" xfId="3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 vertical="top"/>
    </xf>
    <xf numFmtId="0" fontId="15" fillId="37" borderId="1" xfId="0" applyFont="1" applyFill="1" applyBorder="1" applyAlignment="1">
      <alignment horizontal="center" vertical="top"/>
    </xf>
    <xf numFmtId="0" fontId="3" fillId="37" borderId="6" xfId="0" applyFont="1" applyFill="1" applyBorder="1" applyAlignment="1">
      <alignment vertical="top" wrapText="1"/>
    </xf>
    <xf numFmtId="14" fontId="87" fillId="37" borderId="1" xfId="13" applyNumberFormat="1" applyFont="1" applyFill="1" applyBorder="1" applyAlignment="1">
      <alignment horizontal="center" vertical="top"/>
    </xf>
    <xf numFmtId="14" fontId="15" fillId="37" borderId="6" xfId="0" applyNumberFormat="1" applyFont="1" applyFill="1" applyBorder="1" applyAlignment="1">
      <alignment horizontal="center"/>
    </xf>
    <xf numFmtId="0" fontId="84" fillId="37" borderId="1" xfId="0" applyFont="1" applyFill="1" applyBorder="1"/>
    <xf numFmtId="14" fontId="84" fillId="37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4" fontId="87" fillId="37" borderId="1" xfId="13" applyNumberFormat="1" applyFont="1" applyFill="1" applyBorder="1" applyAlignment="1">
      <alignment horizontal="center" vertical="top" wrapText="1"/>
    </xf>
    <xf numFmtId="0" fontId="15" fillId="37" borderId="1" xfId="0" applyFont="1" applyFill="1" applyBorder="1" applyAlignment="1">
      <alignment horizontal="center"/>
    </xf>
    <xf numFmtId="14" fontId="86" fillId="37" borderId="1" xfId="13" applyNumberFormat="1" applyFont="1" applyFill="1" applyBorder="1" applyAlignment="1">
      <alignment horizontal="center"/>
    </xf>
    <xf numFmtId="14" fontId="5" fillId="37" borderId="1" xfId="0" applyNumberFormat="1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 vertical="top"/>
    </xf>
    <xf numFmtId="0" fontId="16" fillId="37" borderId="1" xfId="0" applyFont="1" applyFill="1" applyBorder="1" applyAlignment="1">
      <alignment horizontal="center"/>
    </xf>
    <xf numFmtId="0" fontId="10" fillId="37" borderId="6" xfId="0" applyFont="1" applyFill="1" applyBorder="1"/>
    <xf numFmtId="0" fontId="84" fillId="37" borderId="1" xfId="0" applyFont="1" applyFill="1" applyBorder="1" applyAlignment="1"/>
    <xf numFmtId="14" fontId="17" fillId="37" borderId="1" xfId="0" applyNumberFormat="1" applyFont="1" applyFill="1" applyBorder="1" applyAlignment="1">
      <alignment horizontal="center"/>
    </xf>
    <xf numFmtId="0" fontId="3" fillId="37" borderId="0" xfId="0" applyFont="1" applyFill="1" applyBorder="1"/>
    <xf numFmtId="0" fontId="5" fillId="37" borderId="1" xfId="0" applyFont="1" applyFill="1" applyBorder="1" applyAlignment="1">
      <alignment vertical="top"/>
    </xf>
    <xf numFmtId="0" fontId="17" fillId="37" borderId="1" xfId="0" applyFont="1" applyFill="1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17" fillId="14" borderId="1" xfId="0" applyFont="1" applyFill="1" applyBorder="1" applyAlignment="1">
      <alignment vertical="top"/>
    </xf>
    <xf numFmtId="0" fontId="17" fillId="14" borderId="1" xfId="0" applyFont="1" applyFill="1" applyBorder="1" applyAlignment="1"/>
    <xf numFmtId="0" fontId="0" fillId="0" borderId="0" xfId="0" applyFill="1" applyAlignment="1">
      <alignment horizontal="center"/>
    </xf>
    <xf numFmtId="0" fontId="88" fillId="37" borderId="6" xfId="0" applyFont="1" applyFill="1" applyBorder="1" applyAlignment="1">
      <alignment horizontal="left" vertical="top"/>
    </xf>
    <xf numFmtId="0" fontId="88" fillId="37" borderId="0" xfId="0" applyFont="1" applyFill="1" applyAlignment="1">
      <alignment horizontal="left" vertical="top"/>
    </xf>
    <xf numFmtId="165" fontId="88" fillId="37" borderId="0" xfId="4" applyNumberFormat="1" applyFont="1" applyFill="1" applyAlignment="1">
      <alignment horizontal="left"/>
    </xf>
    <xf numFmtId="0" fontId="89" fillId="37" borderId="0" xfId="0" applyFont="1" applyFill="1"/>
    <xf numFmtId="0" fontId="17" fillId="37" borderId="1" xfId="0" applyFont="1" applyFill="1" applyBorder="1" applyAlignment="1">
      <alignment vertical="top"/>
    </xf>
    <xf numFmtId="0" fontId="5" fillId="37" borderId="1" xfId="0" applyFont="1" applyFill="1" applyBorder="1"/>
    <xf numFmtId="0" fontId="0" fillId="37" borderId="0" xfId="0" applyFill="1" applyBorder="1" applyAlignment="1">
      <alignment horizontal="center"/>
    </xf>
    <xf numFmtId="0" fontId="0" fillId="14" borderId="0" xfId="0" applyFill="1"/>
    <xf numFmtId="0" fontId="74" fillId="27" borderId="0" xfId="12" applyFont="1" applyFill="1" applyAlignment="1">
      <alignment horizontal="center"/>
    </xf>
    <xf numFmtId="0" fontId="73" fillId="26" borderId="0" xfId="12" applyFont="1" applyFill="1" applyAlignment="1">
      <alignment horizontal="center"/>
    </xf>
    <xf numFmtId="164" fontId="73" fillId="25" borderId="0" xfId="3" applyFont="1" applyFill="1" applyAlignment="1">
      <alignment horizontal="center"/>
    </xf>
    <xf numFmtId="0" fontId="74" fillId="33" borderId="0" xfId="12" applyFont="1" applyFill="1" applyAlignment="1">
      <alignment horizontal="center"/>
    </xf>
    <xf numFmtId="41" fontId="7" fillId="6" borderId="4" xfId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41" fontId="7" fillId="6" borderId="3" xfId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41" fontId="7" fillId="6" borderId="8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165" fontId="27" fillId="3" borderId="51" xfId="9" applyNumberFormat="1" applyFont="1" applyFill="1" applyBorder="1" applyAlignment="1">
      <alignment vertical="center"/>
    </xf>
    <xf numFmtId="0" fontId="27" fillId="3" borderId="50" xfId="2" applyFont="1" applyFill="1" applyBorder="1" applyAlignment="1">
      <alignment horizontal="center" vertical="center"/>
    </xf>
    <xf numFmtId="0" fontId="29" fillId="5" borderId="12" xfId="2" applyFont="1" applyFill="1" applyBorder="1" applyAlignment="1">
      <alignment horizontal="center" vertical="center"/>
    </xf>
    <xf numFmtId="0" fontId="29" fillId="5" borderId="53" xfId="2" applyFont="1" applyFill="1" applyBorder="1" applyAlignment="1">
      <alignment horizontal="center" vertical="center" wrapText="1"/>
    </xf>
    <xf numFmtId="0" fontId="29" fillId="5" borderId="12" xfId="2" applyFont="1" applyFill="1" applyBorder="1" applyAlignment="1">
      <alignment horizontal="center" vertical="center" wrapText="1"/>
    </xf>
    <xf numFmtId="165" fontId="29" fillId="5" borderId="12" xfId="9" applyNumberFormat="1" applyFont="1" applyFill="1" applyBorder="1" applyAlignment="1">
      <alignment horizontal="center" vertical="center"/>
    </xf>
    <xf numFmtId="165" fontId="29" fillId="5" borderId="56" xfId="9" applyNumberFormat="1" applyFont="1" applyFill="1" applyBorder="1" applyAlignment="1">
      <alignment horizontal="center" vertical="center"/>
    </xf>
    <xf numFmtId="165" fontId="29" fillId="5" borderId="12" xfId="9" applyNumberFormat="1" applyFont="1" applyFill="1" applyBorder="1" applyAlignment="1">
      <alignment horizontal="center" vertical="center" wrapText="1"/>
    </xf>
    <xf numFmtId="165" fontId="29" fillId="5" borderId="53" xfId="9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vertical="center"/>
    </xf>
    <xf numFmtId="0" fontId="27" fillId="3" borderId="55" xfId="2" applyFont="1" applyFill="1" applyBorder="1" applyAlignment="1">
      <alignment horizontal="left" vertical="center" wrapText="1"/>
    </xf>
    <xf numFmtId="0" fontId="27" fillId="3" borderId="55" xfId="2" applyFont="1" applyFill="1" applyBorder="1" applyAlignment="1">
      <alignment horizontal="center" vertical="center" wrapText="1"/>
    </xf>
    <xf numFmtId="17" fontId="27" fillId="3" borderId="55" xfId="2" applyNumberFormat="1" applyFont="1" applyFill="1" applyBorder="1" applyAlignment="1">
      <alignment horizontal="center" vertical="center"/>
    </xf>
    <xf numFmtId="15" fontId="27" fillId="3" borderId="55" xfId="2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horizontal="center" vertical="center"/>
    </xf>
    <xf numFmtId="165" fontId="27" fillId="3" borderId="55" xfId="9" applyNumberFormat="1" applyFont="1" applyFill="1" applyBorder="1" applyAlignment="1">
      <alignment vertical="center"/>
    </xf>
    <xf numFmtId="165" fontId="27" fillId="3" borderId="54" xfId="9" applyNumberFormat="1" applyFont="1" applyFill="1" applyBorder="1" applyAlignment="1">
      <alignment vertical="center"/>
    </xf>
    <xf numFmtId="165" fontId="27" fillId="3" borderId="57" xfId="9" applyNumberFormat="1" applyFont="1" applyFill="1" applyBorder="1" applyAlignment="1">
      <alignment vertical="center"/>
    </xf>
    <xf numFmtId="0" fontId="27" fillId="3" borderId="54" xfId="2" applyFont="1" applyFill="1" applyBorder="1" applyAlignment="1">
      <alignment horizontal="center" vertical="center"/>
    </xf>
    <xf numFmtId="0" fontId="24" fillId="37" borderId="11" xfId="6" applyFont="1" applyFill="1" applyBorder="1" applyAlignment="1">
      <alignment horizontal="center"/>
    </xf>
    <xf numFmtId="41" fontId="7" fillId="6" borderId="13" xfId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41" fontId="3" fillId="37" borderId="6" xfId="1" applyFont="1" applyFill="1" applyBorder="1"/>
    <xf numFmtId="41" fontId="3" fillId="3" borderId="6" xfId="1" applyFont="1" applyFill="1" applyBorder="1"/>
    <xf numFmtId="0" fontId="3" fillId="3" borderId="5" xfId="0" applyFont="1" applyFill="1" applyBorder="1" applyAlignment="1">
      <alignment horizontal="center"/>
    </xf>
    <xf numFmtId="0" fontId="92" fillId="0" borderId="0" xfId="0" applyFont="1"/>
    <xf numFmtId="165" fontId="20" fillId="0" borderId="0" xfId="0" applyNumberFormat="1" applyFont="1"/>
    <xf numFmtId="0" fontId="20" fillId="0" borderId="0" xfId="0" applyFont="1"/>
    <xf numFmtId="0" fontId="93" fillId="0" borderId="0" xfId="0" applyFont="1" applyAlignment="1">
      <alignment horizontal="center"/>
    </xf>
    <xf numFmtId="165" fontId="94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3" borderId="5" xfId="0" applyFont="1" applyFill="1" applyBorder="1" applyAlignment="1"/>
    <xf numFmtId="41" fontId="7" fillId="6" borderId="0" xfId="1" applyFont="1" applyFill="1" applyBorder="1" applyAlignment="1">
      <alignment horizontal="center" vertical="center" wrapText="1"/>
    </xf>
    <xf numFmtId="41" fontId="7" fillId="6" borderId="15" xfId="1" applyFont="1" applyFill="1" applyBorder="1" applyAlignment="1">
      <alignment horizontal="center" vertical="center" wrapText="1"/>
    </xf>
    <xf numFmtId="14" fontId="85" fillId="37" borderId="1" xfId="13" applyNumberFormat="1" applyFill="1" applyBorder="1" applyAlignment="1">
      <alignment horizontal="center"/>
    </xf>
    <xf numFmtId="0" fontId="85" fillId="37" borderId="0" xfId="13" applyFill="1" applyAlignment="1">
      <alignment horizontal="center"/>
    </xf>
    <xf numFmtId="0" fontId="3" fillId="37" borderId="5" xfId="0" applyFont="1" applyFill="1" applyBorder="1" applyAlignment="1"/>
    <xf numFmtId="0" fontId="3" fillId="37" borderId="7" xfId="0" applyFont="1" applyFill="1" applyBorder="1" applyAlignment="1"/>
    <xf numFmtId="41" fontId="3" fillId="37" borderId="6" xfId="0" applyNumberFormat="1" applyFont="1" applyFill="1" applyBorder="1" applyAlignment="1"/>
    <xf numFmtId="0" fontId="3" fillId="3" borderId="7" xfId="0" applyFont="1" applyFill="1" applyBorder="1" applyAlignment="1"/>
    <xf numFmtId="0" fontId="84" fillId="18" borderId="1" xfId="0" applyFont="1" applyFill="1" applyBorder="1" applyAlignment="1">
      <alignment vertical="top"/>
    </xf>
    <xf numFmtId="0" fontId="84" fillId="18" borderId="1" xfId="0" applyFont="1" applyFill="1" applyBorder="1"/>
    <xf numFmtId="0" fontId="95" fillId="0" borderId="0" xfId="0" applyFont="1"/>
    <xf numFmtId="41" fontId="95" fillId="0" borderId="0" xfId="0" applyNumberFormat="1" applyFont="1"/>
    <xf numFmtId="0" fontId="9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/>
    <xf numFmtId="0" fontId="3" fillId="3" borderId="0" xfId="0" applyFont="1" applyFill="1" applyBorder="1"/>
    <xf numFmtId="41" fontId="0" fillId="0" borderId="0" xfId="0" applyNumberFormat="1" applyAlignment="1">
      <alignment horizontal="center"/>
    </xf>
    <xf numFmtId="0" fontId="13" fillId="0" borderId="0" xfId="0" applyFont="1" applyAlignment="1">
      <alignment horizontal="left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37" borderId="6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41" fontId="7" fillId="6" borderId="3" xfId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41" fontId="7" fillId="6" borderId="2" xfId="1" applyFont="1" applyFill="1" applyBorder="1" applyAlignment="1">
      <alignment horizontal="center" vertical="center" wrapText="1"/>
    </xf>
    <xf numFmtId="41" fontId="7" fillId="6" borderId="4" xfId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41" fontId="7" fillId="6" borderId="8" xfId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5" fillId="0" borderId="0" xfId="0" applyFont="1" applyAlignment="1">
      <alignment horizontal="right"/>
    </xf>
    <xf numFmtId="41" fontId="7" fillId="6" borderId="0" xfId="1" applyFont="1" applyFill="1" applyBorder="1" applyAlignment="1">
      <alignment horizontal="center" vertical="center" wrapText="1"/>
    </xf>
    <xf numFmtId="41" fontId="7" fillId="6" borderId="15" xfId="1" applyFont="1" applyFill="1" applyBorder="1" applyAlignment="1">
      <alignment horizontal="center" vertical="center" wrapText="1"/>
    </xf>
    <xf numFmtId="41" fontId="7" fillId="6" borderId="18" xfId="1" applyFont="1" applyFill="1" applyBorder="1" applyAlignment="1">
      <alignment horizontal="center" vertical="center" wrapText="1"/>
    </xf>
    <xf numFmtId="41" fontId="7" fillId="6" borderId="14" xfId="1" applyFont="1" applyFill="1" applyBorder="1" applyAlignment="1">
      <alignment horizontal="center" vertical="center" wrapText="1"/>
    </xf>
    <xf numFmtId="41" fontId="7" fillId="23" borderId="8" xfId="1" applyFont="1" applyFill="1" applyBorder="1" applyAlignment="1">
      <alignment horizontal="center" vertical="center" wrapText="1"/>
    </xf>
    <xf numFmtId="41" fontId="7" fillId="23" borderId="13" xfId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right"/>
    </xf>
    <xf numFmtId="0" fontId="81" fillId="23" borderId="21" xfId="12" applyFont="1" applyFill="1" applyBorder="1" applyAlignment="1">
      <alignment horizontal="center" vertical="center"/>
    </xf>
    <xf numFmtId="0" fontId="81" fillId="23" borderId="23" xfId="12" applyFont="1" applyFill="1" applyBorder="1" applyAlignment="1">
      <alignment horizontal="center" vertical="center" wrapText="1"/>
    </xf>
    <xf numFmtId="0" fontId="81" fillId="23" borderId="22" xfId="12" applyFont="1" applyFill="1" applyBorder="1" applyAlignment="1">
      <alignment horizontal="center" vertical="center" wrapText="1"/>
    </xf>
    <xf numFmtId="0" fontId="81" fillId="23" borderId="21" xfId="12" applyFont="1" applyFill="1" applyBorder="1" applyAlignment="1">
      <alignment horizontal="center" vertical="center" wrapText="1"/>
    </xf>
    <xf numFmtId="0" fontId="74" fillId="33" borderId="28" xfId="12" applyFont="1" applyFill="1" applyBorder="1" applyAlignment="1">
      <alignment horizontal="center"/>
    </xf>
    <xf numFmtId="0" fontId="74" fillId="33" borderId="47" xfId="12" applyFont="1" applyFill="1" applyBorder="1" applyAlignment="1">
      <alignment horizontal="center"/>
    </xf>
    <xf numFmtId="0" fontId="74" fillId="35" borderId="47" xfId="12" applyFont="1" applyFill="1" applyBorder="1" applyAlignment="1">
      <alignment horizontal="center"/>
    </xf>
    <xf numFmtId="0" fontId="74" fillId="35" borderId="24" xfId="12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center" wrapText="1"/>
    </xf>
    <xf numFmtId="0" fontId="12" fillId="6" borderId="3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74" fillId="33" borderId="36" xfId="12" applyFont="1" applyFill="1" applyBorder="1" applyAlignment="1">
      <alignment horizontal="center"/>
    </xf>
    <xf numFmtId="0" fontId="74" fillId="33" borderId="26" xfId="12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81" fillId="23" borderId="23" xfId="12" applyFont="1" applyFill="1" applyBorder="1" applyAlignment="1">
      <alignment horizontal="center" vertical="center"/>
    </xf>
    <xf numFmtId="0" fontId="81" fillId="23" borderId="27" xfId="12" applyFont="1" applyFill="1" applyBorder="1" applyAlignment="1">
      <alignment horizontal="center" vertical="center" wrapText="1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0" fontId="34" fillId="4" borderId="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1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0" fontId="57" fillId="3" borderId="15" xfId="0" applyFont="1" applyFill="1" applyBorder="1" applyAlignment="1">
      <alignment horizontal="center" vertical="center" wrapText="1"/>
    </xf>
    <xf numFmtId="0" fontId="57" fillId="3" borderId="14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34" fillId="19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25" fillId="15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  <xf numFmtId="17" fontId="41" fillId="18" borderId="1" xfId="0" quotePrefix="1" applyNumberFormat="1" applyFont="1" applyFill="1" applyBorder="1" applyAlignment="1">
      <alignment horizontal="center" vertical="center" wrapText="1"/>
    </xf>
    <xf numFmtId="168" fontId="41" fillId="18" borderId="1" xfId="0" applyNumberFormat="1" applyFont="1" applyFill="1" applyBorder="1" applyAlignment="1">
      <alignment vertical="center"/>
    </xf>
    <xf numFmtId="0" fontId="41" fillId="18" borderId="1" xfId="0" applyFont="1" applyFill="1" applyBorder="1" applyAlignment="1">
      <alignment horizontal="center" vertical="center"/>
    </xf>
    <xf numFmtId="0" fontId="41" fillId="18" borderId="1" xfId="0" quotePrefix="1" applyFont="1" applyFill="1" applyBorder="1" applyAlignment="1">
      <alignment horizontal="center" vertical="center" wrapText="1"/>
    </xf>
    <xf numFmtId="0" fontId="41" fillId="18" borderId="1" xfId="0" applyFont="1" applyFill="1" applyBorder="1" applyAlignment="1">
      <alignment horizontal="center" vertical="center" wrapText="1"/>
    </xf>
  </cellXfs>
  <cellStyles count="14">
    <cellStyle name="60% - Accent6" xfId="5" builtinId="52"/>
    <cellStyle name="Comma" xfId="4" builtinId="3"/>
    <cellStyle name="Comma [0]" xfId="1" builtinId="6"/>
    <cellStyle name="Comma [0] 2" xfId="10"/>
    <cellStyle name="Comma 2" xfId="3"/>
    <cellStyle name="Comma 3" xfId="7"/>
    <cellStyle name="Comma 4" xfId="9"/>
    <cellStyle name="Comma 5" xfId="11"/>
    <cellStyle name="Hyperlink" xfId="13" builtinId="8"/>
    <cellStyle name="Normal" xfId="0" builtinId="0"/>
    <cellStyle name="Normal 2" xfId="2"/>
    <cellStyle name="Normal 3" xfId="6"/>
    <cellStyle name="Normal 3 2" xfId="12"/>
    <cellStyle name="Percent 2" xfId="8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Trebuchet MS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Trebuchet MS"/>
        <scheme val="maj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rebuchet MS"/>
        <scheme val="maj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major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</dxfs>
  <tableStyles count="2" defaultTableStyle="TableStyleMedium2" defaultPivotStyle="PivotStyleLight16">
    <tableStyle name="BDO Table Style" pivot="0" count="4">
      <tableStyleElement type="wholeTable" dxfId="26"/>
      <tableStyleElement type="headerRow" dxfId="25"/>
      <tableStyleElement type="firstRowStripe" dxfId="24"/>
      <tableStyleElement type="secondRowStripe" dxfId="23"/>
    </tableStyle>
    <tableStyle name="BDO Table Style 2" pivot="0" count="4">
      <tableStyleElement type="wholeTable" dxfId="22"/>
      <tableStyleElement type="headerRow" dxfId="21"/>
      <tableStyleElement type="firstRowStripe" dxfId="20"/>
      <tableStyleElement type="secondRowStripe" dxfId="19"/>
    </tableStyle>
  </tableStyles>
  <colors>
    <mruColors>
      <color rgb="FFF3D0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(Summary!$B$18,Summary!$B$19)</c:f>
              <c:strCache>
                <c:ptCount val="2"/>
                <c:pt idx="0">
                  <c:v>Total (USD+AUD+GBP+IDR)</c:v>
                </c:pt>
                <c:pt idx="1">
                  <c:v>BSO Target</c:v>
                </c:pt>
              </c:strCache>
            </c:strRef>
          </c:cat>
          <c:val>
            <c:numRef>
              <c:f>(Summary!$F$18,Summary!$F$19)</c:f>
              <c:numCache>
                <c:formatCode>_-* #,##0_-;\-* #,##0_-;_-* "-"??_-;_-@_-</c:formatCode>
                <c:ptCount val="2"/>
                <c:pt idx="0" formatCode="_(* #,##0_);_(* \(#,##0\);_(* &quot;-&quot;_);_(@_)">
                  <c:v>1494625000</c:v>
                </c:pt>
                <c:pt idx="1">
                  <c:v>10000000000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1162050</xdr:colOff>
      <xdr:row>3</xdr:row>
      <xdr:rowOff>42862</xdr:rowOff>
    </xdr:from>
    <xdr:to>
      <xdr:col>13</xdr:col>
      <xdr:colOff>447675</xdr:colOff>
      <xdr:row>17</xdr:row>
      <xdr:rowOff>214312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167640</xdr:rowOff>
    </xdr:from>
    <xdr:to>
      <xdr:col>2</xdr:col>
      <xdr:colOff>220980</xdr:colOff>
      <xdr:row>3</xdr:row>
      <xdr:rowOff>76200</xdr:rowOff>
    </xdr:to>
    <xdr:pic>
      <xdr:nvPicPr>
        <xdr:cNvPr id="2" name="Picture 1" descr="BDO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67640"/>
          <a:ext cx="12877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a/AppData/Local/Microsoft/Windows/INetCache/Content.Outlook/J77X8FNC/BSO%20Clients%20Li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donesian%20clients/BSO%20Procedures/BSO%20Clients%20Li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Payroll"/>
      <sheetName val="Dropdown list"/>
    </sheetNames>
    <sheetDataSet>
      <sheetData sheetId="0"/>
      <sheetData sheetId="1"/>
      <sheetData sheetId="2"/>
      <sheetData sheetId="3"/>
      <sheetData sheetId="4">
        <row r="1">
          <cell r="A1" t="str">
            <v>DCH</v>
          </cell>
        </row>
        <row r="2">
          <cell r="A2" t="str">
            <v>DOK</v>
          </cell>
        </row>
        <row r="3">
          <cell r="A3" t="str">
            <v>ERL</v>
          </cell>
        </row>
        <row r="4">
          <cell r="A4" t="str">
            <v>EVZ</v>
          </cell>
        </row>
        <row r="5">
          <cell r="A5" t="str">
            <v>HAT</v>
          </cell>
        </row>
        <row r="6">
          <cell r="A6" t="str">
            <v>MAY</v>
          </cell>
        </row>
        <row r="7">
          <cell r="A7" t="str">
            <v>MEL</v>
          </cell>
        </row>
        <row r="8">
          <cell r="A8" t="str">
            <v>PDI</v>
          </cell>
        </row>
        <row r="9">
          <cell r="A9" t="str">
            <v>RMI</v>
          </cell>
        </row>
        <row r="10">
          <cell r="A10" t="str">
            <v>SIS</v>
          </cell>
        </row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Dropdown list"/>
    </sheetNames>
    <sheetDataSet>
      <sheetData sheetId="0">
        <row r="42">
          <cell r="D42">
            <v>4200</v>
          </cell>
        </row>
      </sheetData>
      <sheetData sheetId="1">
        <row r="8">
          <cell r="A8" t="str">
            <v>Allightsykes, PT</v>
          </cell>
        </row>
      </sheetData>
      <sheetData sheetId="2">
        <row r="11">
          <cell r="I11">
            <v>4500</v>
          </cell>
        </row>
      </sheetData>
      <sheetData sheetId="3"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5:I45" totalsRowShown="0" headerRowDxfId="12" dataDxfId="10" headerRowBorderDxfId="11" tableBorderDxfId="9">
  <autoFilter ref="A5:I45"/>
  <sortState ref="A9:G47">
    <sortCondition ref="A5:A47"/>
  </sortState>
  <tableColumns count="9">
    <tableColumn id="1" name="Company's name" dataDxfId="8"/>
    <tableColumn id="4" name="   " dataDxfId="7"/>
    <tableColumn id="2" name="Payroll fees p.a. (USD)" dataDxfId="6" dataCellStyle="Comma">
      <calculatedColumnFormula>'[2]Master List &amp; Fees'!C17</calculatedColumnFormula>
    </tableColumn>
    <tableColumn id="3" name="Payroll fees p.a. (IDR)" dataDxfId="5" dataCellStyle="Comma">
      <calculatedColumnFormula>'[2]Master List &amp; Fees'!E18</calculatedColumnFormula>
    </tableColumn>
    <tableColumn id="5" name="Comment" dataDxfId="4"/>
    <tableColumn id="6" name="No of payruns processed monthly" dataDxfId="3"/>
    <tableColumn id="7" name="No of payslips generated monthly" dataDxfId="2"/>
    <tableColumn id="8" name="Gross/Net/Mix" dataDxfId="1"/>
    <tableColumn id="9" name="Column1" dataDxfId="0"/>
  </tableColumns>
  <tableStyleInfo name="BDO Table Style 2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DO_PowerPoint_2003_std_310709 2">
      <a:dk1>
        <a:srgbClr val="000000"/>
      </a:dk1>
      <a:lt1>
        <a:srgbClr val="FFFFFF"/>
      </a:lt1>
      <a:dk2>
        <a:srgbClr val="786860"/>
      </a:dk2>
      <a:lt2>
        <a:srgbClr val="786860"/>
      </a:lt2>
      <a:accent1>
        <a:srgbClr val="ED1A3B"/>
      </a:accent1>
      <a:accent2>
        <a:srgbClr val="2EAFA4"/>
      </a:accent2>
      <a:accent3>
        <a:srgbClr val="FFFFFF"/>
      </a:accent3>
      <a:accent4>
        <a:srgbClr val="000000"/>
      </a:accent4>
      <a:accent5>
        <a:srgbClr val="F4ABAF"/>
      </a:accent5>
      <a:accent6>
        <a:srgbClr val="299E94"/>
      </a:accent6>
      <a:hlink>
        <a:srgbClr val="98002E"/>
      </a:hlink>
      <a:folHlink>
        <a:srgbClr val="62CAE3"/>
      </a:folHlink>
    </a:clrScheme>
    <a:fontScheme name="BDO_PowerPoint_2003_std_310709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</a:objectDefaults>
  <a:extraClrSchemeLst>
    <a:extraClrScheme>
      <a:clrScheme name="BDO_PowerPoint_2003_std_310709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DO_PowerPoint_2003_std_310709 2">
        <a:dk1>
          <a:srgbClr val="000000"/>
        </a:dk1>
        <a:lt1>
          <a:srgbClr val="FFFFFF"/>
        </a:lt1>
        <a:dk2>
          <a:srgbClr val="786860"/>
        </a:dk2>
        <a:lt2>
          <a:srgbClr val="786860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3" Type="http://schemas.openxmlformats.org/officeDocument/2006/relationships/hyperlink" Target="../Microsoft/Windows/INetCache/Content.Outlook/D191XPZX/EL%20Complie/Mindray%20Medical%20Indonesia,%20PT/Monthly%20&amp;%20Annual%20Compliance%20(8%20March%202016).pdf" TargetMode="External"/><Relationship Id="rId18" Type="http://schemas.openxmlformats.org/officeDocument/2006/relationships/hyperlink" Target="../Microsoft/Windows/INetCache/Content.Outlook/D191XPZX/EL%20Complie/Altron,%20PT/Liquidator%20Services%20-%20Tax%20Review%20-%20Tax%20Audit%20Assistence%20(Non%20Recurring)%20(%201%20October%202015)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../Microsoft/Windows/INetCache/Content.Outlook/D191XPZX/EL%20Complie/Altron,%20PT/Monthly%20Bookkeeping%20(22%20July%202017).pdf" TargetMode="External"/><Relationship Id="rId21" Type="http://schemas.openxmlformats.org/officeDocument/2006/relationships/hyperlink" Target="../Microsoft/Windows/INetCache/Content.Outlook/D191XPZX/EL%20Complie/Birdwood%20Enterprise%20LTD/Company%20Incorporation%20(16%20November%202016).pdf" TargetMode="External"/><Relationship Id="rId7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2" Type="http://schemas.openxmlformats.org/officeDocument/2006/relationships/hyperlink" Target="../Microsoft/Windows/INetCache/Content.Outlook/D191XPZX/EL%20Complie/LCWaikiki/Work%20Permits%20(18%20August%202016).pdf" TargetMode="External"/><Relationship Id="rId17" Type="http://schemas.openxmlformats.org/officeDocument/2006/relationships/hyperlink" Target="../Microsoft/Windows/INetCache/Content.Outlook/D191XPZX/EL%20Complie/Wolters%20Kluwer%20Financial%20Services%20Indonesia,%20PT/Periodical%20Review%20-%20Payroll%20-%20Monthly%20&amp;%20Annual%20Compliance%20-%20Corp.%20Secre.%20Service%20(22%20June%202016)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../Microsoft/Windows/INetCache/Content.Outlook/D191XPZX/EL%20Complie/Allightsykes,%20PT/Monthly%20Compliance%20-%20Annual%20Compliance%20-%20Corp.%20Secre.%20Services%20(24%20April%202014).pdf" TargetMode="External"/><Relationship Id="rId16" Type="http://schemas.openxmlformats.org/officeDocument/2006/relationships/hyperlink" Target="../Microsoft/Windows/INetCache/Content.Outlook/D191XPZX/EL%20Complie/Twitter%20Asia%20Pacific%20Pte.%20Ltd/Payroll%20(1%20April%202014).pdf" TargetMode="External"/><Relationship Id="rId20" Type="http://schemas.openxmlformats.org/officeDocument/2006/relationships/hyperlink" Target="../Microsoft/Windows/INetCache/Content.Outlook/D191XPZX/EL%20Complie/CNBC/CNBC%20Subcontractor%20Agreement%20(19%20July%202016).PDF" TargetMode="External"/><Relationship Id="rId1" Type="http://schemas.openxmlformats.org/officeDocument/2006/relationships/hyperlink" Target="../Microsoft/Windows/INetCache/Content.Outlook/D191XPZX/EL%20Complie/Agfa%20Healthcare%20Indonesia,%20PT/Manual%20Bookkeeping%20-%20Annual%20Compliance%20(3%20January%202017).pdf" TargetMode="External"/><Relationship Id="rId6" Type="http://schemas.openxmlformats.org/officeDocument/2006/relationships/hyperlink" Target="../Microsoft/Windows/INetCache/Content.Outlook/D191XPZX/EL%20Complie/Brandtone%20Indonesia,%20PT/CRN-Monthly%20Bookkeeping%20-%20Payroll%20-%20Monthly%20&amp;%20Annual%20Compliance%20-%20Corp.%20Secre.%20Service%20(10%20August%202016).pdf" TargetMode="External"/><Relationship Id="rId11" Type="http://schemas.openxmlformats.org/officeDocument/2006/relationships/hyperlink" Target="../Microsoft/Windows/INetCache/Content.Outlook/D191XPZX/EL%20Complie/Infor%20Software%20Indonesia,%20PT/Corporate%20Secretarial%20Services%20(19%20August%202016)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Microsoft/Windows/INetCache/Content.Outlook/D191XPZX/EL%20Complie/BHLN%20Creador%20SDN%20BHD/Monthly%20Compliance%20(25%20February%202016).pdf" TargetMode="External"/><Relationship Id="rId15" Type="http://schemas.openxmlformats.org/officeDocument/2006/relationships/hyperlink" Target="../Microsoft/Windows/INetCache/Content.Outlook/D191XPZX/EL%20Complie/PPD%20Development%20(S)%20Pte%20Ltd/Coorp.%20Secre.%20Service%20-%20SKDP%20-%20TDP%20-%20Annual%20Rep.%20Office%20(26%20May%202014).pdf" TargetMode="External"/><Relationship Id="rId23" Type="http://schemas.openxmlformats.org/officeDocument/2006/relationships/hyperlink" Target="../Microsoft/Windows/INetCache/Content.Outlook/D191XPZX/EL%20Complie/De%20Bock%20Maritime%20Services%20B.V/De%20Bock%20Maritime%20Services_Company%20Incoporation-Licenses%20(Non%20Recurring)%20(22%20September%202016).pdf" TargetMode="External"/><Relationship Id="rId10" Type="http://schemas.openxmlformats.org/officeDocument/2006/relationships/hyperlink" Target="../Microsoft/Windows/INetCache/Content.Outlook/D191XPZX/EL%20Complie/CNTIC/Monthly%20VAT%20-%20Monthly%20Compliance%20-%20Payroll%20-%20Monthly%20Tax%20-%20Annual%20Compliance%20(30%20May%202016).pdf" TargetMode="External"/><Relationship Id="rId19" Type="http://schemas.openxmlformats.org/officeDocument/2006/relationships/hyperlink" Target="../Microsoft/Windows/INetCache/Content.Outlook/D191XPZX/EL%20Complie/CFX%20Indonesia,%20PT/Monthly%20&amp;%20Annual%20Compliance%20-%20Corp.%20Secre.%20Service%20(21%20February%202014).pdf" TargetMode="External"/><Relationship Id="rId4" Type="http://schemas.openxmlformats.org/officeDocument/2006/relationships/hyperlink" Target="../Microsoft/Windows/INetCache/Content.Outlook/D191XPZX/EL%20Complie/Audatex%20Indonesia,%20PT/Monthly%20Bookkeeping%20-%20Payroll%20-%20Monthly%20&amp;%20Annual%20Compliance%20-%20Treasury%20-%20Corp.%20Secre.%20(21%20July%202016).pdf" TargetMode="External"/><Relationship Id="rId9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4" Type="http://schemas.openxmlformats.org/officeDocument/2006/relationships/hyperlink" Target="../Microsoft/Windows/INetCache/Content.Outlook/D191XPZX/EL%20Complie/OIA%20International%20SCM%20Co/CRN-Monthly%20Bookkeeping%20&amp;%20Monthly%20Payroll%20&amp;%20Monthly%20Compliance%20(20%20August%202015).pdf" TargetMode="External"/><Relationship Id="rId22" Type="http://schemas.openxmlformats.org/officeDocument/2006/relationships/hyperlink" Target="../Microsoft/Windows/INetCache/Content.Outlook/D191XPZX/EL%20Complie/Comba%20Telecom,%20PT/Bookkeeping%20-%20Ad%20Hoc%20Services%20(17%20June%202015)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T60"/>
  <sheetViews>
    <sheetView zoomScaleNormal="100" workbookViewId="0">
      <pane ySplit="8" topLeftCell="A9" activePane="bottomLeft" state="frozen"/>
      <selection activeCell="D1" sqref="D1"/>
      <selection pane="bottomLeft" activeCell="C4" sqref="C4"/>
    </sheetView>
  </sheetViews>
  <sheetFormatPr defaultRowHeight="16.5" x14ac:dyDescent="0.3"/>
  <cols>
    <col min="1" max="1" width="46.25" customWidth="1"/>
    <col min="2" max="2" width="14.75" style="529" customWidth="1"/>
    <col min="3" max="3" width="13.25" style="529" customWidth="1"/>
    <col min="4" max="4" width="23" style="1" customWidth="1"/>
    <col min="5" max="5" width="13" style="1" customWidth="1"/>
    <col min="6" max="6" width="9" customWidth="1"/>
    <col min="7" max="7" width="13.75" customWidth="1"/>
    <col min="8" max="8" width="17.875" style="1" customWidth="1"/>
    <col min="9" max="9" width="11.75" customWidth="1"/>
    <col min="10" max="10" width="18.375" style="1" customWidth="1"/>
    <col min="11" max="11" width="13.375" customWidth="1"/>
    <col min="12" max="12" width="18.75" style="1" customWidth="1"/>
    <col min="13" max="13" width="12.375" customWidth="1"/>
    <col min="14" max="14" width="15.25" style="1" bestFit="1" customWidth="1"/>
    <col min="15" max="15" width="11.75" customWidth="1"/>
    <col min="16" max="16" width="15.25" style="1" bestFit="1" customWidth="1"/>
    <col min="17" max="17" width="12.75" customWidth="1"/>
    <col min="18" max="18" width="14.75" style="1" bestFit="1" customWidth="1"/>
    <col min="19" max="19" width="13.5" customWidth="1"/>
    <col min="20" max="20" width="14.375" style="1" bestFit="1" customWidth="1"/>
    <col min="21" max="21" width="14.375" bestFit="1" customWidth="1"/>
    <col min="22" max="22" width="13.25" style="1" bestFit="1" customWidth="1"/>
    <col min="23" max="23" width="9.375" customWidth="1"/>
    <col min="24" max="24" width="13.25" style="1" bestFit="1" customWidth="1"/>
    <col min="25" max="26" width="11.625" style="1" customWidth="1"/>
    <col min="27" max="27" width="14.75" bestFit="1" customWidth="1"/>
    <col min="28" max="28" width="11.5" style="1" customWidth="1"/>
    <col min="29" max="29" width="18" customWidth="1"/>
    <col min="30" max="30" width="18" style="529" customWidth="1"/>
    <col min="31" max="31" width="7.25" style="1" customWidth="1"/>
    <col min="32" max="32" width="18" style="1" customWidth="1"/>
    <col min="33" max="33" width="9" customWidth="1"/>
    <col min="34" max="34" width="16.75" style="1" customWidth="1"/>
    <col min="35" max="35" width="11.75" style="529" customWidth="1"/>
    <col min="36" max="36" width="10" bestFit="1" customWidth="1"/>
    <col min="37" max="98" width="9" style="411"/>
  </cols>
  <sheetData>
    <row r="1" spans="1:98" ht="27.75" x14ac:dyDescent="0.45">
      <c r="A1" s="761" t="s">
        <v>0</v>
      </c>
      <c r="B1" s="761"/>
      <c r="C1" s="9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C1" s="1"/>
      <c r="AG1" s="1"/>
      <c r="AH1" s="1" t="s">
        <v>706</v>
      </c>
      <c r="AJ1" s="1"/>
    </row>
    <row r="2" spans="1:98" ht="21" x14ac:dyDescent="0.35">
      <c r="A2" s="2" t="s">
        <v>1</v>
      </c>
      <c r="B2" s="540"/>
      <c r="C2" s="543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  <c r="AC2" s="1"/>
      <c r="AG2" s="1"/>
      <c r="AJ2" s="1"/>
    </row>
    <row r="3" spans="1:98" x14ac:dyDescent="0.3">
      <c r="A3" s="7" t="s">
        <v>2</v>
      </c>
      <c r="B3" s="541"/>
      <c r="D3" s="1" t="s">
        <v>864</v>
      </c>
      <c r="E3" s="734">
        <v>13300</v>
      </c>
      <c r="F3" s="1"/>
      <c r="G3" s="1"/>
      <c r="I3" s="1"/>
      <c r="K3" s="1"/>
      <c r="M3" s="1"/>
      <c r="O3" s="1"/>
      <c r="Q3" s="1"/>
      <c r="S3" s="1"/>
      <c r="U3" s="1"/>
      <c r="W3" s="1"/>
      <c r="AA3" s="1"/>
      <c r="AC3" s="1"/>
      <c r="AG3" s="1"/>
      <c r="AJ3" s="1"/>
    </row>
    <row r="4" spans="1:98" x14ac:dyDescent="0.3">
      <c r="D4" s="1" t="s">
        <v>52</v>
      </c>
      <c r="E4" s="1">
        <v>16500</v>
      </c>
      <c r="M4" s="12">
        <f>18850000/5</f>
        <v>3770000</v>
      </c>
      <c r="N4" s="12"/>
      <c r="AC4" s="13">
        <f>AC14/5</f>
        <v>12936000</v>
      </c>
      <c r="AD4" s="742"/>
      <c r="AE4" s="13"/>
      <c r="AF4" s="13"/>
    </row>
    <row r="5" spans="1:98" x14ac:dyDescent="0.3">
      <c r="A5" s="7" t="s">
        <v>54</v>
      </c>
      <c r="B5" s="541"/>
      <c r="C5" s="541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C5" s="1"/>
      <c r="AG5" s="1"/>
      <c r="AJ5" s="1"/>
    </row>
    <row r="6" spans="1:98" ht="15" customHeight="1" x14ac:dyDescent="0.3">
      <c r="A6" s="762" t="s">
        <v>4</v>
      </c>
      <c r="B6" s="762" t="s">
        <v>779</v>
      </c>
      <c r="C6" s="770" t="s">
        <v>5</v>
      </c>
      <c r="D6" s="770" t="s">
        <v>765</v>
      </c>
      <c r="E6" s="770" t="s">
        <v>45</v>
      </c>
      <c r="F6" s="773" t="s">
        <v>6</v>
      </c>
      <c r="G6" s="777" t="s">
        <v>3</v>
      </c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8"/>
      <c r="AA6" s="778"/>
      <c r="AB6" s="778"/>
      <c r="AC6" s="779"/>
      <c r="AD6" s="789" t="s">
        <v>865</v>
      </c>
      <c r="AE6" s="739"/>
      <c r="AF6" s="739"/>
      <c r="AG6" s="781" t="s">
        <v>44</v>
      </c>
      <c r="AH6" s="783" t="s">
        <v>49</v>
      </c>
      <c r="AI6" s="786" t="s">
        <v>73</v>
      </c>
      <c r="AJ6" s="783" t="s">
        <v>50</v>
      </c>
      <c r="AK6" s="527"/>
      <c r="AL6" s="527"/>
    </row>
    <row r="7" spans="1:98" ht="30" x14ac:dyDescent="0.3">
      <c r="A7" s="763"/>
      <c r="B7" s="763"/>
      <c r="C7" s="771"/>
      <c r="D7" s="771"/>
      <c r="E7" s="771"/>
      <c r="F7" s="773"/>
      <c r="G7" s="787" t="s">
        <v>46</v>
      </c>
      <c r="H7" s="788"/>
      <c r="I7" s="787" t="s">
        <v>47</v>
      </c>
      <c r="J7" s="788"/>
      <c r="K7" s="787" t="s">
        <v>7</v>
      </c>
      <c r="L7" s="788"/>
      <c r="M7" s="787" t="s">
        <v>8</v>
      </c>
      <c r="N7" s="788"/>
      <c r="O7" s="787" t="s">
        <v>48</v>
      </c>
      <c r="P7" s="788"/>
      <c r="Q7" s="787" t="s">
        <v>9</v>
      </c>
      <c r="R7" s="788"/>
      <c r="S7" s="787" t="s">
        <v>10</v>
      </c>
      <c r="T7" s="788"/>
      <c r="U7" s="787" t="s">
        <v>11</v>
      </c>
      <c r="V7" s="788"/>
      <c r="W7" s="787" t="s">
        <v>12</v>
      </c>
      <c r="X7" s="788"/>
      <c r="Y7" s="787" t="s">
        <v>51</v>
      </c>
      <c r="Z7" s="788"/>
      <c r="AA7" s="787" t="s">
        <v>13</v>
      </c>
      <c r="AB7" s="788"/>
      <c r="AC7" s="11" t="s">
        <v>14</v>
      </c>
      <c r="AD7" s="790"/>
      <c r="AE7" s="740"/>
      <c r="AF7" s="740"/>
      <c r="AG7" s="785"/>
      <c r="AH7" s="784"/>
      <c r="AI7" s="786"/>
      <c r="AJ7" s="784"/>
      <c r="AK7" s="527"/>
      <c r="AL7" s="527"/>
    </row>
    <row r="8" spans="1:98" s="1" customFormat="1" ht="30" x14ac:dyDescent="0.3">
      <c r="A8" s="701"/>
      <c r="B8" s="775"/>
      <c r="C8" s="772"/>
      <c r="D8" s="772"/>
      <c r="E8" s="772"/>
      <c r="F8" s="774"/>
      <c r="G8" s="10" t="s">
        <v>861</v>
      </c>
      <c r="H8" s="10" t="s">
        <v>862</v>
      </c>
      <c r="I8" s="10" t="s">
        <v>861</v>
      </c>
      <c r="J8" s="10" t="s">
        <v>862</v>
      </c>
      <c r="K8" s="10" t="s">
        <v>861</v>
      </c>
      <c r="L8" s="10" t="s">
        <v>862</v>
      </c>
      <c r="M8" s="10" t="s">
        <v>861</v>
      </c>
      <c r="N8" s="10" t="s">
        <v>862</v>
      </c>
      <c r="O8" s="10" t="s">
        <v>861</v>
      </c>
      <c r="P8" s="10" t="s">
        <v>862</v>
      </c>
      <c r="Q8" s="10" t="s">
        <v>861</v>
      </c>
      <c r="R8" s="10" t="s">
        <v>862</v>
      </c>
      <c r="S8" s="10" t="s">
        <v>861</v>
      </c>
      <c r="T8" s="10" t="s">
        <v>862</v>
      </c>
      <c r="U8" s="10" t="s">
        <v>861</v>
      </c>
      <c r="V8" s="10" t="s">
        <v>862</v>
      </c>
      <c r="W8" s="10" t="s">
        <v>861</v>
      </c>
      <c r="X8" s="10" t="s">
        <v>862</v>
      </c>
      <c r="Y8" s="10" t="s">
        <v>861</v>
      </c>
      <c r="Z8" s="10" t="s">
        <v>862</v>
      </c>
      <c r="AA8" s="10" t="s">
        <v>861</v>
      </c>
      <c r="AB8" s="10" t="s">
        <v>862</v>
      </c>
      <c r="AC8" s="11"/>
      <c r="AD8" s="791"/>
      <c r="AE8" s="741"/>
      <c r="AF8" s="741"/>
      <c r="AG8" s="697"/>
      <c r="AH8" s="695"/>
      <c r="AI8" s="700"/>
      <c r="AJ8" s="728"/>
      <c r="AK8" s="527"/>
      <c r="AL8" s="527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1"/>
      <c r="BN8" s="411"/>
      <c r="BO8" s="411"/>
      <c r="BP8" s="411"/>
      <c r="BQ8" s="411"/>
      <c r="BR8" s="411"/>
      <c r="BS8" s="411"/>
      <c r="BT8" s="411"/>
      <c r="BU8" s="411"/>
      <c r="BV8" s="411"/>
      <c r="BW8" s="411"/>
      <c r="BX8" s="411"/>
      <c r="BY8" s="411"/>
      <c r="BZ8" s="411"/>
      <c r="CA8" s="411"/>
      <c r="CB8" s="411"/>
      <c r="CC8" s="411"/>
      <c r="CD8" s="411"/>
      <c r="CE8" s="411"/>
      <c r="CF8" s="411"/>
      <c r="CG8" s="411"/>
      <c r="CH8" s="411"/>
      <c r="CI8" s="411"/>
      <c r="CJ8" s="411"/>
      <c r="CK8" s="411"/>
      <c r="CL8" s="411"/>
      <c r="CM8" s="411"/>
      <c r="CN8" s="411"/>
      <c r="CO8" s="411"/>
      <c r="CP8" s="411"/>
      <c r="CQ8" s="411"/>
      <c r="CR8" s="411"/>
      <c r="CS8" s="411"/>
      <c r="CT8" s="411"/>
    </row>
    <row r="9" spans="1:98" s="654" customFormat="1" x14ac:dyDescent="0.3">
      <c r="A9" s="646" t="s">
        <v>15</v>
      </c>
      <c r="B9" s="647" t="s">
        <v>795</v>
      </c>
      <c r="C9" s="648">
        <v>41753</v>
      </c>
      <c r="D9" s="649" t="s">
        <v>770</v>
      </c>
      <c r="E9" s="650">
        <v>42118</v>
      </c>
      <c r="F9" s="648" t="s">
        <v>16</v>
      </c>
      <c r="G9" s="553"/>
      <c r="H9" s="553"/>
      <c r="I9" s="553"/>
      <c r="J9" s="553"/>
      <c r="K9" s="553">
        <f>500*12</f>
        <v>6000</v>
      </c>
      <c r="L9" s="553">
        <f>K9*E3</f>
        <v>79800000</v>
      </c>
      <c r="M9" s="553">
        <v>1000</v>
      </c>
      <c r="N9" s="553">
        <f>M9*E3</f>
        <v>13300000</v>
      </c>
      <c r="O9" s="553">
        <v>4000</v>
      </c>
      <c r="P9" s="553">
        <f>O9*E3</f>
        <v>53200000</v>
      </c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>
        <f>H9+J9+L9+N9+P9+R9+T9+V9+X9+Z9+AB9</f>
        <v>146300000</v>
      </c>
      <c r="AD9" s="553"/>
      <c r="AE9" s="553"/>
      <c r="AF9" s="553"/>
      <c r="AG9" s="651" t="s">
        <v>36</v>
      </c>
      <c r="AH9" s="652">
        <v>42762</v>
      </c>
      <c r="AI9" s="528" t="s">
        <v>85</v>
      </c>
      <c r="AJ9" s="653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  <c r="BB9" s="411"/>
      <c r="BC9" s="411"/>
      <c r="BD9" s="411"/>
      <c r="BE9" s="411"/>
      <c r="BF9" s="411"/>
      <c r="BG9" s="411"/>
      <c r="BH9" s="411"/>
      <c r="BI9" s="411"/>
      <c r="BJ9" s="411"/>
      <c r="BK9" s="411"/>
      <c r="BL9" s="411"/>
      <c r="BM9" s="411"/>
      <c r="BN9" s="411"/>
      <c r="BO9" s="411"/>
      <c r="BP9" s="411"/>
      <c r="BQ9" s="411"/>
      <c r="BR9" s="411"/>
      <c r="BS9" s="411"/>
      <c r="BT9" s="411"/>
      <c r="BU9" s="411"/>
      <c r="BV9" s="411"/>
      <c r="BW9" s="411"/>
      <c r="BX9" s="411"/>
      <c r="BY9" s="411"/>
      <c r="BZ9" s="411"/>
      <c r="CA9" s="411"/>
      <c r="CB9" s="411"/>
      <c r="CC9" s="411"/>
      <c r="CD9" s="411"/>
      <c r="CE9" s="411"/>
      <c r="CF9" s="411"/>
      <c r="CG9" s="411"/>
      <c r="CH9" s="411"/>
      <c r="CI9" s="411"/>
      <c r="CJ9" s="411"/>
      <c r="CK9" s="411"/>
      <c r="CL9" s="411"/>
      <c r="CM9" s="411"/>
      <c r="CN9" s="411"/>
      <c r="CO9" s="411"/>
      <c r="CP9" s="411"/>
      <c r="CQ9" s="411"/>
      <c r="CR9" s="411"/>
      <c r="CS9" s="411"/>
      <c r="CT9" s="411"/>
    </row>
    <row r="10" spans="1:98" s="654" customFormat="1" x14ac:dyDescent="0.3">
      <c r="A10" s="646" t="s">
        <v>771</v>
      </c>
      <c r="B10" s="647" t="s">
        <v>795</v>
      </c>
      <c r="C10" s="655">
        <v>42543</v>
      </c>
      <c r="D10" s="649" t="s">
        <v>772</v>
      </c>
      <c r="E10" s="655">
        <v>42907</v>
      </c>
      <c r="F10" s="648" t="s">
        <v>18</v>
      </c>
      <c r="G10" s="553">
        <f>5000000*12</f>
        <v>60000000</v>
      </c>
      <c r="H10" s="553">
        <f>5000000*12</f>
        <v>60000000</v>
      </c>
      <c r="I10" s="553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>
        <f t="shared" ref="AC10:AC45" si="0">H10+J10+L10+N10+P10+R10+T10+V10+X10+Z10+AB10</f>
        <v>60000000</v>
      </c>
      <c r="AD10" s="553"/>
      <c r="AE10" s="553"/>
      <c r="AF10" s="553"/>
      <c r="AG10" s="651" t="s">
        <v>36</v>
      </c>
      <c r="AH10" s="652">
        <v>42847</v>
      </c>
      <c r="AI10" s="528" t="s">
        <v>85</v>
      </c>
      <c r="AJ10" s="653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  <c r="BB10" s="411"/>
      <c r="BC10" s="411"/>
      <c r="BD10" s="411"/>
      <c r="BE10" s="411"/>
      <c r="BF10" s="411"/>
      <c r="BG10" s="411"/>
      <c r="BH10" s="411"/>
      <c r="BI10" s="411"/>
      <c r="BJ10" s="411"/>
      <c r="BK10" s="411"/>
      <c r="BL10" s="411"/>
      <c r="BM10" s="411"/>
      <c r="BN10" s="411"/>
      <c r="BO10" s="411"/>
      <c r="BP10" s="411"/>
      <c r="BQ10" s="411"/>
      <c r="BR10" s="411"/>
      <c r="BS10" s="411"/>
      <c r="BT10" s="411"/>
      <c r="BU10" s="411"/>
      <c r="BV10" s="411"/>
      <c r="BW10" s="411"/>
      <c r="BX10" s="411"/>
      <c r="BY10" s="411"/>
      <c r="BZ10" s="411"/>
      <c r="CA10" s="411"/>
      <c r="CB10" s="411"/>
      <c r="CC10" s="411"/>
      <c r="CD10" s="411"/>
      <c r="CE10" s="411"/>
      <c r="CF10" s="411"/>
      <c r="CG10" s="411"/>
      <c r="CH10" s="411"/>
      <c r="CI10" s="411"/>
      <c r="CJ10" s="411"/>
      <c r="CK10" s="411"/>
      <c r="CL10" s="411"/>
      <c r="CM10" s="411"/>
      <c r="CN10" s="411"/>
      <c r="CO10" s="411"/>
      <c r="CP10" s="411"/>
      <c r="CQ10" s="411"/>
      <c r="CR10" s="411"/>
      <c r="CS10" s="411"/>
      <c r="CT10" s="411"/>
    </row>
    <row r="11" spans="1:98" s="654" customFormat="1" x14ac:dyDescent="0.3">
      <c r="A11" s="656" t="s">
        <v>17</v>
      </c>
      <c r="B11" s="647" t="s">
        <v>795</v>
      </c>
      <c r="C11" s="655">
        <v>42005</v>
      </c>
      <c r="D11" s="655"/>
      <c r="E11" s="657"/>
      <c r="F11" s="657" t="s">
        <v>18</v>
      </c>
      <c r="G11" s="658"/>
      <c r="H11" s="658"/>
      <c r="I11" s="658"/>
      <c r="J11" s="658"/>
      <c r="K11" s="658">
        <f>33750000*12</f>
        <v>405000000</v>
      </c>
      <c r="L11" s="658">
        <f>33750000*12</f>
        <v>405000000</v>
      </c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  <c r="X11" s="658"/>
      <c r="Y11" s="658"/>
      <c r="Z11" s="658"/>
      <c r="AA11" s="658"/>
      <c r="AB11" s="658"/>
      <c r="AC11" s="553">
        <f t="shared" si="0"/>
        <v>405000000</v>
      </c>
      <c r="AD11" s="658"/>
      <c r="AE11" s="658"/>
      <c r="AF11" s="658"/>
      <c r="AG11" s="659" t="s">
        <v>74</v>
      </c>
      <c r="AH11" s="660"/>
      <c r="AI11" s="528" t="s">
        <v>115</v>
      </c>
      <c r="AJ11" s="66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1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1"/>
      <c r="CJ11" s="411"/>
      <c r="CK11" s="411"/>
      <c r="CL11" s="411"/>
      <c r="CM11" s="411"/>
      <c r="CN11" s="411"/>
      <c r="CO11" s="411"/>
      <c r="CP11" s="411"/>
      <c r="CQ11" s="411"/>
      <c r="CR11" s="411"/>
      <c r="CS11" s="411"/>
      <c r="CT11" s="411"/>
    </row>
    <row r="12" spans="1:98" s="654" customFormat="1" x14ac:dyDescent="0.3">
      <c r="A12" s="752" t="s">
        <v>70</v>
      </c>
      <c r="B12" s="647" t="s">
        <v>795</v>
      </c>
      <c r="C12" s="655"/>
      <c r="D12" s="655"/>
      <c r="E12" s="657"/>
      <c r="F12" s="657"/>
      <c r="G12" s="658"/>
      <c r="H12" s="658"/>
      <c r="I12" s="658"/>
      <c r="J12" s="658"/>
      <c r="K12" s="658"/>
      <c r="L12" s="658"/>
      <c r="M12" s="658"/>
      <c r="N12" s="658"/>
      <c r="O12" s="658"/>
      <c r="P12" s="658"/>
      <c r="Q12" s="658">
        <f>56271.69*511*12</f>
        <v>345058003.07999998</v>
      </c>
      <c r="R12" s="658">
        <f>56271.69*511*12</f>
        <v>345058003.07999998</v>
      </c>
      <c r="S12" s="658"/>
      <c r="T12" s="658"/>
      <c r="U12" s="658"/>
      <c r="V12" s="658"/>
      <c r="W12" s="658"/>
      <c r="X12" s="658"/>
      <c r="Y12" s="658"/>
      <c r="Z12" s="658"/>
      <c r="AA12" s="658"/>
      <c r="AB12" s="658"/>
      <c r="AC12" s="553">
        <f t="shared" si="0"/>
        <v>345058003.07999998</v>
      </c>
      <c r="AD12" s="658">
        <v>13303</v>
      </c>
      <c r="AE12" s="658"/>
      <c r="AF12" s="658"/>
      <c r="AG12" s="659" t="s">
        <v>135</v>
      </c>
      <c r="AH12" s="660"/>
      <c r="AI12" s="528" t="s">
        <v>89</v>
      </c>
      <c r="AJ12" s="66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411"/>
      <c r="CP12" s="411"/>
      <c r="CQ12" s="411"/>
      <c r="CR12" s="411"/>
      <c r="CS12" s="411"/>
      <c r="CT12" s="411"/>
    </row>
    <row r="13" spans="1:98" s="654" customFormat="1" x14ac:dyDescent="0.3">
      <c r="A13" s="656" t="s">
        <v>773</v>
      </c>
      <c r="B13" s="647" t="s">
        <v>795</v>
      </c>
      <c r="C13" s="655">
        <v>42572</v>
      </c>
      <c r="D13" s="662" t="s">
        <v>774</v>
      </c>
      <c r="E13" s="648">
        <v>42916</v>
      </c>
      <c r="F13" s="657" t="s">
        <v>18</v>
      </c>
      <c r="G13" s="553">
        <f>3770000*12</f>
        <v>45240000</v>
      </c>
      <c r="H13" s="553">
        <f>3770000*12</f>
        <v>45240000</v>
      </c>
      <c r="I13" s="553"/>
      <c r="J13" s="553"/>
      <c r="K13" s="553">
        <f>3770000*12</f>
        <v>45240000</v>
      </c>
      <c r="L13" s="553">
        <f>3770000*12</f>
        <v>45240000</v>
      </c>
      <c r="M13" s="553">
        <v>26000000</v>
      </c>
      <c r="N13" s="553">
        <v>26000000</v>
      </c>
      <c r="O13" s="553">
        <f t="shared" ref="O13:T13" si="1">3770000*12</f>
        <v>45240000</v>
      </c>
      <c r="P13" s="553">
        <f t="shared" si="1"/>
        <v>45240000</v>
      </c>
      <c r="Q13" s="553">
        <f t="shared" si="1"/>
        <v>45240000</v>
      </c>
      <c r="R13" s="553">
        <f t="shared" si="1"/>
        <v>45240000</v>
      </c>
      <c r="S13" s="553">
        <f t="shared" si="1"/>
        <v>45240000</v>
      </c>
      <c r="T13" s="553">
        <f t="shared" si="1"/>
        <v>45240000</v>
      </c>
      <c r="U13" s="553"/>
      <c r="V13" s="553"/>
      <c r="W13" s="553"/>
      <c r="X13" s="553"/>
      <c r="Y13" s="553"/>
      <c r="Z13" s="553"/>
      <c r="AA13" s="553"/>
      <c r="AB13" s="553"/>
      <c r="AC13" s="553">
        <f t="shared" si="0"/>
        <v>252200000</v>
      </c>
      <c r="AD13" s="553"/>
      <c r="AE13" s="553"/>
      <c r="AF13" s="553"/>
      <c r="AG13" s="651" t="s">
        <v>135</v>
      </c>
      <c r="AH13" s="652">
        <v>42856</v>
      </c>
      <c r="AI13" s="528" t="s">
        <v>105</v>
      </c>
      <c r="AJ13" s="663">
        <v>42856</v>
      </c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411"/>
      <c r="CP13" s="411"/>
      <c r="CQ13" s="411"/>
      <c r="CR13" s="411"/>
      <c r="CS13" s="411"/>
      <c r="CT13" s="411"/>
    </row>
    <row r="14" spans="1:98" s="654" customFormat="1" x14ac:dyDescent="0.3">
      <c r="A14" s="656" t="s">
        <v>775</v>
      </c>
      <c r="B14" s="647" t="s">
        <v>795</v>
      </c>
      <c r="C14" s="655">
        <v>42425</v>
      </c>
      <c r="D14" s="662" t="s">
        <v>776</v>
      </c>
      <c r="E14" s="648">
        <v>42794</v>
      </c>
      <c r="F14" s="657" t="s">
        <v>16</v>
      </c>
      <c r="G14" s="553"/>
      <c r="H14" s="553"/>
      <c r="I14" s="553"/>
      <c r="J14" s="553"/>
      <c r="K14" s="553">
        <f>400*12</f>
        <v>4800</v>
      </c>
      <c r="L14" s="553">
        <f>K14*AD14</f>
        <v>64680000</v>
      </c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>
        <f t="shared" si="0"/>
        <v>64680000</v>
      </c>
      <c r="AD14" s="553">
        <v>13475</v>
      </c>
      <c r="AE14" s="553"/>
      <c r="AF14" s="553"/>
      <c r="AG14" s="651" t="s">
        <v>135</v>
      </c>
      <c r="AH14" s="652">
        <v>42736</v>
      </c>
      <c r="AI14" s="528" t="s">
        <v>96</v>
      </c>
      <c r="AJ14" s="653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11"/>
      <c r="AW14" s="411"/>
      <c r="AX14" s="411"/>
      <c r="AY14" s="411"/>
      <c r="AZ14" s="411"/>
      <c r="BA14" s="411"/>
      <c r="BB14" s="411"/>
      <c r="BC14" s="411"/>
      <c r="BD14" s="411"/>
      <c r="BE14" s="411"/>
      <c r="BF14" s="411"/>
      <c r="BG14" s="411"/>
      <c r="BH14" s="411"/>
      <c r="BI14" s="411"/>
      <c r="BJ14" s="411"/>
      <c r="BK14" s="411"/>
      <c r="BL14" s="411"/>
      <c r="BM14" s="411"/>
      <c r="BN14" s="411"/>
      <c r="BO14" s="411"/>
      <c r="BP14" s="411"/>
      <c r="BQ14" s="411"/>
      <c r="BR14" s="411"/>
      <c r="BS14" s="411"/>
      <c r="BT14" s="411"/>
      <c r="BU14" s="411"/>
      <c r="BV14" s="411"/>
      <c r="BW14" s="411"/>
      <c r="BX14" s="411"/>
      <c r="BY14" s="411"/>
      <c r="BZ14" s="411"/>
      <c r="CA14" s="411"/>
      <c r="CB14" s="411"/>
      <c r="CC14" s="411"/>
      <c r="CD14" s="411"/>
      <c r="CE14" s="411"/>
      <c r="CF14" s="411"/>
      <c r="CG14" s="411"/>
      <c r="CH14" s="411"/>
      <c r="CI14" s="411"/>
      <c r="CJ14" s="411"/>
      <c r="CK14" s="411"/>
      <c r="CL14" s="411"/>
      <c r="CM14" s="411"/>
      <c r="CN14" s="411"/>
      <c r="CO14" s="411"/>
      <c r="CP14" s="411"/>
      <c r="CQ14" s="411"/>
      <c r="CR14" s="411"/>
      <c r="CS14" s="411"/>
      <c r="CT14" s="411"/>
    </row>
    <row r="15" spans="1:98" s="654" customFormat="1" x14ac:dyDescent="0.3">
      <c r="A15" s="656" t="s">
        <v>21</v>
      </c>
      <c r="B15" s="647" t="s">
        <v>795</v>
      </c>
      <c r="C15" s="655">
        <v>42100</v>
      </c>
      <c r="D15" s="655"/>
      <c r="E15" s="648">
        <v>42856</v>
      </c>
      <c r="F15" s="648" t="s">
        <v>16</v>
      </c>
      <c r="G15" s="658">
        <v>2250</v>
      </c>
      <c r="H15" s="658">
        <f>G15*E3</f>
        <v>29925000</v>
      </c>
      <c r="I15" s="658">
        <v>2250</v>
      </c>
      <c r="J15" s="658">
        <f>I15*E3</f>
        <v>29925000</v>
      </c>
      <c r="K15" s="658">
        <v>2250</v>
      </c>
      <c r="L15" s="658">
        <f>K15*E3</f>
        <v>29925000</v>
      </c>
      <c r="M15" s="658">
        <v>2250</v>
      </c>
      <c r="N15" s="658">
        <f>M15*E3</f>
        <v>29925000</v>
      </c>
      <c r="O15" s="658"/>
      <c r="P15" s="658"/>
      <c r="Q15" s="553">
        <v>4500</v>
      </c>
      <c r="R15" s="553">
        <f>Q15*E3</f>
        <v>59850000</v>
      </c>
      <c r="S15" s="553">
        <v>4500</v>
      </c>
      <c r="T15" s="553">
        <f>S15*E3</f>
        <v>59850000</v>
      </c>
      <c r="U15" s="553"/>
      <c r="V15" s="553"/>
      <c r="W15" s="553"/>
      <c r="X15" s="553"/>
      <c r="Y15" s="553"/>
      <c r="Z15" s="553"/>
      <c r="AA15" s="553"/>
      <c r="AB15" s="553"/>
      <c r="AC15" s="553">
        <f t="shared" si="0"/>
        <v>239400000</v>
      </c>
      <c r="AD15" s="553"/>
      <c r="AE15" s="553"/>
      <c r="AF15" s="553"/>
      <c r="AG15" s="651" t="s">
        <v>136</v>
      </c>
      <c r="AH15" s="652">
        <v>42795</v>
      </c>
      <c r="AI15" s="528" t="s">
        <v>98</v>
      </c>
      <c r="AJ15" s="653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11"/>
      <c r="BU15" s="411"/>
      <c r="BV15" s="411"/>
      <c r="BW15" s="411"/>
      <c r="BX15" s="411"/>
      <c r="BY15" s="411"/>
      <c r="BZ15" s="411"/>
      <c r="CA15" s="411"/>
      <c r="CB15" s="411"/>
      <c r="CC15" s="411"/>
      <c r="CD15" s="411"/>
      <c r="CE15" s="411"/>
      <c r="CF15" s="411"/>
      <c r="CG15" s="411"/>
      <c r="CH15" s="411"/>
      <c r="CI15" s="411"/>
      <c r="CJ15" s="411"/>
      <c r="CK15" s="411"/>
      <c r="CL15" s="411"/>
      <c r="CM15" s="411"/>
      <c r="CN15" s="411"/>
      <c r="CO15" s="411"/>
      <c r="CP15" s="411"/>
      <c r="CQ15" s="411"/>
      <c r="CR15" s="411"/>
      <c r="CS15" s="411"/>
      <c r="CT15" s="411"/>
    </row>
    <row r="16" spans="1:98" s="654" customFormat="1" x14ac:dyDescent="0.3">
      <c r="A16" s="664" t="s">
        <v>22</v>
      </c>
      <c r="B16" s="647" t="s">
        <v>795</v>
      </c>
      <c r="C16" s="665">
        <v>41239</v>
      </c>
      <c r="D16" s="665"/>
      <c r="E16" s="666"/>
      <c r="F16" s="666" t="s">
        <v>16</v>
      </c>
      <c r="G16" s="658">
        <v>16000</v>
      </c>
      <c r="H16" s="658">
        <f>G16*E4</f>
        <v>264000000</v>
      </c>
      <c r="I16" s="658"/>
      <c r="J16" s="658"/>
      <c r="K16" s="553">
        <v>5000</v>
      </c>
      <c r="L16" s="553">
        <f>K16*E3</f>
        <v>66500000</v>
      </c>
      <c r="M16" s="553"/>
      <c r="N16" s="553"/>
      <c r="O16" s="553"/>
      <c r="P16" s="553"/>
      <c r="Q16" s="553">
        <v>3000</v>
      </c>
      <c r="R16" s="553">
        <f>Q16*E3</f>
        <v>39900000</v>
      </c>
      <c r="S16" s="553">
        <v>2000</v>
      </c>
      <c r="T16" s="553">
        <f>S16*E3</f>
        <v>26600000</v>
      </c>
      <c r="U16" s="553"/>
      <c r="V16" s="553"/>
      <c r="W16" s="553"/>
      <c r="X16" s="553"/>
      <c r="Y16" s="553"/>
      <c r="Z16" s="553"/>
      <c r="AA16" s="553"/>
      <c r="AB16" s="553"/>
      <c r="AC16" s="553">
        <f t="shared" si="0"/>
        <v>397000000</v>
      </c>
      <c r="AD16" s="553"/>
      <c r="AE16" s="553"/>
      <c r="AF16" s="553"/>
      <c r="AG16" s="651" t="s">
        <v>135</v>
      </c>
      <c r="AH16" s="652">
        <v>42768</v>
      </c>
      <c r="AI16" s="528" t="s">
        <v>100</v>
      </c>
      <c r="AJ16" s="653"/>
      <c r="AK16" s="411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V16" s="411"/>
      <c r="AW16" s="411"/>
      <c r="AX16" s="411"/>
      <c r="AY16" s="411"/>
      <c r="AZ16" s="411"/>
      <c r="BA16" s="411"/>
      <c r="BB16" s="411"/>
      <c r="BC16" s="411"/>
      <c r="BD16" s="411"/>
      <c r="BE16" s="411"/>
      <c r="BF16" s="411"/>
      <c r="BG16" s="411"/>
      <c r="BH16" s="411"/>
      <c r="BI16" s="411"/>
      <c r="BJ16" s="411"/>
      <c r="BK16" s="411"/>
      <c r="BL16" s="411"/>
      <c r="BM16" s="411"/>
      <c r="BN16" s="411"/>
      <c r="BO16" s="411"/>
      <c r="BP16" s="411"/>
      <c r="BQ16" s="411"/>
      <c r="BR16" s="411"/>
      <c r="BS16" s="411"/>
      <c r="BT16" s="411"/>
      <c r="BU16" s="411"/>
      <c r="BV16" s="411"/>
      <c r="BW16" s="411"/>
      <c r="BX16" s="411"/>
      <c r="BY16" s="411"/>
      <c r="BZ16" s="411"/>
      <c r="CA16" s="411"/>
      <c r="CB16" s="411"/>
      <c r="CC16" s="411"/>
      <c r="CD16" s="411"/>
      <c r="CE16" s="411"/>
      <c r="CF16" s="411"/>
      <c r="CG16" s="411"/>
      <c r="CH16" s="411"/>
      <c r="CI16" s="411"/>
      <c r="CJ16" s="411"/>
      <c r="CK16" s="411"/>
      <c r="CL16" s="411"/>
      <c r="CM16" s="411"/>
      <c r="CN16" s="411"/>
      <c r="CO16" s="411"/>
      <c r="CP16" s="411"/>
      <c r="CQ16" s="411"/>
      <c r="CR16" s="411"/>
      <c r="CS16" s="411"/>
      <c r="CT16" s="411"/>
    </row>
    <row r="17" spans="1:98" s="654" customFormat="1" x14ac:dyDescent="0.3">
      <c r="A17" s="753" t="s">
        <v>76</v>
      </c>
      <c r="B17" s="647" t="s">
        <v>795</v>
      </c>
      <c r="C17" s="665"/>
      <c r="D17" s="665"/>
      <c r="E17" s="666"/>
      <c r="F17" s="666"/>
      <c r="G17" s="658"/>
      <c r="H17" s="658"/>
      <c r="I17" s="658"/>
      <c r="J17" s="658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>
        <f t="shared" si="0"/>
        <v>0</v>
      </c>
      <c r="AD17" s="553"/>
      <c r="AE17" s="553"/>
      <c r="AF17" s="553"/>
      <c r="AG17" s="651" t="s">
        <v>19</v>
      </c>
      <c r="AH17" s="652"/>
      <c r="AI17" s="528" t="s">
        <v>85</v>
      </c>
      <c r="AJ17" s="653"/>
      <c r="AK17" s="411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1"/>
      <c r="AX17" s="411"/>
      <c r="AY17" s="411"/>
      <c r="AZ17" s="411"/>
      <c r="BA17" s="411"/>
      <c r="BB17" s="411"/>
      <c r="BC17" s="411"/>
      <c r="BD17" s="411"/>
      <c r="BE17" s="411"/>
      <c r="BF17" s="411"/>
      <c r="BG17" s="411"/>
      <c r="BH17" s="411"/>
      <c r="BI17" s="411"/>
      <c r="BJ17" s="411"/>
      <c r="BK17" s="411"/>
      <c r="BL17" s="411"/>
      <c r="BM17" s="411"/>
      <c r="BN17" s="411"/>
      <c r="BO17" s="411"/>
      <c r="BP17" s="411"/>
      <c r="BQ17" s="411"/>
      <c r="BR17" s="411"/>
      <c r="BS17" s="411"/>
      <c r="BT17" s="411"/>
      <c r="BU17" s="411"/>
      <c r="BV17" s="411"/>
      <c r="BW17" s="411"/>
      <c r="BX17" s="411"/>
      <c r="BY17" s="411"/>
      <c r="BZ17" s="411"/>
      <c r="CA17" s="411"/>
      <c r="CB17" s="411"/>
      <c r="CC17" s="411"/>
      <c r="CD17" s="411"/>
      <c r="CE17" s="411"/>
      <c r="CF17" s="411"/>
      <c r="CG17" s="411"/>
      <c r="CH17" s="411"/>
      <c r="CI17" s="411"/>
      <c r="CJ17" s="411"/>
      <c r="CK17" s="411"/>
      <c r="CL17" s="411"/>
      <c r="CM17" s="411"/>
      <c r="CN17" s="411"/>
      <c r="CO17" s="411"/>
      <c r="CP17" s="411"/>
      <c r="CQ17" s="411"/>
      <c r="CR17" s="411"/>
      <c r="CS17" s="411"/>
      <c r="CT17" s="411"/>
    </row>
    <row r="18" spans="1:98" s="654" customFormat="1" x14ac:dyDescent="0.3">
      <c r="A18" s="656" t="s">
        <v>778</v>
      </c>
      <c r="B18" s="647" t="s">
        <v>795</v>
      </c>
      <c r="C18" s="655">
        <v>42552</v>
      </c>
      <c r="D18" s="667" t="s">
        <v>777</v>
      </c>
      <c r="E18" s="648">
        <v>42916</v>
      </c>
      <c r="F18" s="657" t="s">
        <v>18</v>
      </c>
      <c r="G18" s="658"/>
      <c r="H18" s="658"/>
      <c r="I18" s="658"/>
      <c r="J18" s="658"/>
      <c r="K18" s="553">
        <f>6000000*12</f>
        <v>72000000</v>
      </c>
      <c r="L18" s="553">
        <f>6000000*12</f>
        <v>72000000</v>
      </c>
      <c r="M18" s="553">
        <v>2000000</v>
      </c>
      <c r="N18" s="553">
        <v>2000000</v>
      </c>
      <c r="O18" s="553">
        <f>4000000*12</f>
        <v>48000000</v>
      </c>
      <c r="P18" s="553">
        <f>4000000*12</f>
        <v>48000000</v>
      </c>
      <c r="Q18" s="553">
        <f>6000000*12</f>
        <v>72000000</v>
      </c>
      <c r="R18" s="553">
        <f>6000000*12</f>
        <v>72000000</v>
      </c>
      <c r="S18" s="553">
        <f>2400000*12</f>
        <v>28800000</v>
      </c>
      <c r="T18" s="553">
        <f>2400000*12</f>
        <v>28800000</v>
      </c>
      <c r="U18" s="553"/>
      <c r="V18" s="553"/>
      <c r="W18" s="553"/>
      <c r="X18" s="553"/>
      <c r="Y18" s="553"/>
      <c r="Z18" s="553"/>
      <c r="AA18" s="553"/>
      <c r="AB18" s="553"/>
      <c r="AC18" s="553">
        <f t="shared" si="0"/>
        <v>222800000</v>
      </c>
      <c r="AD18" s="553"/>
      <c r="AE18" s="553"/>
      <c r="AF18" s="553"/>
      <c r="AG18" s="651" t="s">
        <v>19</v>
      </c>
      <c r="AH18" s="652">
        <v>42828</v>
      </c>
      <c r="AI18" s="528" t="s">
        <v>105</v>
      </c>
      <c r="AJ18" s="653"/>
      <c r="AK18" s="411"/>
      <c r="AL18" s="411"/>
      <c r="AM18" s="411"/>
      <c r="AN18" s="411"/>
      <c r="AO18" s="411"/>
      <c r="AP18" s="411"/>
      <c r="AQ18" s="411"/>
      <c r="AR18" s="411"/>
      <c r="AS18" s="411"/>
      <c r="AT18" s="411"/>
      <c r="AU18" s="411"/>
      <c r="AV18" s="411"/>
      <c r="AW18" s="411"/>
      <c r="AX18" s="411"/>
      <c r="AY18" s="411"/>
      <c r="AZ18" s="411"/>
      <c r="BA18" s="411"/>
      <c r="BB18" s="411"/>
      <c r="BC18" s="411"/>
      <c r="BD18" s="411"/>
      <c r="BE18" s="411"/>
      <c r="BF18" s="411"/>
      <c r="BG18" s="411"/>
      <c r="BH18" s="411"/>
      <c r="BI18" s="411"/>
      <c r="BJ18" s="411"/>
      <c r="BK18" s="411"/>
      <c r="BL18" s="411"/>
      <c r="BM18" s="411"/>
      <c r="BN18" s="411"/>
      <c r="BO18" s="411"/>
      <c r="BP18" s="411"/>
      <c r="BQ18" s="411"/>
      <c r="BR18" s="411"/>
      <c r="BS18" s="411"/>
      <c r="BT18" s="411"/>
      <c r="BU18" s="411"/>
      <c r="BV18" s="411"/>
      <c r="BW18" s="411"/>
      <c r="BX18" s="411"/>
      <c r="BY18" s="411"/>
      <c r="BZ18" s="411"/>
      <c r="CA18" s="411"/>
      <c r="CB18" s="411"/>
      <c r="CC18" s="411"/>
      <c r="CD18" s="411"/>
      <c r="CE18" s="411"/>
      <c r="CF18" s="411"/>
      <c r="CG18" s="411"/>
      <c r="CH18" s="411"/>
      <c r="CI18" s="411"/>
      <c r="CJ18" s="411"/>
      <c r="CK18" s="411"/>
      <c r="CL18" s="411"/>
      <c r="CM18" s="411"/>
      <c r="CN18" s="411"/>
      <c r="CO18" s="411"/>
      <c r="CP18" s="411"/>
      <c r="CQ18" s="411"/>
      <c r="CR18" s="411"/>
      <c r="CS18" s="411"/>
      <c r="CT18" s="411"/>
    </row>
    <row r="19" spans="1:98" s="654" customFormat="1" x14ac:dyDescent="0.3">
      <c r="A19" s="656" t="s">
        <v>24</v>
      </c>
      <c r="B19" s="647" t="s">
        <v>794</v>
      </c>
      <c r="C19" s="655">
        <v>42390</v>
      </c>
      <c r="D19" s="649" t="s">
        <v>780</v>
      </c>
      <c r="E19" s="657" t="s">
        <v>781</v>
      </c>
      <c r="F19" s="657" t="s">
        <v>52</v>
      </c>
      <c r="G19" s="658"/>
      <c r="H19" s="658"/>
      <c r="I19" s="658"/>
      <c r="J19" s="658"/>
      <c r="K19" s="553"/>
      <c r="L19" s="553"/>
      <c r="M19" s="553"/>
      <c r="N19" s="553"/>
      <c r="O19" s="553">
        <v>2000</v>
      </c>
      <c r="P19" s="553">
        <f>O19*E4</f>
        <v>33000000</v>
      </c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>
        <f t="shared" si="0"/>
        <v>33000000</v>
      </c>
      <c r="AD19" s="553"/>
      <c r="AE19" s="553"/>
      <c r="AF19" s="553"/>
      <c r="AG19" s="651" t="s">
        <v>36</v>
      </c>
      <c r="AH19" s="668" t="s">
        <v>781</v>
      </c>
      <c r="AI19" s="528" t="s">
        <v>85</v>
      </c>
      <c r="AJ19" s="653"/>
      <c r="AK19" s="411"/>
      <c r="AL19" s="411"/>
      <c r="AM19" s="411"/>
      <c r="AN19" s="411"/>
      <c r="AO19" s="411"/>
      <c r="AP19" s="411"/>
      <c r="AQ19" s="411"/>
      <c r="AR19" s="411"/>
      <c r="AS19" s="411"/>
      <c r="AT19" s="411"/>
      <c r="AU19" s="411"/>
      <c r="AV19" s="411"/>
      <c r="AW19" s="411"/>
      <c r="AX19" s="411"/>
      <c r="AY19" s="411"/>
      <c r="AZ19" s="411"/>
      <c r="BA19" s="411"/>
      <c r="BB19" s="411"/>
      <c r="BC19" s="411"/>
      <c r="BD19" s="411"/>
      <c r="BE19" s="411"/>
      <c r="BF19" s="411"/>
      <c r="BG19" s="411"/>
      <c r="BH19" s="411"/>
      <c r="BI19" s="411"/>
      <c r="BJ19" s="411"/>
      <c r="BK19" s="411"/>
      <c r="BL19" s="411"/>
      <c r="BM19" s="411"/>
      <c r="BN19" s="411"/>
      <c r="BO19" s="411"/>
      <c r="BP19" s="411"/>
      <c r="BQ19" s="411"/>
      <c r="BR19" s="411"/>
      <c r="BS19" s="411"/>
      <c r="BT19" s="411"/>
      <c r="BU19" s="411"/>
      <c r="BV19" s="411"/>
      <c r="BW19" s="411"/>
      <c r="BX19" s="411"/>
      <c r="BY19" s="411"/>
      <c r="BZ19" s="411"/>
      <c r="CA19" s="411"/>
      <c r="CB19" s="411"/>
      <c r="CC19" s="411"/>
      <c r="CD19" s="411"/>
      <c r="CE19" s="411"/>
      <c r="CF19" s="411"/>
      <c r="CG19" s="411"/>
      <c r="CH19" s="411"/>
      <c r="CI19" s="411"/>
      <c r="CJ19" s="411"/>
      <c r="CK19" s="411"/>
      <c r="CL19" s="411"/>
      <c r="CM19" s="411"/>
      <c r="CN19" s="411"/>
      <c r="CO19" s="411"/>
      <c r="CP19" s="411"/>
      <c r="CQ19" s="411"/>
      <c r="CR19" s="411"/>
      <c r="CS19" s="411"/>
      <c r="CT19" s="411"/>
    </row>
    <row r="20" spans="1:98" s="654" customFormat="1" x14ac:dyDescent="0.3">
      <c r="A20" s="656" t="s">
        <v>25</v>
      </c>
      <c r="B20" s="647" t="s">
        <v>794</v>
      </c>
      <c r="C20" s="655">
        <v>42390</v>
      </c>
      <c r="D20" s="649" t="s">
        <v>780</v>
      </c>
      <c r="E20" s="657" t="s">
        <v>781</v>
      </c>
      <c r="F20" s="657" t="s">
        <v>52</v>
      </c>
      <c r="G20" s="658"/>
      <c r="H20" s="658"/>
      <c r="I20" s="658"/>
      <c r="J20" s="658"/>
      <c r="K20" s="553"/>
      <c r="L20" s="553"/>
      <c r="M20" s="553"/>
      <c r="N20" s="553"/>
      <c r="O20" s="553">
        <v>2000</v>
      </c>
      <c r="P20" s="553">
        <f>O20*E4</f>
        <v>33000000</v>
      </c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53">
        <f t="shared" si="0"/>
        <v>33000000</v>
      </c>
      <c r="AD20" s="553"/>
      <c r="AE20" s="553"/>
      <c r="AF20" s="553"/>
      <c r="AG20" s="651" t="s">
        <v>36</v>
      </c>
      <c r="AH20" s="668" t="s">
        <v>781</v>
      </c>
      <c r="AI20" s="528" t="s">
        <v>85</v>
      </c>
      <c r="AJ20" s="653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1"/>
      <c r="AZ20" s="411"/>
      <c r="BA20" s="411"/>
      <c r="BB20" s="411"/>
      <c r="BC20" s="411"/>
      <c r="BD20" s="411"/>
      <c r="BE20" s="411"/>
      <c r="BF20" s="411"/>
      <c r="BG20" s="411"/>
      <c r="BH20" s="411"/>
      <c r="BI20" s="411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1"/>
      <c r="BU20" s="411"/>
      <c r="BV20" s="411"/>
      <c r="BW20" s="411"/>
      <c r="BX20" s="411"/>
      <c r="BY20" s="411"/>
      <c r="BZ20" s="411"/>
      <c r="CA20" s="411"/>
      <c r="CB20" s="411"/>
      <c r="CC20" s="411"/>
      <c r="CD20" s="411"/>
      <c r="CE20" s="411"/>
      <c r="CF20" s="411"/>
      <c r="CG20" s="411"/>
      <c r="CH20" s="411"/>
      <c r="CI20" s="411"/>
      <c r="CJ20" s="411"/>
      <c r="CK20" s="411"/>
      <c r="CL20" s="411"/>
      <c r="CM20" s="411"/>
      <c r="CN20" s="411"/>
      <c r="CO20" s="411"/>
      <c r="CP20" s="411"/>
      <c r="CQ20" s="411"/>
      <c r="CR20" s="411"/>
      <c r="CS20" s="411"/>
      <c r="CT20" s="411"/>
    </row>
    <row r="21" spans="1:98" s="654" customFormat="1" x14ac:dyDescent="0.3">
      <c r="A21" s="664" t="s">
        <v>782</v>
      </c>
      <c r="B21" s="647" t="s">
        <v>795</v>
      </c>
      <c r="C21" s="665">
        <v>42520</v>
      </c>
      <c r="D21" s="669" t="s">
        <v>783</v>
      </c>
      <c r="E21" s="670">
        <v>42885</v>
      </c>
      <c r="F21" s="666" t="s">
        <v>18</v>
      </c>
      <c r="G21" s="658"/>
      <c r="H21" s="658"/>
      <c r="I21" s="658"/>
      <c r="J21" s="658"/>
      <c r="K21" s="553">
        <f>(4050000*12)+(5062500*12)</f>
        <v>109350000</v>
      </c>
      <c r="L21" s="553">
        <f>(4050000*12)+(5062500*12)</f>
        <v>109350000</v>
      </c>
      <c r="M21" s="553">
        <v>32400000</v>
      </c>
      <c r="N21" s="553">
        <v>32400000</v>
      </c>
      <c r="O21" s="553"/>
      <c r="P21" s="553"/>
      <c r="Q21" s="553">
        <f>5062500*12</f>
        <v>60750000</v>
      </c>
      <c r="R21" s="553">
        <f>5062500*12</f>
        <v>60750000</v>
      </c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53">
        <f t="shared" si="0"/>
        <v>202500000</v>
      </c>
      <c r="AD21" s="553"/>
      <c r="AE21" s="553"/>
      <c r="AF21" s="553"/>
      <c r="AG21" s="651" t="s">
        <v>19</v>
      </c>
      <c r="AH21" s="652">
        <v>42795</v>
      </c>
      <c r="AI21" s="528" t="s">
        <v>105</v>
      </c>
      <c r="AJ21" s="653"/>
      <c r="AK21" s="411"/>
      <c r="AL21" s="411"/>
      <c r="AM21" s="411"/>
      <c r="AN21" s="411"/>
      <c r="AO21" s="411"/>
      <c r="AP21" s="411"/>
      <c r="AQ21" s="411"/>
      <c r="AR21" s="411"/>
      <c r="AS21" s="411"/>
      <c r="AT21" s="411"/>
      <c r="AU21" s="411"/>
      <c r="AV21" s="411"/>
      <c r="AW21" s="411"/>
      <c r="AX21" s="411"/>
      <c r="AY21" s="411"/>
      <c r="AZ21" s="411"/>
      <c r="BA21" s="411"/>
      <c r="BB21" s="411"/>
      <c r="BC21" s="411"/>
      <c r="BD21" s="411"/>
      <c r="BE21" s="411"/>
      <c r="BF21" s="411"/>
      <c r="BG21" s="411"/>
      <c r="BH21" s="411"/>
      <c r="BI21" s="411"/>
      <c r="BJ21" s="411"/>
      <c r="BK21" s="411"/>
      <c r="BL21" s="411"/>
      <c r="BM21" s="411"/>
      <c r="BN21" s="411"/>
      <c r="BO21" s="411"/>
      <c r="BP21" s="411"/>
      <c r="BQ21" s="411"/>
      <c r="BR21" s="411"/>
      <c r="BS21" s="411"/>
      <c r="BT21" s="411"/>
      <c r="BU21" s="411"/>
      <c r="BV21" s="411"/>
      <c r="BW21" s="411"/>
      <c r="BX21" s="411"/>
      <c r="BY21" s="411"/>
      <c r="BZ21" s="411"/>
      <c r="CA21" s="411"/>
      <c r="CB21" s="411"/>
      <c r="CC21" s="411"/>
      <c r="CD21" s="411"/>
      <c r="CE21" s="411"/>
      <c r="CF21" s="411"/>
      <c r="CG21" s="411"/>
      <c r="CH21" s="411"/>
      <c r="CI21" s="411"/>
      <c r="CJ21" s="411"/>
      <c r="CK21" s="411"/>
      <c r="CL21" s="411"/>
      <c r="CM21" s="411"/>
      <c r="CN21" s="411"/>
      <c r="CO21" s="411"/>
      <c r="CP21" s="411"/>
      <c r="CQ21" s="411"/>
      <c r="CR21" s="411"/>
      <c r="CS21" s="411"/>
      <c r="CT21" s="411"/>
    </row>
    <row r="22" spans="1:98" s="654" customFormat="1" x14ac:dyDescent="0.3">
      <c r="A22" s="656" t="s">
        <v>20</v>
      </c>
      <c r="B22" s="647" t="s">
        <v>795</v>
      </c>
      <c r="C22" s="655"/>
      <c r="D22" s="655"/>
      <c r="E22" s="657"/>
      <c r="F22" s="657" t="s">
        <v>16</v>
      </c>
      <c r="G22" s="553"/>
      <c r="H22" s="553"/>
      <c r="I22" s="553"/>
      <c r="J22" s="553"/>
      <c r="K22" s="553"/>
      <c r="L22" s="553"/>
      <c r="M22" s="553">
        <v>2727</v>
      </c>
      <c r="N22" s="553">
        <f>M22*E3</f>
        <v>36269100</v>
      </c>
      <c r="O22" s="553"/>
      <c r="P22" s="553"/>
      <c r="Q22" s="553"/>
      <c r="R22" s="553"/>
      <c r="S22" s="553"/>
      <c r="T22" s="553"/>
      <c r="U22" s="553">
        <v>1894</v>
      </c>
      <c r="V22" s="553">
        <f>U22*E3</f>
        <v>25190200</v>
      </c>
      <c r="W22" s="553">
        <v>1743</v>
      </c>
      <c r="X22" s="553">
        <f>W22*E3</f>
        <v>23181900</v>
      </c>
      <c r="Y22" s="553"/>
      <c r="Z22" s="553"/>
      <c r="AA22" s="553"/>
      <c r="AB22" s="553"/>
      <c r="AC22" s="553">
        <f t="shared" si="0"/>
        <v>84641200</v>
      </c>
      <c r="AD22" s="553"/>
      <c r="AE22" s="553"/>
      <c r="AF22" s="553"/>
      <c r="AG22" s="651" t="s">
        <v>136</v>
      </c>
      <c r="AH22" s="668"/>
      <c r="AI22" s="528" t="s">
        <v>98</v>
      </c>
      <c r="AJ22" s="653"/>
      <c r="AK22" s="411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1"/>
      <c r="BC22" s="411"/>
      <c r="BD22" s="411"/>
      <c r="BE22" s="411"/>
      <c r="BF22" s="411"/>
      <c r="BG22" s="411"/>
      <c r="BH22" s="411"/>
      <c r="BI22" s="411"/>
      <c r="BJ22" s="411"/>
      <c r="BK22" s="411"/>
      <c r="BL22" s="411"/>
      <c r="BM22" s="411"/>
      <c r="BN22" s="411"/>
      <c r="BO22" s="411"/>
      <c r="BP22" s="411"/>
      <c r="BQ22" s="411"/>
      <c r="BR22" s="411"/>
      <c r="BS22" s="411"/>
      <c r="BT22" s="411"/>
      <c r="BU22" s="411"/>
      <c r="BV22" s="411"/>
      <c r="BW22" s="411"/>
      <c r="BX22" s="411"/>
      <c r="BY22" s="411"/>
      <c r="BZ22" s="411"/>
      <c r="CA22" s="411"/>
      <c r="CB22" s="411"/>
      <c r="CC22" s="411"/>
      <c r="CD22" s="411"/>
      <c r="CE22" s="411"/>
      <c r="CF22" s="411"/>
      <c r="CG22" s="411"/>
      <c r="CH22" s="411"/>
      <c r="CI22" s="411"/>
      <c r="CJ22" s="411"/>
      <c r="CK22" s="411"/>
      <c r="CL22" s="411"/>
      <c r="CM22" s="411"/>
      <c r="CN22" s="411"/>
      <c r="CO22" s="411"/>
      <c r="CP22" s="411"/>
      <c r="CQ22" s="411"/>
      <c r="CR22" s="411"/>
      <c r="CS22" s="411"/>
      <c r="CT22" s="411"/>
    </row>
    <row r="23" spans="1:98" s="654" customFormat="1" x14ac:dyDescent="0.3">
      <c r="A23" s="656" t="s">
        <v>26</v>
      </c>
      <c r="B23" s="647" t="s">
        <v>795</v>
      </c>
      <c r="C23" s="655">
        <v>41691</v>
      </c>
      <c r="D23" s="649" t="s">
        <v>796</v>
      </c>
      <c r="E23" s="650">
        <v>42056</v>
      </c>
      <c r="F23" s="648" t="s">
        <v>16</v>
      </c>
      <c r="G23" s="658"/>
      <c r="H23" s="658"/>
      <c r="I23" s="658"/>
      <c r="J23" s="658"/>
      <c r="K23" s="553">
        <v>5200</v>
      </c>
      <c r="L23" s="553">
        <f>K23*E3</f>
        <v>69160000</v>
      </c>
      <c r="M23" s="553">
        <v>5200</v>
      </c>
      <c r="N23" s="553">
        <f>M23*E3</f>
        <v>69160000</v>
      </c>
      <c r="O23" s="553">
        <v>5200</v>
      </c>
      <c r="P23" s="553">
        <f>O23*E3</f>
        <v>69160000</v>
      </c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>
        <f t="shared" si="0"/>
        <v>207480000</v>
      </c>
      <c r="AD23" s="553"/>
      <c r="AE23" s="553"/>
      <c r="AF23" s="553"/>
      <c r="AG23" s="651" t="s">
        <v>36</v>
      </c>
      <c r="AH23" s="652"/>
      <c r="AI23" s="528" t="s">
        <v>85</v>
      </c>
      <c r="AJ23" s="653"/>
      <c r="AK23" s="411"/>
      <c r="AL23" s="411"/>
      <c r="AM23" s="411"/>
      <c r="AN23" s="411"/>
      <c r="AO23" s="411"/>
      <c r="AP23" s="411"/>
      <c r="AQ23" s="411"/>
      <c r="AR23" s="411"/>
      <c r="AS23" s="411"/>
      <c r="AT23" s="411"/>
      <c r="AU23" s="411"/>
      <c r="AV23" s="411"/>
      <c r="AW23" s="411"/>
      <c r="AX23" s="411"/>
      <c r="AY23" s="411"/>
      <c r="AZ23" s="411"/>
      <c r="BA23" s="411"/>
      <c r="BB23" s="411"/>
      <c r="BC23" s="411"/>
      <c r="BD23" s="411"/>
      <c r="BE23" s="411"/>
      <c r="BF23" s="411"/>
      <c r="BG23" s="411"/>
      <c r="BH23" s="411"/>
      <c r="BI23" s="411"/>
      <c r="BJ23" s="411"/>
      <c r="BK23" s="411"/>
      <c r="BL23" s="411"/>
      <c r="BM23" s="411"/>
      <c r="BN23" s="411"/>
      <c r="BO23" s="411"/>
      <c r="BP23" s="411"/>
      <c r="BQ23" s="411"/>
      <c r="BR23" s="411"/>
      <c r="BS23" s="411"/>
      <c r="BT23" s="411"/>
      <c r="BU23" s="411"/>
      <c r="BV23" s="411"/>
      <c r="BW23" s="411"/>
      <c r="BX23" s="411"/>
      <c r="BY23" s="411"/>
      <c r="BZ23" s="411"/>
      <c r="CA23" s="411"/>
      <c r="CB23" s="411"/>
      <c r="CC23" s="411"/>
      <c r="CD23" s="411"/>
      <c r="CE23" s="411"/>
      <c r="CF23" s="411"/>
      <c r="CG23" s="411"/>
      <c r="CH23" s="411"/>
      <c r="CI23" s="411"/>
      <c r="CJ23" s="411"/>
      <c r="CK23" s="411"/>
      <c r="CL23" s="411"/>
      <c r="CM23" s="411"/>
      <c r="CN23" s="411"/>
      <c r="CO23" s="411"/>
      <c r="CP23" s="411"/>
      <c r="CQ23" s="411"/>
      <c r="CR23" s="411"/>
      <c r="CS23" s="411"/>
      <c r="CT23" s="411"/>
    </row>
    <row r="24" spans="1:98" s="654" customFormat="1" x14ac:dyDescent="0.3">
      <c r="A24" s="656" t="s">
        <v>53</v>
      </c>
      <c r="B24" s="647" t="s">
        <v>794</v>
      </c>
      <c r="C24" s="655">
        <v>42620</v>
      </c>
      <c r="D24" s="649" t="s">
        <v>797</v>
      </c>
      <c r="E24" s="648" t="s">
        <v>781</v>
      </c>
      <c r="F24" s="648" t="s">
        <v>16</v>
      </c>
      <c r="G24" s="658"/>
      <c r="H24" s="658"/>
      <c r="I24" s="658"/>
      <c r="J24" s="658"/>
      <c r="K24" s="553">
        <v>6300</v>
      </c>
      <c r="L24" s="553">
        <f>K24*E3</f>
        <v>83790000</v>
      </c>
      <c r="M24" s="553"/>
      <c r="N24" s="553"/>
      <c r="O24" s="553">
        <v>1800</v>
      </c>
      <c r="P24" s="553">
        <f>O24*E3</f>
        <v>23940000</v>
      </c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>
        <f t="shared" si="0"/>
        <v>107730000</v>
      </c>
      <c r="AD24" s="553"/>
      <c r="AE24" s="553"/>
      <c r="AF24" s="553"/>
      <c r="AG24" s="651" t="s">
        <v>19</v>
      </c>
      <c r="AH24" s="668"/>
      <c r="AI24" s="528" t="s">
        <v>105</v>
      </c>
      <c r="AJ24" s="653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</row>
    <row r="25" spans="1:98" s="654" customFormat="1" x14ac:dyDescent="0.3">
      <c r="A25" s="656" t="s">
        <v>28</v>
      </c>
      <c r="B25" s="647" t="s">
        <v>795</v>
      </c>
      <c r="C25" s="655">
        <v>42172</v>
      </c>
      <c r="D25" s="649" t="s">
        <v>850</v>
      </c>
      <c r="E25" s="671">
        <v>42537</v>
      </c>
      <c r="F25" s="648" t="s">
        <v>16</v>
      </c>
      <c r="G25" s="658">
        <v>14400</v>
      </c>
      <c r="H25" s="658">
        <f>G25*AD25</f>
        <v>192513600</v>
      </c>
      <c r="J25" s="658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>
        <f t="shared" si="0"/>
        <v>192513600</v>
      </c>
      <c r="AD25" s="553">
        <v>13369</v>
      </c>
      <c r="AE25" s="553"/>
      <c r="AF25" s="553"/>
      <c r="AG25" s="651" t="s">
        <v>136</v>
      </c>
      <c r="AH25" s="652">
        <v>42765</v>
      </c>
      <c r="AI25" s="528" t="s">
        <v>98</v>
      </c>
      <c r="AJ25" s="653"/>
      <c r="AK25" s="411"/>
      <c r="AL25" s="411"/>
      <c r="AM25" s="411"/>
      <c r="AN25" s="411"/>
      <c r="AO25" s="411"/>
      <c r="AP25" s="411"/>
      <c r="AQ25" s="411"/>
      <c r="AR25" s="411"/>
      <c r="AS25" s="411"/>
      <c r="AT25" s="411"/>
      <c r="AU25" s="411"/>
      <c r="AV25" s="411"/>
      <c r="AW25" s="411"/>
      <c r="AX25" s="411"/>
      <c r="AY25" s="411"/>
      <c r="AZ25" s="411"/>
      <c r="BA25" s="411"/>
      <c r="BB25" s="411"/>
      <c r="BC25" s="411"/>
      <c r="BD25" s="411"/>
      <c r="BE25" s="411"/>
      <c r="BF25" s="411"/>
      <c r="BG25" s="411"/>
      <c r="BH25" s="411"/>
      <c r="BI25" s="411"/>
      <c r="BJ25" s="411"/>
      <c r="BK25" s="411"/>
      <c r="BL25" s="411"/>
      <c r="BM25" s="411"/>
      <c r="BN25" s="411"/>
      <c r="BO25" s="411"/>
      <c r="BP25" s="411"/>
      <c r="BQ25" s="411"/>
      <c r="BR25" s="411"/>
      <c r="BS25" s="411"/>
      <c r="BT25" s="411"/>
      <c r="BU25" s="411"/>
      <c r="BV25" s="411"/>
      <c r="BW25" s="411"/>
      <c r="BX25" s="411"/>
      <c r="BY25" s="411"/>
      <c r="BZ25" s="411"/>
      <c r="CA25" s="411"/>
      <c r="CB25" s="411"/>
      <c r="CC25" s="411"/>
      <c r="CD25" s="411"/>
      <c r="CE25" s="411"/>
      <c r="CF25" s="411"/>
      <c r="CG25" s="411"/>
      <c r="CH25" s="411"/>
      <c r="CI25" s="411"/>
      <c r="CJ25" s="411"/>
      <c r="CK25" s="411"/>
      <c r="CL25" s="411"/>
      <c r="CM25" s="411"/>
      <c r="CN25" s="411"/>
      <c r="CO25" s="411"/>
      <c r="CP25" s="411"/>
      <c r="CQ25" s="411"/>
      <c r="CR25" s="411"/>
      <c r="CS25" s="411"/>
      <c r="CT25" s="411"/>
    </row>
    <row r="26" spans="1:98" s="654" customFormat="1" x14ac:dyDescent="0.3">
      <c r="A26" s="656" t="s">
        <v>75</v>
      </c>
      <c r="B26" s="647" t="s">
        <v>795</v>
      </c>
      <c r="C26" s="655"/>
      <c r="D26" s="655"/>
      <c r="E26" s="671"/>
      <c r="F26" s="648"/>
      <c r="G26" s="658">
        <v>9600</v>
      </c>
      <c r="H26" s="658">
        <f>G26*E3</f>
        <v>127680000</v>
      </c>
      <c r="I26" s="658"/>
      <c r="J26" s="658"/>
      <c r="K26" s="553"/>
      <c r="L26" s="553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53"/>
      <c r="Z26" s="553"/>
      <c r="AA26" s="553"/>
      <c r="AB26" s="553"/>
      <c r="AC26" s="553">
        <f t="shared" si="0"/>
        <v>127680000</v>
      </c>
      <c r="AD26" s="553"/>
      <c r="AE26" s="553"/>
      <c r="AF26" s="553"/>
      <c r="AG26" s="651" t="s">
        <v>74</v>
      </c>
      <c r="AH26" s="652"/>
      <c r="AI26" s="528" t="s">
        <v>85</v>
      </c>
      <c r="AJ26" s="653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411"/>
      <c r="AX26" s="411"/>
      <c r="AY26" s="411"/>
      <c r="AZ26" s="411"/>
      <c r="BA26" s="411"/>
      <c r="BB26" s="411"/>
      <c r="BC26" s="411"/>
      <c r="BD26" s="411"/>
      <c r="BE26" s="411"/>
      <c r="BF26" s="411"/>
      <c r="BG26" s="411"/>
      <c r="BH26" s="411"/>
      <c r="BI26" s="411"/>
      <c r="BJ26" s="411"/>
      <c r="BK26" s="411"/>
      <c r="BL26" s="411"/>
      <c r="BM26" s="411"/>
      <c r="BN26" s="411"/>
      <c r="BO26" s="411"/>
      <c r="BP26" s="411"/>
      <c r="BQ26" s="411"/>
      <c r="BR26" s="411"/>
      <c r="BS26" s="411"/>
      <c r="BT26" s="411"/>
      <c r="BU26" s="411"/>
      <c r="BV26" s="411"/>
      <c r="BW26" s="411"/>
      <c r="BX26" s="411"/>
      <c r="BY26" s="411"/>
      <c r="BZ26" s="411"/>
      <c r="CA26" s="411"/>
      <c r="CB26" s="411"/>
      <c r="CC26" s="411"/>
      <c r="CD26" s="411"/>
      <c r="CE26" s="411"/>
      <c r="CF26" s="411"/>
      <c r="CG26" s="411"/>
      <c r="CH26" s="411"/>
      <c r="CI26" s="411"/>
      <c r="CJ26" s="411"/>
      <c r="CK26" s="411"/>
      <c r="CL26" s="411"/>
      <c r="CM26" s="411"/>
      <c r="CN26" s="411"/>
      <c r="CO26" s="411"/>
      <c r="CP26" s="411"/>
      <c r="CQ26" s="411"/>
      <c r="CR26" s="411"/>
      <c r="CS26" s="411"/>
      <c r="CT26" s="411"/>
    </row>
    <row r="27" spans="1:98" s="654" customFormat="1" x14ac:dyDescent="0.3">
      <c r="A27" s="656" t="s">
        <v>71</v>
      </c>
      <c r="B27" s="647" t="s">
        <v>795</v>
      </c>
      <c r="C27" s="655"/>
      <c r="D27" s="655"/>
      <c r="E27" s="671"/>
      <c r="F27" s="648"/>
      <c r="G27" s="658"/>
      <c r="H27" s="658"/>
      <c r="I27" s="658"/>
      <c r="J27" s="658"/>
      <c r="K27" s="553"/>
      <c r="L27" s="553"/>
      <c r="M27" s="553">
        <v>950</v>
      </c>
      <c r="N27" s="553">
        <f>M27*E3</f>
        <v>12635000</v>
      </c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53">
        <f t="shared" si="0"/>
        <v>12635000</v>
      </c>
      <c r="AD27" s="553"/>
      <c r="AE27" s="553"/>
      <c r="AF27" s="553"/>
      <c r="AG27" s="651" t="s">
        <v>135</v>
      </c>
      <c r="AH27" s="652"/>
      <c r="AI27" s="528" t="s">
        <v>96</v>
      </c>
      <c r="AJ27" s="653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</row>
    <row r="28" spans="1:98" s="654" customFormat="1" x14ac:dyDescent="0.3">
      <c r="A28" s="664" t="s">
        <v>798</v>
      </c>
      <c r="B28" s="647" t="s">
        <v>795</v>
      </c>
      <c r="C28" s="665">
        <v>42709</v>
      </c>
      <c r="D28" s="665"/>
      <c r="E28" s="670">
        <v>42978</v>
      </c>
      <c r="F28" s="666" t="s">
        <v>16</v>
      </c>
      <c r="G28" s="658"/>
      <c r="H28" s="658"/>
      <c r="I28" s="658"/>
      <c r="J28" s="658"/>
      <c r="K28" s="553">
        <f>600*12</f>
        <v>7200</v>
      </c>
      <c r="L28" s="553">
        <f>K28*E3</f>
        <v>95760000</v>
      </c>
      <c r="M28" s="553"/>
      <c r="N28" s="553"/>
      <c r="O28" s="553"/>
      <c r="P28" s="553"/>
      <c r="Q28" s="553">
        <f>800*12</f>
        <v>9600</v>
      </c>
      <c r="R28" s="553">
        <f>Q28*E3</f>
        <v>127680000</v>
      </c>
      <c r="S28" s="553">
        <v>2400</v>
      </c>
      <c r="T28" s="553">
        <f>2400*E3</f>
        <v>31920000</v>
      </c>
      <c r="U28" s="553"/>
      <c r="V28" s="553"/>
      <c r="W28" s="553"/>
      <c r="X28" s="553"/>
      <c r="Y28" s="553"/>
      <c r="Z28" s="553"/>
      <c r="AA28" s="553"/>
      <c r="AB28" s="553"/>
      <c r="AC28" s="553">
        <f t="shared" si="0"/>
        <v>255360000</v>
      </c>
      <c r="AD28" s="553"/>
      <c r="AE28" s="553"/>
      <c r="AF28" s="553"/>
      <c r="AG28" s="651" t="s">
        <v>74</v>
      </c>
      <c r="AH28" s="652">
        <v>42856</v>
      </c>
      <c r="AI28" s="528" t="s">
        <v>115</v>
      </c>
      <c r="AJ28" s="653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</row>
    <row r="29" spans="1:98" s="654" customFormat="1" x14ac:dyDescent="0.3">
      <c r="A29" s="646" t="s">
        <v>769</v>
      </c>
      <c r="B29" s="647" t="s">
        <v>795</v>
      </c>
      <c r="C29" s="648">
        <v>42738</v>
      </c>
      <c r="D29" s="649" t="s">
        <v>768</v>
      </c>
      <c r="E29" s="650">
        <v>43102</v>
      </c>
      <c r="F29" s="648" t="s">
        <v>18</v>
      </c>
      <c r="G29" s="553"/>
      <c r="H29" s="553"/>
      <c r="I29" s="553"/>
      <c r="J29" s="553"/>
      <c r="K29" s="553">
        <f>8775000*12</f>
        <v>105300000</v>
      </c>
      <c r="L29" s="553">
        <f>8775000*12</f>
        <v>105300000</v>
      </c>
      <c r="M29" s="553">
        <v>47250000</v>
      </c>
      <c r="N29" s="553">
        <v>47250000</v>
      </c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3">
        <f t="shared" si="0"/>
        <v>152550000</v>
      </c>
      <c r="AD29" s="553"/>
      <c r="AE29" s="553"/>
      <c r="AF29" s="553"/>
      <c r="AG29" s="651" t="s">
        <v>19</v>
      </c>
      <c r="AH29" s="652">
        <v>43042</v>
      </c>
      <c r="AI29" s="528" t="s">
        <v>105</v>
      </c>
      <c r="AJ29" s="653"/>
      <c r="AK29" s="411"/>
      <c r="AL29" s="411"/>
      <c r="AM29" s="411"/>
      <c r="AN29" s="411"/>
      <c r="AO29" s="411"/>
      <c r="AP29" s="411"/>
      <c r="AQ29" s="411"/>
      <c r="AR29" s="411"/>
      <c r="AS29" s="411"/>
      <c r="AT29" s="411"/>
      <c r="AU29" s="411"/>
      <c r="AV29" s="411"/>
      <c r="AW29" s="411"/>
      <c r="AX29" s="411"/>
      <c r="AY29" s="411"/>
      <c r="AZ29" s="411"/>
      <c r="BA29" s="411"/>
      <c r="BB29" s="411"/>
      <c r="BC29" s="411"/>
      <c r="BD29" s="411"/>
      <c r="BE29" s="411"/>
      <c r="BF29" s="411"/>
      <c r="BG29" s="411"/>
      <c r="BH29" s="411"/>
      <c r="BI29" s="411"/>
      <c r="BJ29" s="411"/>
      <c r="BK29" s="411"/>
      <c r="BL29" s="411"/>
      <c r="BM29" s="411"/>
      <c r="BN29" s="411"/>
      <c r="BO29" s="411"/>
      <c r="BP29" s="411"/>
      <c r="BQ29" s="411"/>
      <c r="BR29" s="411"/>
      <c r="BS29" s="411"/>
      <c r="BT29" s="411"/>
      <c r="BU29" s="411"/>
      <c r="BV29" s="411"/>
      <c r="BW29" s="411"/>
      <c r="BX29" s="411"/>
      <c r="BY29" s="411"/>
      <c r="BZ29" s="411"/>
      <c r="CA29" s="411"/>
      <c r="CB29" s="411"/>
      <c r="CC29" s="411"/>
      <c r="CD29" s="411"/>
      <c r="CE29" s="411"/>
      <c r="CF29" s="411"/>
      <c r="CG29" s="411"/>
      <c r="CH29" s="411"/>
      <c r="CI29" s="411"/>
      <c r="CJ29" s="411"/>
      <c r="CK29" s="411"/>
      <c r="CL29" s="411"/>
      <c r="CM29" s="411"/>
      <c r="CN29" s="411"/>
      <c r="CO29" s="411"/>
      <c r="CP29" s="411"/>
      <c r="CQ29" s="411"/>
      <c r="CR29" s="411"/>
      <c r="CS29" s="411"/>
      <c r="CT29" s="411"/>
    </row>
    <row r="30" spans="1:98" s="654" customFormat="1" x14ac:dyDescent="0.3">
      <c r="A30" s="656" t="s">
        <v>30</v>
      </c>
      <c r="B30" s="647" t="s">
        <v>795</v>
      </c>
      <c r="C30" s="655">
        <v>42601</v>
      </c>
      <c r="D30" s="649" t="s">
        <v>784</v>
      </c>
      <c r="E30" s="648">
        <v>43008</v>
      </c>
      <c r="F30" s="657" t="s">
        <v>18</v>
      </c>
      <c r="G30" s="658"/>
      <c r="H30" s="658"/>
      <c r="I30" s="658"/>
      <c r="J30" s="658"/>
      <c r="K30" s="553"/>
      <c r="L30" s="553"/>
      <c r="M30" s="553"/>
      <c r="N30" s="553"/>
      <c r="O30" s="553">
        <v>46800000</v>
      </c>
      <c r="P30" s="553">
        <v>46800000</v>
      </c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53">
        <f t="shared" si="0"/>
        <v>46800000</v>
      </c>
      <c r="AD30" s="553"/>
      <c r="AE30" s="553"/>
      <c r="AF30" s="553"/>
      <c r="AG30" s="651" t="s">
        <v>36</v>
      </c>
      <c r="AH30" s="652">
        <v>42948</v>
      </c>
      <c r="AI30" s="528" t="s">
        <v>85</v>
      </c>
      <c r="AJ30" s="653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411"/>
      <c r="BA30" s="411"/>
      <c r="BB30" s="411"/>
      <c r="BC30" s="411"/>
      <c r="BD30" s="411"/>
      <c r="BE30" s="411"/>
      <c r="BF30" s="411"/>
      <c r="BG30" s="411"/>
      <c r="BH30" s="411"/>
      <c r="BI30" s="411"/>
      <c r="BJ30" s="411"/>
      <c r="BK30" s="411"/>
      <c r="BL30" s="411"/>
      <c r="BM30" s="411"/>
      <c r="BN30" s="411"/>
      <c r="BO30" s="411"/>
      <c r="BP30" s="411"/>
      <c r="BQ30" s="411"/>
      <c r="BR30" s="411"/>
      <c r="BS30" s="411"/>
      <c r="BT30" s="411"/>
      <c r="BU30" s="411"/>
      <c r="BV30" s="411"/>
      <c r="BW30" s="411"/>
      <c r="BX30" s="411"/>
      <c r="BY30" s="411"/>
      <c r="BZ30" s="411"/>
      <c r="CA30" s="411"/>
      <c r="CB30" s="411"/>
      <c r="CC30" s="411"/>
      <c r="CD30" s="411"/>
      <c r="CE30" s="411"/>
      <c r="CF30" s="411"/>
      <c r="CG30" s="411"/>
      <c r="CH30" s="411"/>
      <c r="CI30" s="411"/>
      <c r="CJ30" s="411"/>
      <c r="CK30" s="411"/>
      <c r="CL30" s="411"/>
      <c r="CM30" s="411"/>
      <c r="CN30" s="411"/>
      <c r="CO30" s="411"/>
      <c r="CP30" s="411"/>
      <c r="CQ30" s="411"/>
      <c r="CR30" s="411"/>
      <c r="CS30" s="411"/>
      <c r="CT30" s="411"/>
    </row>
    <row r="31" spans="1:98" s="654" customFormat="1" x14ac:dyDescent="0.3">
      <c r="A31" s="656" t="s">
        <v>31</v>
      </c>
      <c r="B31" s="647" t="s">
        <v>795</v>
      </c>
      <c r="C31" s="655">
        <v>42376</v>
      </c>
      <c r="D31" s="655"/>
      <c r="E31" s="648"/>
      <c r="F31" s="648" t="s">
        <v>16</v>
      </c>
      <c r="G31" s="553">
        <v>4800</v>
      </c>
      <c r="H31" s="553">
        <f>G31*E3</f>
        <v>63840000</v>
      </c>
      <c r="I31" s="553"/>
      <c r="J31" s="553"/>
      <c r="K31" s="553"/>
      <c r="L31" s="553"/>
      <c r="M31" s="553"/>
      <c r="N31" s="553"/>
      <c r="O31" s="553"/>
      <c r="P31" s="553"/>
      <c r="Q31" s="553">
        <v>4800</v>
      </c>
      <c r="R31" s="553">
        <f>Q31*E3</f>
        <v>63840000</v>
      </c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53">
        <f t="shared" si="0"/>
        <v>127680000</v>
      </c>
      <c r="AD31" s="553"/>
      <c r="AE31" s="553"/>
      <c r="AF31" s="553"/>
      <c r="AG31" s="651" t="s">
        <v>74</v>
      </c>
      <c r="AH31" s="672"/>
      <c r="AI31" s="528" t="s">
        <v>89</v>
      </c>
      <c r="AJ31" s="673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411"/>
      <c r="BA31" s="411"/>
      <c r="BB31" s="411"/>
      <c r="BC31" s="411"/>
      <c r="BD31" s="411"/>
      <c r="BE31" s="411"/>
      <c r="BF31" s="411"/>
      <c r="BG31" s="411"/>
      <c r="BH31" s="411"/>
      <c r="BI31" s="411"/>
      <c r="BJ31" s="411"/>
      <c r="BK31" s="411"/>
      <c r="BL31" s="411"/>
      <c r="BM31" s="411"/>
      <c r="BN31" s="411"/>
      <c r="BO31" s="411"/>
      <c r="BP31" s="411"/>
      <c r="BQ31" s="411"/>
      <c r="BR31" s="411"/>
      <c r="BS31" s="411"/>
      <c r="BT31" s="411"/>
      <c r="BU31" s="411"/>
      <c r="BV31" s="411"/>
      <c r="BW31" s="411"/>
      <c r="BX31" s="411"/>
      <c r="BY31" s="411"/>
      <c r="BZ31" s="411"/>
      <c r="CA31" s="411"/>
      <c r="CB31" s="411"/>
      <c r="CC31" s="411"/>
      <c r="CD31" s="411"/>
      <c r="CE31" s="411"/>
      <c r="CF31" s="411"/>
      <c r="CG31" s="411"/>
      <c r="CH31" s="411"/>
      <c r="CI31" s="411"/>
      <c r="CJ31" s="411"/>
      <c r="CK31" s="411"/>
      <c r="CL31" s="411"/>
      <c r="CM31" s="411"/>
      <c r="CN31" s="411"/>
      <c r="CO31" s="411"/>
      <c r="CP31" s="411"/>
      <c r="CQ31" s="411"/>
      <c r="CR31" s="411"/>
      <c r="CS31" s="411"/>
      <c r="CT31" s="411"/>
    </row>
    <row r="32" spans="1:98" s="654" customFormat="1" x14ac:dyDescent="0.3">
      <c r="A32" s="656" t="s">
        <v>31</v>
      </c>
      <c r="B32" s="647" t="s">
        <v>795</v>
      </c>
      <c r="C32" s="655">
        <v>42600</v>
      </c>
      <c r="D32" s="649" t="s">
        <v>785</v>
      </c>
      <c r="E32" s="648">
        <v>42735</v>
      </c>
      <c r="F32" s="648" t="s">
        <v>18</v>
      </c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>
        <f>20250000+12825000</f>
        <v>33075000</v>
      </c>
      <c r="Z32" s="553">
        <f>20250000+12825000</f>
        <v>33075000</v>
      </c>
      <c r="AA32" s="553"/>
      <c r="AB32" s="553"/>
      <c r="AC32" s="553">
        <f t="shared" si="0"/>
        <v>33075000</v>
      </c>
      <c r="AD32" s="553"/>
      <c r="AE32" s="553"/>
      <c r="AF32" s="553"/>
      <c r="AG32" s="651" t="s">
        <v>74</v>
      </c>
      <c r="AH32" s="672"/>
      <c r="AI32" s="528" t="s">
        <v>89</v>
      </c>
      <c r="AJ32" s="673"/>
      <c r="AK32" s="411"/>
      <c r="AL32" s="411"/>
      <c r="AM32" s="411"/>
      <c r="AN32" s="411"/>
      <c r="AO32" s="411"/>
      <c r="AP32" s="411"/>
      <c r="AQ32" s="411"/>
      <c r="AR32" s="411"/>
      <c r="AS32" s="411"/>
      <c r="AT32" s="411"/>
      <c r="AU32" s="411"/>
      <c r="AV32" s="411"/>
      <c r="AW32" s="411"/>
      <c r="AX32" s="411"/>
      <c r="AY32" s="411"/>
      <c r="AZ32" s="411"/>
      <c r="BA32" s="411"/>
      <c r="BB32" s="411"/>
      <c r="BC32" s="411"/>
      <c r="BD32" s="411"/>
      <c r="BE32" s="411"/>
      <c r="BF32" s="411"/>
      <c r="BG32" s="411"/>
      <c r="BH32" s="411"/>
      <c r="BI32" s="411"/>
      <c r="BJ32" s="411"/>
      <c r="BK32" s="411"/>
      <c r="BL32" s="411"/>
      <c r="BM32" s="411"/>
      <c r="BN32" s="411"/>
      <c r="BO32" s="411"/>
      <c r="BP32" s="411"/>
      <c r="BQ32" s="411"/>
      <c r="BR32" s="411"/>
      <c r="BS32" s="411"/>
      <c r="BT32" s="411"/>
      <c r="BU32" s="411"/>
      <c r="BV32" s="411"/>
      <c r="BW32" s="411"/>
      <c r="BX32" s="411"/>
      <c r="BY32" s="411"/>
      <c r="BZ32" s="411"/>
      <c r="CA32" s="411"/>
      <c r="CB32" s="411"/>
      <c r="CC32" s="411"/>
      <c r="CD32" s="411"/>
      <c r="CE32" s="411"/>
      <c r="CF32" s="411"/>
      <c r="CG32" s="411"/>
      <c r="CH32" s="411"/>
      <c r="CI32" s="411"/>
      <c r="CJ32" s="411"/>
      <c r="CK32" s="411"/>
      <c r="CL32" s="411"/>
      <c r="CM32" s="411"/>
      <c r="CN32" s="411"/>
      <c r="CO32" s="411"/>
      <c r="CP32" s="411"/>
      <c r="CQ32" s="411"/>
      <c r="CR32" s="411"/>
      <c r="CS32" s="411"/>
      <c r="CT32" s="411"/>
    </row>
    <row r="33" spans="1:98" s="654" customFormat="1" x14ac:dyDescent="0.3">
      <c r="A33" s="674" t="s">
        <v>786</v>
      </c>
      <c r="B33" s="647" t="s">
        <v>795</v>
      </c>
      <c r="C33" s="665">
        <v>42437</v>
      </c>
      <c r="D33" s="669" t="s">
        <v>787</v>
      </c>
      <c r="E33" s="670">
        <v>42801</v>
      </c>
      <c r="F33" s="666" t="s">
        <v>16</v>
      </c>
      <c r="G33" s="658"/>
      <c r="H33" s="658"/>
      <c r="I33" s="658"/>
      <c r="J33" s="658"/>
      <c r="K33" s="553">
        <f>900*12</f>
        <v>10800</v>
      </c>
      <c r="L33" s="553">
        <f>K33*AD33</f>
        <v>144795600</v>
      </c>
      <c r="M33" s="553">
        <v>2500</v>
      </c>
      <c r="N33" s="553">
        <f>M33*AD33</f>
        <v>33517500</v>
      </c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53">
        <f t="shared" si="0"/>
        <v>178313100</v>
      </c>
      <c r="AD33" s="553">
        <v>13407</v>
      </c>
      <c r="AE33" s="553"/>
      <c r="AF33" s="553"/>
      <c r="AG33" s="651" t="s">
        <v>19</v>
      </c>
      <c r="AH33" s="652">
        <v>42762</v>
      </c>
      <c r="AI33" s="528" t="s">
        <v>105</v>
      </c>
      <c r="AJ33" s="653"/>
      <c r="AK33" s="411"/>
      <c r="AL33" s="411"/>
      <c r="AM33" s="411"/>
      <c r="AN33" s="411"/>
      <c r="AO33" s="411"/>
      <c r="AP33" s="411"/>
      <c r="AQ33" s="411"/>
      <c r="AR33" s="411"/>
      <c r="AS33" s="411"/>
      <c r="AT33" s="411"/>
      <c r="AU33" s="411"/>
      <c r="AV33" s="411"/>
      <c r="AW33" s="411"/>
      <c r="AX33" s="411"/>
      <c r="AY33" s="411"/>
      <c r="AZ33" s="411"/>
      <c r="BA33" s="411"/>
      <c r="BB33" s="411"/>
      <c r="BC33" s="411"/>
      <c r="BD33" s="411"/>
      <c r="BE33" s="411"/>
      <c r="BF33" s="411"/>
      <c r="BG33" s="411"/>
      <c r="BH33" s="411"/>
      <c r="BI33" s="411"/>
      <c r="BJ33" s="411"/>
      <c r="BK33" s="411"/>
      <c r="BL33" s="411"/>
      <c r="BM33" s="411"/>
      <c r="BN33" s="411"/>
      <c r="BO33" s="411"/>
      <c r="BP33" s="411"/>
      <c r="BQ33" s="411"/>
      <c r="BR33" s="411"/>
      <c r="BS33" s="411"/>
      <c r="BT33" s="411"/>
      <c r="BU33" s="411"/>
      <c r="BV33" s="411"/>
      <c r="BW33" s="411"/>
      <c r="BX33" s="411"/>
      <c r="BY33" s="411"/>
      <c r="BZ33" s="411"/>
      <c r="CA33" s="411"/>
      <c r="CB33" s="411"/>
      <c r="CC33" s="411"/>
      <c r="CD33" s="411"/>
      <c r="CE33" s="411"/>
      <c r="CF33" s="411"/>
      <c r="CG33" s="411"/>
      <c r="CH33" s="411"/>
      <c r="CI33" s="411"/>
      <c r="CJ33" s="411"/>
      <c r="CK33" s="411"/>
      <c r="CL33" s="411"/>
      <c r="CM33" s="411"/>
      <c r="CN33" s="411"/>
      <c r="CO33" s="411"/>
      <c r="CP33" s="411"/>
      <c r="CQ33" s="411"/>
      <c r="CR33" s="411"/>
      <c r="CS33" s="411"/>
      <c r="CT33" s="411"/>
    </row>
    <row r="34" spans="1:98" s="654" customFormat="1" x14ac:dyDescent="0.3">
      <c r="A34" s="674" t="s">
        <v>786</v>
      </c>
      <c r="B34" s="647" t="s">
        <v>795</v>
      </c>
      <c r="C34" s="665"/>
      <c r="D34" s="669"/>
      <c r="E34" s="670"/>
      <c r="F34" s="666"/>
      <c r="G34" s="658"/>
      <c r="H34" s="658"/>
      <c r="I34" s="658"/>
      <c r="J34" s="658"/>
      <c r="K34" s="553"/>
      <c r="L34" s="553"/>
      <c r="M34" s="553"/>
      <c r="N34" s="553"/>
      <c r="O34" s="553"/>
      <c r="P34" s="553"/>
      <c r="Q34" s="553">
        <v>9600</v>
      </c>
      <c r="R34" s="553">
        <f>Q34*E3</f>
        <v>127680000</v>
      </c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53">
        <f t="shared" si="0"/>
        <v>127680000</v>
      </c>
      <c r="AD34" s="553"/>
      <c r="AE34" s="553"/>
      <c r="AF34" s="553"/>
      <c r="AG34" s="651" t="s">
        <v>19</v>
      </c>
      <c r="AH34" s="652"/>
      <c r="AI34" s="528" t="s">
        <v>105</v>
      </c>
      <c r="AJ34" s="653"/>
      <c r="AK34" s="411"/>
      <c r="AL34" s="411"/>
      <c r="AM34" s="411"/>
      <c r="AN34" s="411"/>
      <c r="AO34" s="411"/>
      <c r="AP34" s="411"/>
      <c r="AQ34" s="411"/>
      <c r="AR34" s="411"/>
      <c r="AS34" s="411"/>
      <c r="AT34" s="411"/>
      <c r="AU34" s="411"/>
      <c r="AV34" s="411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1"/>
      <c r="BN34" s="411"/>
      <c r="BO34" s="411"/>
      <c r="BP34" s="411"/>
      <c r="BQ34" s="411"/>
      <c r="BR34" s="411"/>
      <c r="BS34" s="411"/>
      <c r="BT34" s="411"/>
      <c r="BU34" s="411"/>
      <c r="BV34" s="411"/>
      <c r="BW34" s="411"/>
      <c r="BX34" s="411"/>
      <c r="BY34" s="411"/>
      <c r="BZ34" s="411"/>
      <c r="CA34" s="411"/>
      <c r="CB34" s="411"/>
      <c r="CC34" s="411"/>
      <c r="CD34" s="411"/>
      <c r="CE34" s="411"/>
      <c r="CF34" s="411"/>
      <c r="CG34" s="411"/>
      <c r="CH34" s="411"/>
      <c r="CI34" s="411"/>
      <c r="CJ34" s="411"/>
      <c r="CK34" s="411"/>
      <c r="CL34" s="411"/>
      <c r="CM34" s="411"/>
      <c r="CN34" s="411"/>
      <c r="CO34" s="411"/>
      <c r="CP34" s="411"/>
      <c r="CQ34" s="411"/>
      <c r="CR34" s="411"/>
      <c r="CS34" s="411"/>
      <c r="CT34" s="411"/>
    </row>
    <row r="35" spans="1:98" s="654" customFormat="1" x14ac:dyDescent="0.3">
      <c r="A35" s="656" t="s">
        <v>33</v>
      </c>
      <c r="B35" s="647" t="s">
        <v>795</v>
      </c>
      <c r="C35" s="655" t="s">
        <v>766</v>
      </c>
      <c r="D35" s="655"/>
      <c r="E35" s="657"/>
      <c r="F35" s="657" t="s">
        <v>16</v>
      </c>
      <c r="G35" s="553"/>
      <c r="H35" s="553"/>
      <c r="I35" s="553"/>
      <c r="J35" s="553"/>
      <c r="K35" s="553">
        <v>15600</v>
      </c>
      <c r="L35" s="553">
        <f>K35*E3</f>
        <v>207480000</v>
      </c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3">
        <f t="shared" si="0"/>
        <v>207480000</v>
      </c>
      <c r="AD35" s="553"/>
      <c r="AE35" s="553"/>
      <c r="AF35" s="553"/>
      <c r="AG35" s="651" t="s">
        <v>36</v>
      </c>
      <c r="AH35" s="668"/>
      <c r="AI35" s="528" t="s">
        <v>85</v>
      </c>
      <c r="AJ35" s="653"/>
      <c r="AK35" s="411"/>
      <c r="AL35" s="411"/>
      <c r="AM35" s="411"/>
      <c r="AN35" s="411"/>
      <c r="AO35" s="411"/>
      <c r="AP35" s="411"/>
      <c r="AQ35" s="411"/>
      <c r="AR35" s="411"/>
      <c r="AS35" s="411"/>
      <c r="AT35" s="411"/>
      <c r="AU35" s="411"/>
      <c r="AV35" s="411"/>
      <c r="AW35" s="411"/>
      <c r="AX35" s="411"/>
      <c r="AY35" s="411"/>
      <c r="AZ35" s="411"/>
      <c r="BA35" s="411"/>
      <c r="BB35" s="411"/>
      <c r="BC35" s="411"/>
      <c r="BD35" s="411"/>
      <c r="BE35" s="411"/>
      <c r="BF35" s="411"/>
      <c r="BG35" s="411"/>
      <c r="BH35" s="411"/>
      <c r="BI35" s="411"/>
      <c r="BJ35" s="411"/>
      <c r="BK35" s="411"/>
      <c r="BL35" s="411"/>
      <c r="BM35" s="411"/>
      <c r="BN35" s="411"/>
      <c r="BO35" s="411"/>
      <c r="BP35" s="411"/>
      <c r="BQ35" s="411"/>
      <c r="BR35" s="411"/>
      <c r="BS35" s="411"/>
      <c r="BT35" s="411"/>
      <c r="BU35" s="411"/>
      <c r="BV35" s="411"/>
      <c r="BW35" s="411"/>
      <c r="BX35" s="411"/>
      <c r="BY35" s="411"/>
      <c r="BZ35" s="411"/>
      <c r="CA35" s="411"/>
      <c r="CB35" s="411"/>
      <c r="CC35" s="411"/>
      <c r="CD35" s="411"/>
      <c r="CE35" s="411"/>
      <c r="CF35" s="411"/>
      <c r="CG35" s="411"/>
      <c r="CH35" s="411"/>
      <c r="CI35" s="411"/>
      <c r="CJ35" s="411"/>
      <c r="CK35" s="411"/>
      <c r="CL35" s="411"/>
      <c r="CM35" s="411"/>
      <c r="CN35" s="411"/>
      <c r="CO35" s="411"/>
      <c r="CP35" s="411"/>
      <c r="CQ35" s="411"/>
      <c r="CR35" s="411"/>
      <c r="CS35" s="411"/>
      <c r="CT35" s="411"/>
    </row>
    <row r="36" spans="1:98" s="654" customFormat="1" x14ac:dyDescent="0.3">
      <c r="A36" s="664" t="s">
        <v>35</v>
      </c>
      <c r="B36" s="647" t="s">
        <v>795</v>
      </c>
      <c r="C36" s="665">
        <v>41003</v>
      </c>
      <c r="D36" s="665"/>
      <c r="E36" s="666"/>
      <c r="F36" s="666" t="s">
        <v>16</v>
      </c>
      <c r="G36" s="658"/>
      <c r="H36" s="658"/>
      <c r="I36" s="658"/>
      <c r="J36" s="658"/>
      <c r="K36" s="553"/>
      <c r="L36" s="553"/>
      <c r="M36" s="553"/>
      <c r="N36" s="553"/>
      <c r="O36" s="553">
        <v>8000</v>
      </c>
      <c r="P36" s="553">
        <f>O36*E3</f>
        <v>106400000</v>
      </c>
      <c r="Q36" s="553"/>
      <c r="R36" s="553"/>
      <c r="S36" s="553"/>
      <c r="T36" s="553"/>
      <c r="U36" s="553"/>
      <c r="V36" s="553"/>
      <c r="W36" s="553"/>
      <c r="X36" s="553"/>
      <c r="Y36" s="553"/>
      <c r="Z36" s="553"/>
      <c r="AA36" s="553"/>
      <c r="AB36" s="553"/>
      <c r="AC36" s="553">
        <f t="shared" si="0"/>
        <v>106400000</v>
      </c>
      <c r="AD36" s="553"/>
      <c r="AE36" s="553"/>
      <c r="AF36" s="553"/>
      <c r="AG36" s="651" t="s">
        <v>36</v>
      </c>
      <c r="AH36" s="652">
        <v>42856</v>
      </c>
      <c r="AI36" s="528" t="s">
        <v>85</v>
      </c>
      <c r="AJ36" s="653"/>
      <c r="AK36" s="411"/>
      <c r="AL36" s="411"/>
      <c r="AM36" s="411"/>
      <c r="AN36" s="411"/>
      <c r="AO36" s="411"/>
      <c r="AP36" s="411"/>
      <c r="AQ36" s="411"/>
      <c r="AR36" s="411"/>
      <c r="AS36" s="411"/>
      <c r="AT36" s="411"/>
      <c r="AU36" s="411"/>
      <c r="AV36" s="411"/>
      <c r="AW36" s="411"/>
      <c r="AX36" s="411"/>
      <c r="AY36" s="411"/>
      <c r="AZ36" s="411"/>
      <c r="BA36" s="411"/>
      <c r="BB36" s="411"/>
      <c r="BC36" s="411"/>
      <c r="BD36" s="411"/>
      <c r="BE36" s="411"/>
      <c r="BF36" s="411"/>
      <c r="BG36" s="411"/>
      <c r="BH36" s="411"/>
      <c r="BI36" s="411"/>
      <c r="BJ36" s="411"/>
      <c r="BK36" s="411"/>
      <c r="BL36" s="411"/>
      <c r="BM36" s="411"/>
      <c r="BN36" s="411"/>
      <c r="BO36" s="411"/>
      <c r="BP36" s="411"/>
      <c r="BQ36" s="411"/>
      <c r="BR36" s="411"/>
      <c r="BS36" s="411"/>
      <c r="BT36" s="411"/>
      <c r="BU36" s="411"/>
      <c r="BV36" s="411"/>
      <c r="BW36" s="411"/>
      <c r="BX36" s="411"/>
      <c r="BY36" s="411"/>
      <c r="BZ36" s="411"/>
      <c r="CA36" s="411"/>
      <c r="CB36" s="411"/>
      <c r="CC36" s="411"/>
      <c r="CD36" s="411"/>
      <c r="CE36" s="411"/>
      <c r="CF36" s="411"/>
      <c r="CG36" s="411"/>
      <c r="CH36" s="411"/>
      <c r="CI36" s="411"/>
      <c r="CJ36" s="411"/>
      <c r="CK36" s="411"/>
      <c r="CL36" s="411"/>
      <c r="CM36" s="411"/>
      <c r="CN36" s="411"/>
      <c r="CO36" s="411"/>
      <c r="CP36" s="411"/>
      <c r="CQ36" s="411"/>
      <c r="CR36" s="411"/>
      <c r="CS36" s="411"/>
      <c r="CT36" s="411"/>
    </row>
    <row r="37" spans="1:98" s="654" customFormat="1" x14ac:dyDescent="0.3">
      <c r="A37" s="664" t="s">
        <v>37</v>
      </c>
      <c r="B37" s="647" t="s">
        <v>795</v>
      </c>
      <c r="C37" s="665">
        <v>42217</v>
      </c>
      <c r="D37" s="669" t="s">
        <v>788</v>
      </c>
      <c r="E37" s="675">
        <v>42582</v>
      </c>
      <c r="F37" s="666" t="s">
        <v>18</v>
      </c>
      <c r="G37" s="553">
        <f>11200000*12</f>
        <v>134400000</v>
      </c>
      <c r="H37" s="553">
        <f>11200000*12</f>
        <v>134400000</v>
      </c>
      <c r="I37" s="553"/>
      <c r="J37" s="553"/>
      <c r="K37" s="553">
        <f>7000000*12</f>
        <v>84000000</v>
      </c>
      <c r="L37" s="553">
        <f>7000000*12</f>
        <v>84000000</v>
      </c>
      <c r="M37" s="553"/>
      <c r="N37" s="553"/>
      <c r="O37" s="553"/>
      <c r="P37" s="553"/>
      <c r="Q37" s="553">
        <f>9800000*12</f>
        <v>117600000</v>
      </c>
      <c r="R37" s="553">
        <f>9800000*12</f>
        <v>117600000</v>
      </c>
      <c r="S37" s="553"/>
      <c r="T37" s="553"/>
      <c r="U37" s="553"/>
      <c r="V37" s="553"/>
      <c r="W37" s="553"/>
      <c r="X37" s="553"/>
      <c r="Y37" s="553"/>
      <c r="Z37" s="553"/>
      <c r="AA37" s="553"/>
      <c r="AB37" s="553"/>
      <c r="AC37" s="553">
        <f t="shared" si="0"/>
        <v>336000000</v>
      </c>
      <c r="AD37" s="553"/>
      <c r="AE37" s="553"/>
      <c r="AF37" s="553"/>
      <c r="AG37" s="651" t="s">
        <v>136</v>
      </c>
      <c r="AH37" s="652">
        <v>42521</v>
      </c>
      <c r="AI37" s="528" t="s">
        <v>100</v>
      </c>
      <c r="AJ37" s="653"/>
      <c r="AK37" s="411"/>
      <c r="AL37" s="411"/>
      <c r="AM37" s="411"/>
      <c r="AN37" s="411"/>
      <c r="AO37" s="411"/>
      <c r="AP37" s="411"/>
      <c r="AQ37" s="411"/>
      <c r="AR37" s="411"/>
      <c r="AS37" s="411"/>
      <c r="AT37" s="411"/>
      <c r="AU37" s="411"/>
      <c r="AV37" s="411"/>
      <c r="AW37" s="411"/>
      <c r="AX37" s="411"/>
      <c r="AY37" s="411"/>
      <c r="AZ37" s="411"/>
      <c r="BA37" s="411"/>
      <c r="BB37" s="411"/>
      <c r="BC37" s="411"/>
      <c r="BD37" s="411"/>
      <c r="BE37" s="411"/>
      <c r="BF37" s="411"/>
      <c r="BG37" s="411"/>
      <c r="BH37" s="411"/>
      <c r="BI37" s="411"/>
      <c r="BJ37" s="411"/>
      <c r="BK37" s="411"/>
      <c r="BL37" s="411"/>
      <c r="BM37" s="411"/>
      <c r="BN37" s="411"/>
      <c r="BO37" s="411"/>
      <c r="BP37" s="411"/>
      <c r="BQ37" s="411"/>
      <c r="BR37" s="411"/>
      <c r="BS37" s="411"/>
      <c r="BT37" s="411"/>
      <c r="BU37" s="411"/>
      <c r="BV37" s="411"/>
      <c r="BW37" s="411"/>
      <c r="BX37" s="411"/>
      <c r="BY37" s="411"/>
      <c r="BZ37" s="411"/>
      <c r="CA37" s="411"/>
      <c r="CB37" s="411"/>
      <c r="CC37" s="411"/>
      <c r="CD37" s="411"/>
      <c r="CE37" s="411"/>
      <c r="CF37" s="411"/>
      <c r="CG37" s="411"/>
      <c r="CH37" s="411"/>
      <c r="CI37" s="411"/>
      <c r="CJ37" s="411"/>
      <c r="CK37" s="411"/>
      <c r="CL37" s="411"/>
      <c r="CM37" s="411"/>
      <c r="CN37" s="411"/>
      <c r="CO37" s="411"/>
      <c r="CP37" s="411"/>
      <c r="CQ37" s="411"/>
      <c r="CR37" s="411"/>
      <c r="CS37" s="411"/>
      <c r="CT37" s="411"/>
    </row>
    <row r="38" spans="1:98" s="654" customFormat="1" x14ac:dyDescent="0.3">
      <c r="A38" s="656" t="s">
        <v>38</v>
      </c>
      <c r="B38" s="647" t="s">
        <v>795</v>
      </c>
      <c r="C38" s="655">
        <v>41785</v>
      </c>
      <c r="D38" s="649" t="s">
        <v>789</v>
      </c>
      <c r="E38" s="648" t="s">
        <v>781</v>
      </c>
      <c r="F38" s="648" t="s">
        <v>16</v>
      </c>
      <c r="G38" s="658"/>
      <c r="H38" s="658"/>
      <c r="I38" s="658"/>
      <c r="J38" s="658"/>
      <c r="K38" s="553"/>
      <c r="L38" s="553"/>
      <c r="M38" s="553"/>
      <c r="N38" s="553"/>
      <c r="O38" s="553">
        <f>1500*12</f>
        <v>18000</v>
      </c>
      <c r="P38" s="553">
        <f>O38*E3</f>
        <v>239400000</v>
      </c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3">
        <f t="shared" si="0"/>
        <v>239400000</v>
      </c>
      <c r="AD38" s="553"/>
      <c r="AE38" s="553"/>
      <c r="AF38" s="553"/>
      <c r="AG38" s="651" t="s">
        <v>36</v>
      </c>
      <c r="AH38" s="668"/>
      <c r="AI38" s="528" t="s">
        <v>85</v>
      </c>
      <c r="AJ38" s="653"/>
      <c r="AK38" s="411"/>
      <c r="AL38" s="411"/>
      <c r="AM38" s="411"/>
      <c r="AN38" s="411"/>
      <c r="AO38" s="411"/>
      <c r="AP38" s="411"/>
      <c r="AQ38" s="411"/>
      <c r="AR38" s="411"/>
      <c r="AS38" s="411"/>
      <c r="AT38" s="411"/>
      <c r="AU38" s="411"/>
      <c r="AV38" s="411"/>
      <c r="AW38" s="411"/>
      <c r="AX38" s="411"/>
      <c r="AY38" s="411"/>
      <c r="AZ38" s="411"/>
      <c r="BA38" s="411"/>
      <c r="BB38" s="411"/>
      <c r="BC38" s="411"/>
      <c r="BD38" s="411"/>
      <c r="BE38" s="411"/>
      <c r="BF38" s="411"/>
      <c r="BG38" s="411"/>
      <c r="BH38" s="411"/>
      <c r="BI38" s="411"/>
      <c r="BJ38" s="411"/>
      <c r="BK38" s="411"/>
      <c r="BL38" s="411"/>
      <c r="BM38" s="411"/>
      <c r="BN38" s="411"/>
      <c r="BO38" s="411"/>
      <c r="BP38" s="411"/>
      <c r="BQ38" s="411"/>
      <c r="BR38" s="411"/>
      <c r="BS38" s="411"/>
      <c r="BT38" s="411"/>
      <c r="BU38" s="411"/>
      <c r="BV38" s="411"/>
      <c r="BW38" s="411"/>
      <c r="BX38" s="411"/>
      <c r="BY38" s="411"/>
      <c r="BZ38" s="411"/>
      <c r="CA38" s="411"/>
      <c r="CB38" s="411"/>
      <c r="CC38" s="411"/>
      <c r="CD38" s="411"/>
      <c r="CE38" s="411"/>
      <c r="CF38" s="411"/>
      <c r="CG38" s="411"/>
      <c r="CH38" s="411"/>
      <c r="CI38" s="411"/>
      <c r="CJ38" s="411"/>
      <c r="CK38" s="411"/>
      <c r="CL38" s="411"/>
      <c r="CM38" s="411"/>
      <c r="CN38" s="411"/>
      <c r="CO38" s="411"/>
      <c r="CP38" s="411"/>
      <c r="CQ38" s="411"/>
      <c r="CR38" s="411"/>
      <c r="CS38" s="411"/>
      <c r="CT38" s="411"/>
    </row>
    <row r="39" spans="1:98" s="654" customFormat="1" x14ac:dyDescent="0.3">
      <c r="A39" s="656" t="s">
        <v>41</v>
      </c>
      <c r="B39" s="647" t="s">
        <v>795</v>
      </c>
      <c r="C39" s="655"/>
      <c r="D39" s="655"/>
      <c r="E39" s="657"/>
      <c r="F39" s="657" t="s">
        <v>16</v>
      </c>
      <c r="G39" s="658"/>
      <c r="H39" s="658"/>
      <c r="I39" s="658"/>
      <c r="J39" s="658"/>
      <c r="K39" s="658">
        <v>2727</v>
      </c>
      <c r="L39" s="658">
        <f>K39*E3</f>
        <v>36269100</v>
      </c>
      <c r="M39" s="658">
        <v>2727</v>
      </c>
      <c r="N39" s="658">
        <f>M39*E3</f>
        <v>36269100</v>
      </c>
      <c r="O39" s="553"/>
      <c r="P39" s="553"/>
      <c r="Q39" s="553"/>
      <c r="R39" s="553"/>
      <c r="S39" s="553"/>
      <c r="T39" s="553"/>
      <c r="U39" s="553">
        <v>2273</v>
      </c>
      <c r="V39" s="553">
        <f>U39*E3</f>
        <v>30230900</v>
      </c>
      <c r="W39" s="553">
        <v>1907</v>
      </c>
      <c r="X39" s="553">
        <f>W39*E3</f>
        <v>25363100</v>
      </c>
      <c r="Y39" s="553"/>
      <c r="Z39" s="553"/>
      <c r="AA39" s="553"/>
      <c r="AB39" s="553"/>
      <c r="AC39" s="553">
        <f t="shared" si="0"/>
        <v>128132200</v>
      </c>
      <c r="AD39" s="553"/>
      <c r="AE39" s="553"/>
      <c r="AF39" s="553"/>
      <c r="AG39" s="651" t="s">
        <v>136</v>
      </c>
      <c r="AH39" s="668"/>
      <c r="AI39" s="528" t="s">
        <v>98</v>
      </c>
      <c r="AJ39" s="653"/>
      <c r="AK39" s="411"/>
      <c r="AL39" s="411"/>
      <c r="AM39" s="411"/>
      <c r="AN39" s="411"/>
      <c r="AO39" s="411"/>
      <c r="AP39" s="411"/>
      <c r="AQ39" s="411"/>
      <c r="AR39" s="411"/>
      <c r="AS39" s="411"/>
      <c r="AT39" s="411"/>
      <c r="AU39" s="411"/>
      <c r="AV39" s="411"/>
      <c r="AW39" s="411"/>
      <c r="AX39" s="411"/>
      <c r="AY39" s="411"/>
      <c r="AZ39" s="411"/>
      <c r="BA39" s="411"/>
      <c r="BB39" s="411"/>
      <c r="BC39" s="411"/>
      <c r="BD39" s="411"/>
      <c r="BE39" s="411"/>
      <c r="BF39" s="411"/>
      <c r="BG39" s="411"/>
      <c r="BH39" s="411"/>
      <c r="BI39" s="411"/>
      <c r="BJ39" s="411"/>
      <c r="BK39" s="411"/>
      <c r="BL39" s="411"/>
      <c r="BM39" s="411"/>
      <c r="BN39" s="411"/>
      <c r="BO39" s="411"/>
      <c r="BP39" s="411"/>
      <c r="BQ39" s="411"/>
      <c r="BR39" s="411"/>
      <c r="BS39" s="411"/>
      <c r="BT39" s="411"/>
      <c r="BU39" s="411"/>
      <c r="BV39" s="411"/>
      <c r="BW39" s="411"/>
      <c r="BX39" s="411"/>
      <c r="BY39" s="411"/>
      <c r="BZ39" s="411"/>
      <c r="CA39" s="411"/>
      <c r="CB39" s="411"/>
      <c r="CC39" s="411"/>
      <c r="CD39" s="411"/>
      <c r="CE39" s="411"/>
      <c r="CF39" s="411"/>
      <c r="CG39" s="411"/>
      <c r="CH39" s="411"/>
      <c r="CI39" s="411"/>
      <c r="CJ39" s="411"/>
      <c r="CK39" s="411"/>
      <c r="CL39" s="411"/>
      <c r="CM39" s="411"/>
      <c r="CN39" s="411"/>
      <c r="CO39" s="411"/>
      <c r="CP39" s="411"/>
      <c r="CQ39" s="411"/>
      <c r="CR39" s="411"/>
      <c r="CS39" s="411"/>
      <c r="CT39" s="411"/>
    </row>
    <row r="40" spans="1:98" s="654" customFormat="1" x14ac:dyDescent="0.3">
      <c r="A40" s="656" t="s">
        <v>40</v>
      </c>
      <c r="B40" s="647" t="s">
        <v>795</v>
      </c>
      <c r="C40" s="655">
        <v>41806</v>
      </c>
      <c r="D40" s="655"/>
      <c r="E40" s="648"/>
      <c r="F40" s="648" t="s">
        <v>16</v>
      </c>
      <c r="G40" s="658">
        <v>4800</v>
      </c>
      <c r="H40" s="658">
        <f>G40*E3</f>
        <v>63840000</v>
      </c>
      <c r="I40" s="658">
        <v>4800</v>
      </c>
      <c r="J40" s="658">
        <f>I40*E3</f>
        <v>63840000</v>
      </c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>
        <f t="shared" si="0"/>
        <v>127680000</v>
      </c>
      <c r="AD40" s="553"/>
      <c r="AE40" s="553"/>
      <c r="AF40" s="553"/>
      <c r="AG40" s="651" t="s">
        <v>136</v>
      </c>
      <c r="AH40" s="668"/>
      <c r="AI40" s="528" t="s">
        <v>98</v>
      </c>
      <c r="AJ40" s="653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1"/>
      <c r="AY40" s="411"/>
      <c r="AZ40" s="411"/>
      <c r="BA40" s="411"/>
      <c r="BB40" s="411"/>
      <c r="BC40" s="411"/>
      <c r="BD40" s="411"/>
      <c r="BE40" s="411"/>
      <c r="BF40" s="411"/>
      <c r="BG40" s="411"/>
      <c r="BH40" s="411"/>
      <c r="BI40" s="411"/>
      <c r="BJ40" s="411"/>
      <c r="BK40" s="411"/>
      <c r="BL40" s="411"/>
      <c r="BM40" s="411"/>
      <c r="BN40" s="411"/>
      <c r="BO40" s="411"/>
      <c r="BP40" s="411"/>
      <c r="BQ40" s="411"/>
      <c r="BR40" s="411"/>
      <c r="BS40" s="411"/>
      <c r="BT40" s="411"/>
      <c r="BU40" s="411"/>
      <c r="BV40" s="411"/>
      <c r="BW40" s="411"/>
      <c r="BX40" s="411"/>
      <c r="BY40" s="411"/>
      <c r="BZ40" s="411"/>
      <c r="CA40" s="411"/>
      <c r="CB40" s="411"/>
      <c r="CC40" s="411"/>
      <c r="CD40" s="411"/>
      <c r="CE40" s="411"/>
      <c r="CF40" s="411"/>
      <c r="CG40" s="411"/>
      <c r="CH40" s="411"/>
      <c r="CI40" s="411"/>
      <c r="CJ40" s="411"/>
      <c r="CK40" s="411"/>
      <c r="CL40" s="411"/>
      <c r="CM40" s="411"/>
      <c r="CN40" s="411"/>
      <c r="CO40" s="411"/>
      <c r="CP40" s="411"/>
      <c r="CQ40" s="411"/>
      <c r="CR40" s="411"/>
      <c r="CS40" s="411"/>
      <c r="CT40" s="411"/>
    </row>
    <row r="41" spans="1:98" s="654" customFormat="1" x14ac:dyDescent="0.3">
      <c r="A41" s="656" t="s">
        <v>42</v>
      </c>
      <c r="B41" s="647" t="s">
        <v>794</v>
      </c>
      <c r="C41" s="655">
        <v>42390</v>
      </c>
      <c r="D41" s="649" t="s">
        <v>780</v>
      </c>
      <c r="E41" s="657" t="s">
        <v>781</v>
      </c>
      <c r="F41" s="668" t="s">
        <v>52</v>
      </c>
      <c r="G41" s="658"/>
      <c r="H41" s="658"/>
      <c r="I41" s="658"/>
      <c r="J41" s="658"/>
      <c r="K41" s="658"/>
      <c r="L41" s="658"/>
      <c r="M41" s="658"/>
      <c r="N41" s="658"/>
      <c r="O41" s="553">
        <v>2000</v>
      </c>
      <c r="P41" s="553">
        <f>O41*E3</f>
        <v>26600000</v>
      </c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>
        <f t="shared" si="0"/>
        <v>26600000</v>
      </c>
      <c r="AD41" s="553"/>
      <c r="AE41" s="553"/>
      <c r="AF41" s="553"/>
      <c r="AG41" s="651" t="s">
        <v>36</v>
      </c>
      <c r="AH41" s="668" t="s">
        <v>781</v>
      </c>
      <c r="AI41" s="528" t="s">
        <v>85</v>
      </c>
      <c r="AJ41" s="653"/>
      <c r="AK41" s="411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1"/>
      <c r="AX41" s="411"/>
      <c r="AY41" s="411"/>
      <c r="AZ41" s="411"/>
      <c r="BA41" s="411"/>
      <c r="BB41" s="411"/>
      <c r="BC41" s="411"/>
      <c r="BD41" s="411"/>
      <c r="BE41" s="411"/>
      <c r="BF41" s="411"/>
      <c r="BG41" s="411"/>
      <c r="BH41" s="411"/>
      <c r="BI41" s="411"/>
      <c r="BJ41" s="411"/>
      <c r="BK41" s="411"/>
      <c r="BL41" s="411"/>
      <c r="BM41" s="411"/>
      <c r="BN41" s="411"/>
      <c r="BO41" s="411"/>
      <c r="BP41" s="411"/>
      <c r="BQ41" s="411"/>
      <c r="BR41" s="411"/>
      <c r="BS41" s="411"/>
      <c r="BT41" s="411"/>
      <c r="BU41" s="411"/>
      <c r="BV41" s="411"/>
      <c r="BW41" s="411"/>
      <c r="BX41" s="411"/>
      <c r="BY41" s="411"/>
      <c r="BZ41" s="411"/>
      <c r="CA41" s="411"/>
      <c r="CB41" s="411"/>
      <c r="CC41" s="411"/>
      <c r="CD41" s="411"/>
      <c r="CE41" s="411"/>
      <c r="CF41" s="411"/>
      <c r="CG41" s="411"/>
      <c r="CH41" s="411"/>
      <c r="CI41" s="411"/>
      <c r="CJ41" s="411"/>
      <c r="CK41" s="411"/>
      <c r="CL41" s="411"/>
      <c r="CM41" s="411"/>
      <c r="CN41" s="411"/>
      <c r="CO41" s="411"/>
      <c r="CP41" s="411"/>
      <c r="CQ41" s="411"/>
      <c r="CR41" s="411"/>
      <c r="CS41" s="411"/>
      <c r="CT41" s="411"/>
    </row>
    <row r="42" spans="1:98" s="654" customFormat="1" x14ac:dyDescent="0.3">
      <c r="A42" s="656" t="s">
        <v>77</v>
      </c>
      <c r="B42" s="647" t="s">
        <v>795</v>
      </c>
      <c r="C42" s="655" t="s">
        <v>766</v>
      </c>
      <c r="D42" s="655"/>
      <c r="E42" s="657"/>
      <c r="F42" s="657"/>
      <c r="G42" s="658"/>
      <c r="H42" s="658"/>
      <c r="I42" s="658"/>
      <c r="J42" s="658"/>
      <c r="K42" s="658"/>
      <c r="L42" s="658"/>
      <c r="M42" s="658"/>
      <c r="N42" s="658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>
        <f t="shared" si="0"/>
        <v>0</v>
      </c>
      <c r="AD42" s="553"/>
      <c r="AE42" s="553"/>
      <c r="AF42" s="553"/>
      <c r="AG42" s="651" t="s">
        <v>36</v>
      </c>
      <c r="AH42" s="668"/>
      <c r="AI42" s="528" t="s">
        <v>85</v>
      </c>
      <c r="AJ42" s="653"/>
      <c r="AK42" s="411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1"/>
      <c r="AX42" s="411"/>
      <c r="AY42" s="411"/>
      <c r="AZ42" s="411"/>
      <c r="BA42" s="411"/>
      <c r="BB42" s="411"/>
      <c r="BC42" s="411"/>
      <c r="BD42" s="411"/>
      <c r="BE42" s="411"/>
      <c r="BF42" s="411"/>
      <c r="BG42" s="411"/>
      <c r="BH42" s="411"/>
      <c r="BI42" s="411"/>
      <c r="BJ42" s="411"/>
      <c r="BK42" s="411"/>
      <c r="BL42" s="411"/>
      <c r="BM42" s="411"/>
      <c r="BN42" s="411"/>
      <c r="BO42" s="411"/>
      <c r="BP42" s="411"/>
      <c r="BQ42" s="411"/>
      <c r="BR42" s="411"/>
      <c r="BS42" s="411"/>
      <c r="BT42" s="411"/>
      <c r="BU42" s="411"/>
      <c r="BV42" s="411"/>
      <c r="BW42" s="411"/>
      <c r="BX42" s="411"/>
      <c r="BY42" s="411"/>
      <c r="BZ42" s="411"/>
      <c r="CA42" s="411"/>
      <c r="CB42" s="411"/>
      <c r="CC42" s="411"/>
      <c r="CD42" s="411"/>
      <c r="CE42" s="411"/>
      <c r="CF42" s="411"/>
      <c r="CG42" s="411"/>
      <c r="CH42" s="411"/>
      <c r="CI42" s="411"/>
      <c r="CJ42" s="411"/>
      <c r="CK42" s="411"/>
      <c r="CL42" s="411"/>
      <c r="CM42" s="411"/>
      <c r="CN42" s="411"/>
      <c r="CO42" s="411"/>
      <c r="CP42" s="411"/>
      <c r="CQ42" s="411"/>
      <c r="CR42" s="411"/>
      <c r="CS42" s="411"/>
      <c r="CT42" s="411"/>
    </row>
    <row r="43" spans="1:98" s="654" customFormat="1" x14ac:dyDescent="0.3">
      <c r="A43" s="656" t="s">
        <v>791</v>
      </c>
      <c r="B43" s="647" t="s">
        <v>795</v>
      </c>
      <c r="C43" s="655">
        <v>42461</v>
      </c>
      <c r="D43" s="649" t="s">
        <v>790</v>
      </c>
      <c r="E43" s="648">
        <v>42825</v>
      </c>
      <c r="F43" s="648" t="s">
        <v>16</v>
      </c>
      <c r="G43" s="658"/>
      <c r="H43" s="658"/>
      <c r="I43" s="658"/>
      <c r="J43" s="658"/>
      <c r="K43" s="553"/>
      <c r="L43" s="553"/>
      <c r="M43" s="553"/>
      <c r="N43" s="553"/>
      <c r="O43" s="553"/>
      <c r="P43" s="553"/>
      <c r="Q43" s="553">
        <v>14400</v>
      </c>
      <c r="R43" s="553">
        <f>Q43*E3</f>
        <v>191520000</v>
      </c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>
        <f t="shared" si="0"/>
        <v>191520000</v>
      </c>
      <c r="AD43" s="553"/>
      <c r="AE43" s="553"/>
      <c r="AF43" s="553"/>
      <c r="AG43" s="651" t="s">
        <v>135</v>
      </c>
      <c r="AH43" s="652">
        <v>42767</v>
      </c>
      <c r="AI43" s="528" t="s">
        <v>89</v>
      </c>
      <c r="AJ43" s="676"/>
      <c r="AK43" s="411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1"/>
      <c r="AX43" s="411"/>
      <c r="AY43" s="411"/>
      <c r="AZ43" s="411"/>
      <c r="BA43" s="411"/>
      <c r="BB43" s="411"/>
      <c r="BC43" s="411"/>
      <c r="BD43" s="411"/>
      <c r="BE43" s="411"/>
      <c r="BF43" s="411"/>
      <c r="BG43" s="411"/>
      <c r="BH43" s="411"/>
      <c r="BI43" s="411"/>
      <c r="BJ43" s="411"/>
      <c r="BK43" s="411"/>
      <c r="BL43" s="411"/>
      <c r="BM43" s="411"/>
      <c r="BN43" s="411"/>
      <c r="BO43" s="411"/>
      <c r="BP43" s="411"/>
      <c r="BQ43" s="411"/>
      <c r="BR43" s="411"/>
      <c r="BS43" s="411"/>
      <c r="BT43" s="411"/>
      <c r="BU43" s="411"/>
      <c r="BV43" s="411"/>
      <c r="BW43" s="411"/>
      <c r="BX43" s="411"/>
      <c r="BY43" s="411"/>
      <c r="BZ43" s="411"/>
      <c r="CA43" s="411"/>
      <c r="CB43" s="411"/>
      <c r="CC43" s="411"/>
      <c r="CD43" s="411"/>
      <c r="CE43" s="411"/>
      <c r="CF43" s="411"/>
      <c r="CG43" s="411"/>
      <c r="CH43" s="411"/>
      <c r="CI43" s="411"/>
      <c r="CJ43" s="411"/>
      <c r="CK43" s="411"/>
      <c r="CL43" s="411"/>
      <c r="CM43" s="411"/>
      <c r="CN43" s="411"/>
      <c r="CO43" s="411"/>
      <c r="CP43" s="411"/>
      <c r="CQ43" s="411"/>
      <c r="CR43" s="411"/>
      <c r="CS43" s="411"/>
      <c r="CT43" s="411"/>
    </row>
    <row r="44" spans="1:98" s="654" customFormat="1" x14ac:dyDescent="0.3">
      <c r="A44" s="656" t="s">
        <v>67</v>
      </c>
      <c r="B44" s="647" t="s">
        <v>795</v>
      </c>
      <c r="C44" s="655">
        <v>42543</v>
      </c>
      <c r="D44" s="649" t="s">
        <v>792</v>
      </c>
      <c r="E44" s="648">
        <v>42917</v>
      </c>
      <c r="F44" s="657" t="s">
        <v>16</v>
      </c>
      <c r="G44" s="553">
        <f>450*12</f>
        <v>5400</v>
      </c>
      <c r="H44" s="553">
        <f>G44*E3</f>
        <v>71820000</v>
      </c>
      <c r="I44" s="553"/>
      <c r="J44" s="553"/>
      <c r="K44" s="553">
        <f>450*12</f>
        <v>5400</v>
      </c>
      <c r="L44" s="553">
        <f>K44*E3</f>
        <v>71820000</v>
      </c>
      <c r="M44" s="553">
        <v>3000</v>
      </c>
      <c r="N44" s="553">
        <f>M44*E3</f>
        <v>39900000</v>
      </c>
      <c r="O44" s="553">
        <f>450*12</f>
        <v>5400</v>
      </c>
      <c r="P44" s="553">
        <f>O44*E3</f>
        <v>71820000</v>
      </c>
      <c r="Q44" s="553">
        <f>450*12</f>
        <v>5400</v>
      </c>
      <c r="R44" s="553">
        <f>Q44*E3</f>
        <v>71820000</v>
      </c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>
        <f t="shared" si="0"/>
        <v>327180000</v>
      </c>
      <c r="AD44" s="553"/>
      <c r="AE44" s="553"/>
      <c r="AF44" s="553"/>
      <c r="AG44" s="651" t="s">
        <v>135</v>
      </c>
      <c r="AH44" s="652">
        <v>42856</v>
      </c>
      <c r="AI44" s="528" t="s">
        <v>89</v>
      </c>
      <c r="AJ44" s="676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</row>
    <row r="45" spans="1:98" s="654" customFormat="1" x14ac:dyDescent="0.3">
      <c r="A45" s="677" t="s">
        <v>72</v>
      </c>
      <c r="B45" s="647" t="s">
        <v>795</v>
      </c>
      <c r="C45" s="655" t="s">
        <v>766</v>
      </c>
      <c r="D45" s="655"/>
      <c r="E45" s="648"/>
      <c r="F45" s="657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>
        <f t="shared" si="0"/>
        <v>0</v>
      </c>
      <c r="AD45" s="553"/>
      <c r="AE45" s="553"/>
      <c r="AF45" s="553"/>
      <c r="AG45" s="651" t="s">
        <v>135</v>
      </c>
      <c r="AH45" s="668"/>
      <c r="AI45" s="528" t="s">
        <v>85</v>
      </c>
      <c r="AJ45" s="676"/>
      <c r="AK45" s="411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1"/>
      <c r="AX45" s="411"/>
      <c r="AY45" s="411"/>
      <c r="AZ45" s="411"/>
      <c r="BA45" s="411"/>
      <c r="BB45" s="411"/>
      <c r="BC45" s="411"/>
      <c r="BD45" s="411"/>
      <c r="BE45" s="411"/>
      <c r="BF45" s="411"/>
      <c r="BG45" s="411"/>
      <c r="BH45" s="411"/>
      <c r="BI45" s="411"/>
      <c r="BJ45" s="411"/>
      <c r="BK45" s="411"/>
      <c r="BL45" s="411"/>
      <c r="BM45" s="411"/>
      <c r="BN45" s="411"/>
      <c r="BO45" s="411"/>
      <c r="BP45" s="411"/>
      <c r="BQ45" s="411"/>
      <c r="BR45" s="411"/>
      <c r="BS45" s="411"/>
      <c r="BT45" s="411"/>
      <c r="BU45" s="411"/>
      <c r="BV45" s="411"/>
      <c r="BW45" s="411"/>
      <c r="BX45" s="411"/>
      <c r="BY45" s="411"/>
      <c r="BZ45" s="411"/>
      <c r="CA45" s="411"/>
      <c r="CB45" s="411"/>
      <c r="CC45" s="411"/>
      <c r="CD45" s="411"/>
      <c r="CE45" s="411"/>
      <c r="CF45" s="411"/>
      <c r="CG45" s="411"/>
      <c r="CH45" s="411"/>
      <c r="CI45" s="411"/>
      <c r="CJ45" s="411"/>
      <c r="CK45" s="411"/>
      <c r="CL45" s="411"/>
      <c r="CM45" s="411"/>
      <c r="CN45" s="411"/>
      <c r="CO45" s="411"/>
      <c r="CP45" s="411"/>
      <c r="CQ45" s="411"/>
      <c r="CR45" s="411"/>
      <c r="CS45" s="411"/>
      <c r="CT45" s="411"/>
    </row>
    <row r="46" spans="1:98" x14ac:dyDescent="0.3">
      <c r="A46" s="799" t="s">
        <v>863</v>
      </c>
      <c r="B46" s="799"/>
      <c r="C46" s="799"/>
      <c r="D46" s="799"/>
      <c r="E46" s="799"/>
      <c r="F46" s="799"/>
      <c r="G46" s="735"/>
      <c r="H46" s="735">
        <f>SUM(H9:H45)</f>
        <v>1053258600</v>
      </c>
      <c r="I46" s="736"/>
      <c r="J46" s="735">
        <f>SUM(J9:J45)</f>
        <v>93765000</v>
      </c>
      <c r="K46" s="736"/>
      <c r="L46" s="735">
        <f>SUM(L9:L45)</f>
        <v>1770869700</v>
      </c>
      <c r="M46" s="736"/>
      <c r="N46" s="735">
        <f>SUM(N9:N45)</f>
        <v>378625700</v>
      </c>
      <c r="O46" s="736"/>
      <c r="P46" s="735">
        <f>SUM(P9:P45)</f>
        <v>796560000</v>
      </c>
      <c r="Q46" s="737"/>
      <c r="R46" s="738">
        <f>SUM(R9:R45)</f>
        <v>1322938003.0799999</v>
      </c>
      <c r="S46" s="736"/>
      <c r="T46" s="735">
        <f>SUM(T9:T45)</f>
        <v>192410000</v>
      </c>
      <c r="U46" s="736"/>
      <c r="V46" s="735">
        <f>SUM(V9:V45)</f>
        <v>55421100</v>
      </c>
      <c r="W46" s="736"/>
      <c r="X46" s="735">
        <f>SUM(X22:X45)</f>
        <v>48545000</v>
      </c>
      <c r="Y46" s="736"/>
      <c r="Z46" s="735">
        <f>SUM(Z9:Z45)</f>
        <v>33075000</v>
      </c>
      <c r="AA46" s="736"/>
      <c r="AB46" s="735">
        <f>SUM(AB9:AB45)</f>
        <v>0</v>
      </c>
      <c r="AC46" s="735">
        <f>SUM(AC9:AC45)</f>
        <v>5745468103.0799999</v>
      </c>
      <c r="AG46" s="1"/>
      <c r="AJ46" s="1"/>
    </row>
    <row r="47" spans="1:98" x14ac:dyDescent="0.3">
      <c r="AA47" s="13">
        <f>SUM(H46:AB46)</f>
        <v>5745468103.0799999</v>
      </c>
    </row>
    <row r="48" spans="1:98" x14ac:dyDescent="0.3">
      <c r="A48" t="s">
        <v>69</v>
      </c>
    </row>
    <row r="49" spans="1:98" s="1" customFormat="1" ht="16.5" customHeight="1" x14ac:dyDescent="0.3">
      <c r="A49" s="762" t="s">
        <v>4</v>
      </c>
      <c r="B49" s="762" t="s">
        <v>779</v>
      </c>
      <c r="C49" s="770" t="s">
        <v>5</v>
      </c>
      <c r="D49" s="770" t="s">
        <v>765</v>
      </c>
      <c r="E49" s="770" t="s">
        <v>45</v>
      </c>
      <c r="F49" s="773" t="s">
        <v>6</v>
      </c>
      <c r="G49" s="777" t="s">
        <v>3</v>
      </c>
      <c r="H49" s="778"/>
      <c r="I49" s="778"/>
      <c r="J49" s="778"/>
      <c r="K49" s="778"/>
      <c r="L49" s="778"/>
      <c r="M49" s="778"/>
      <c r="N49" s="778"/>
      <c r="O49" s="778"/>
      <c r="P49" s="778"/>
      <c r="Q49" s="778"/>
      <c r="R49" s="778"/>
      <c r="S49" s="779"/>
      <c r="T49" s="729"/>
      <c r="U49" s="797" t="s">
        <v>866</v>
      </c>
      <c r="V49" s="793" t="s">
        <v>49</v>
      </c>
      <c r="W49" s="794"/>
      <c r="X49" s="698"/>
      <c r="Y49" s="781" t="s">
        <v>44</v>
      </c>
      <c r="Z49" s="699"/>
      <c r="AA49" s="780" t="s">
        <v>73</v>
      </c>
      <c r="AB49" s="698"/>
      <c r="AC49" s="780" t="s">
        <v>50</v>
      </c>
      <c r="AD49" s="780"/>
      <c r="AE49" s="780"/>
      <c r="AF49" s="780"/>
      <c r="AG49" s="780"/>
      <c r="AI49" s="529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411"/>
      <c r="CP49" s="411"/>
      <c r="CQ49" s="411"/>
      <c r="CR49" s="411"/>
      <c r="CS49" s="411"/>
      <c r="CT49" s="411"/>
    </row>
    <row r="50" spans="1:98" s="1" customFormat="1" ht="30" x14ac:dyDescent="0.3">
      <c r="A50" s="763"/>
      <c r="B50" s="775"/>
      <c r="C50" s="771"/>
      <c r="D50" s="772"/>
      <c r="E50" s="771"/>
      <c r="F50" s="773"/>
      <c r="G50" s="10" t="s">
        <v>55</v>
      </c>
      <c r="H50" s="10"/>
      <c r="I50" s="10" t="s">
        <v>56</v>
      </c>
      <c r="J50" s="10"/>
      <c r="K50" s="10" t="s">
        <v>57</v>
      </c>
      <c r="L50" s="10"/>
      <c r="M50" s="10" t="s">
        <v>58</v>
      </c>
      <c r="N50" s="10"/>
      <c r="O50" s="10" t="s">
        <v>59</v>
      </c>
      <c r="P50" s="10"/>
      <c r="Q50" s="10" t="s">
        <v>65</v>
      </c>
      <c r="R50" s="10"/>
      <c r="S50" s="10" t="s">
        <v>60</v>
      </c>
      <c r="T50" s="730"/>
      <c r="U50" s="797"/>
      <c r="V50" s="793"/>
      <c r="W50" s="794"/>
      <c r="X50" s="698"/>
      <c r="Y50" s="782"/>
      <c r="Z50" s="699"/>
      <c r="AA50" s="780"/>
      <c r="AB50" s="698"/>
      <c r="AC50" s="780"/>
      <c r="AD50" s="780"/>
      <c r="AE50" s="780"/>
      <c r="AF50" s="780"/>
      <c r="AG50" s="780"/>
      <c r="AI50" s="529"/>
      <c r="AK50" s="411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  <c r="BD50" s="411"/>
      <c r="BE50" s="411"/>
      <c r="BF50" s="411"/>
      <c r="BG50" s="411"/>
      <c r="BH50" s="411"/>
      <c r="BI50" s="411"/>
      <c r="BJ50" s="411"/>
      <c r="BK50" s="411"/>
      <c r="BL50" s="411"/>
      <c r="BM50" s="411"/>
      <c r="BN50" s="411"/>
      <c r="BO50" s="411"/>
      <c r="BP50" s="411"/>
      <c r="BQ50" s="411"/>
      <c r="BR50" s="411"/>
      <c r="BS50" s="411"/>
      <c r="BT50" s="411"/>
      <c r="BU50" s="411"/>
      <c r="BV50" s="411"/>
      <c r="BW50" s="411"/>
      <c r="BX50" s="411"/>
      <c r="BY50" s="411"/>
      <c r="BZ50" s="411"/>
      <c r="CA50" s="411"/>
      <c r="CB50" s="411"/>
      <c r="CC50" s="411"/>
      <c r="CD50" s="411"/>
      <c r="CE50" s="411"/>
      <c r="CF50" s="411"/>
      <c r="CG50" s="411"/>
      <c r="CH50" s="411"/>
      <c r="CI50" s="411"/>
      <c r="CJ50" s="411"/>
      <c r="CK50" s="411"/>
      <c r="CL50" s="411"/>
      <c r="CM50" s="411"/>
      <c r="CN50" s="411"/>
      <c r="CO50" s="411"/>
      <c r="CP50" s="411"/>
      <c r="CQ50" s="411"/>
      <c r="CR50" s="411"/>
      <c r="CS50" s="411"/>
      <c r="CT50" s="411"/>
    </row>
    <row r="51" spans="1:98" s="1" customFormat="1" x14ac:dyDescent="0.3">
      <c r="A51" s="701"/>
      <c r="B51" s="704"/>
      <c r="C51" s="702"/>
      <c r="D51" s="703"/>
      <c r="E51" s="702"/>
      <c r="F51" s="696"/>
      <c r="G51" s="10" t="s">
        <v>861</v>
      </c>
      <c r="H51" s="10" t="s">
        <v>862</v>
      </c>
      <c r="I51" s="10" t="s">
        <v>861</v>
      </c>
      <c r="J51" s="10" t="s">
        <v>862</v>
      </c>
      <c r="K51" s="10" t="s">
        <v>861</v>
      </c>
      <c r="L51" s="10" t="s">
        <v>862</v>
      </c>
      <c r="M51" s="10" t="s">
        <v>861</v>
      </c>
      <c r="N51" s="10" t="s">
        <v>862</v>
      </c>
      <c r="O51" s="10" t="s">
        <v>861</v>
      </c>
      <c r="P51" s="10" t="s">
        <v>862</v>
      </c>
      <c r="Q51" s="10" t="s">
        <v>861</v>
      </c>
      <c r="R51" s="10" t="s">
        <v>862</v>
      </c>
      <c r="S51" s="10" t="s">
        <v>861</v>
      </c>
      <c r="T51" s="10" t="s">
        <v>862</v>
      </c>
      <c r="U51" s="798"/>
      <c r="V51" s="795"/>
      <c r="W51" s="796"/>
      <c r="X51" s="745"/>
      <c r="Y51" s="699"/>
      <c r="Z51" s="699"/>
      <c r="AA51" s="698"/>
      <c r="AB51" s="700"/>
      <c r="AC51" s="700"/>
      <c r="AD51" s="744"/>
      <c r="AE51" s="744"/>
      <c r="AF51" s="744"/>
      <c r="AG51" s="745"/>
      <c r="AI51" s="529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1"/>
      <c r="CO51" s="411"/>
      <c r="CP51" s="411"/>
      <c r="CQ51" s="411"/>
      <c r="CR51" s="411"/>
      <c r="CS51" s="411"/>
      <c r="CT51" s="411"/>
    </row>
    <row r="52" spans="1:98" s="654" customFormat="1" x14ac:dyDescent="0.3">
      <c r="A52" s="534" t="s">
        <v>61</v>
      </c>
      <c r="B52" s="678" t="s">
        <v>795</v>
      </c>
      <c r="C52" s="545">
        <v>42278</v>
      </c>
      <c r="D52" s="746" t="s">
        <v>793</v>
      </c>
      <c r="E52" s="534" t="s">
        <v>781</v>
      </c>
      <c r="F52" s="619" t="s">
        <v>16</v>
      </c>
      <c r="G52" s="538"/>
      <c r="H52" s="538"/>
      <c r="I52" s="538">
        <v>30000</v>
      </c>
      <c r="J52" s="538">
        <f>I52*E3</f>
        <v>399000000</v>
      </c>
      <c r="K52" s="538">
        <v>15000</v>
      </c>
      <c r="L52" s="538">
        <f>K52*E3</f>
        <v>199500000</v>
      </c>
      <c r="M52" s="538"/>
      <c r="N52" s="538"/>
      <c r="O52" s="538">
        <v>15000</v>
      </c>
      <c r="P52" s="538">
        <f>O52*E3</f>
        <v>199500000</v>
      </c>
      <c r="Q52" s="538"/>
      <c r="R52" s="538"/>
      <c r="S52" s="538"/>
      <c r="T52" s="731"/>
      <c r="U52" s="750">
        <f>J52+H52+L52+N52+P52+R52+T52</f>
        <v>798000000</v>
      </c>
      <c r="V52" s="765"/>
      <c r="W52" s="766"/>
      <c r="X52" s="707"/>
      <c r="Y52" s="534" t="s">
        <v>36</v>
      </c>
      <c r="Z52" s="534"/>
      <c r="AA52" s="534" t="s">
        <v>85</v>
      </c>
      <c r="AB52" s="653"/>
      <c r="AC52" s="764"/>
      <c r="AD52" s="765"/>
      <c r="AE52" s="765"/>
      <c r="AF52" s="765"/>
      <c r="AG52" s="766"/>
      <c r="AH52" s="411"/>
      <c r="AI52" s="682"/>
      <c r="AJ52" s="411"/>
      <c r="AK52" s="411"/>
      <c r="AL52" s="411"/>
      <c r="AM52" s="411"/>
      <c r="AN52" s="411"/>
      <c r="AO52" s="411"/>
      <c r="AP52" s="411"/>
      <c r="AQ52" s="411"/>
      <c r="AR52" s="411"/>
      <c r="AS52" s="411"/>
      <c r="AT52" s="411"/>
      <c r="AU52" s="411"/>
      <c r="AV52" s="411"/>
      <c r="AW52" s="411"/>
      <c r="AX52" s="411"/>
      <c r="AY52" s="411"/>
      <c r="AZ52" s="411"/>
      <c r="BA52" s="411"/>
      <c r="BB52" s="411"/>
      <c r="BC52" s="411"/>
      <c r="BD52" s="411"/>
      <c r="BE52" s="411"/>
      <c r="BF52" s="411"/>
      <c r="BG52" s="411"/>
      <c r="BH52" s="411"/>
      <c r="BI52" s="411"/>
      <c r="BJ52" s="411"/>
      <c r="BK52" s="411"/>
      <c r="BL52" s="411"/>
      <c r="BM52" s="411"/>
      <c r="BN52" s="411"/>
      <c r="BO52" s="411"/>
      <c r="BP52" s="411"/>
      <c r="BQ52" s="411"/>
      <c r="BR52" s="411"/>
      <c r="BS52" s="411"/>
      <c r="BT52" s="411"/>
      <c r="BU52" s="411"/>
      <c r="BV52" s="411"/>
      <c r="BW52" s="411"/>
      <c r="BX52" s="411"/>
      <c r="BY52" s="411"/>
      <c r="BZ52" s="411"/>
      <c r="CA52" s="411"/>
      <c r="CB52" s="411"/>
      <c r="CC52" s="411"/>
      <c r="CD52" s="411"/>
      <c r="CE52" s="411"/>
      <c r="CF52" s="411"/>
      <c r="CG52" s="411"/>
      <c r="CH52" s="411"/>
      <c r="CI52" s="411"/>
      <c r="CJ52" s="411"/>
      <c r="CK52" s="411"/>
      <c r="CL52" s="411"/>
      <c r="CM52" s="411"/>
      <c r="CN52" s="411"/>
      <c r="CO52" s="411"/>
      <c r="CP52" s="411"/>
      <c r="CQ52" s="411"/>
      <c r="CR52" s="411"/>
      <c r="CS52" s="411"/>
      <c r="CT52" s="411"/>
    </row>
    <row r="53" spans="1:98" x14ac:dyDescent="0.3">
      <c r="A53" s="530" t="s">
        <v>830</v>
      </c>
      <c r="B53" s="542" t="s">
        <v>795</v>
      </c>
      <c r="C53" s="544">
        <v>42690</v>
      </c>
      <c r="D53" s="531" t="s">
        <v>831</v>
      </c>
      <c r="E53" s="530" t="s">
        <v>781</v>
      </c>
      <c r="F53" s="532" t="s">
        <v>16</v>
      </c>
      <c r="G53" s="533">
        <v>13800</v>
      </c>
      <c r="H53" s="533">
        <f>G53*E3</f>
        <v>183540000</v>
      </c>
      <c r="I53" s="533"/>
      <c r="J53" s="533"/>
      <c r="K53" s="533"/>
      <c r="L53" s="533"/>
      <c r="M53" s="533"/>
      <c r="N53" s="533"/>
      <c r="O53" s="533"/>
      <c r="P53" s="533"/>
      <c r="Q53" s="533"/>
      <c r="R53" s="533"/>
      <c r="S53" s="533"/>
      <c r="T53" s="732"/>
      <c r="U53" s="750">
        <f t="shared" ref="U53:U57" si="2">J53+H53+L53+N53+P53+R53+T53</f>
        <v>183540000</v>
      </c>
      <c r="V53" s="743"/>
      <c r="W53" s="751"/>
      <c r="X53" s="705"/>
      <c r="Y53" s="534" t="s">
        <v>36</v>
      </c>
      <c r="Z53" s="534"/>
      <c r="AA53" s="534" t="s">
        <v>85</v>
      </c>
      <c r="AB53" s="653"/>
      <c r="AC53" s="767"/>
      <c r="AD53" s="768"/>
      <c r="AE53" s="768"/>
      <c r="AF53" s="768"/>
      <c r="AG53" s="769"/>
      <c r="AH53" s="411"/>
      <c r="AI53" s="682"/>
      <c r="AJ53" s="411"/>
    </row>
    <row r="54" spans="1:98" s="1" customFormat="1" x14ac:dyDescent="0.3">
      <c r="A54" s="530" t="s">
        <v>828</v>
      </c>
      <c r="B54" s="542" t="s">
        <v>795</v>
      </c>
      <c r="C54" s="544">
        <v>42635</v>
      </c>
      <c r="D54" s="747" t="s">
        <v>827</v>
      </c>
      <c r="E54" s="530" t="s">
        <v>781</v>
      </c>
      <c r="F54" s="532" t="s">
        <v>16</v>
      </c>
      <c r="G54" s="533">
        <v>13800</v>
      </c>
      <c r="H54" s="533">
        <f>G54*E3</f>
        <v>183540000</v>
      </c>
      <c r="I54" s="533"/>
      <c r="J54" s="533"/>
      <c r="K54" s="533"/>
      <c r="L54" s="533"/>
      <c r="M54" s="533"/>
      <c r="N54" s="533"/>
      <c r="O54" s="533"/>
      <c r="P54" s="533"/>
      <c r="Q54" s="533">
        <v>10000</v>
      </c>
      <c r="R54" s="533">
        <f>Q54*E3</f>
        <v>133000000</v>
      </c>
      <c r="S54" s="533"/>
      <c r="T54" s="732"/>
      <c r="U54" s="750">
        <f t="shared" si="2"/>
        <v>316540000</v>
      </c>
      <c r="V54" s="743"/>
      <c r="W54" s="751"/>
      <c r="X54" s="705"/>
      <c r="Y54" s="534" t="s">
        <v>36</v>
      </c>
      <c r="Z54" s="534"/>
      <c r="AA54" s="534" t="s">
        <v>85</v>
      </c>
      <c r="AB54" s="653"/>
      <c r="AC54" s="767"/>
      <c r="AD54" s="768"/>
      <c r="AE54" s="768"/>
      <c r="AF54" s="768"/>
      <c r="AG54" s="769"/>
      <c r="AI54" s="529"/>
      <c r="AK54" s="411"/>
      <c r="AL54" s="411"/>
      <c r="AM54" s="411"/>
      <c r="AN54" s="411"/>
      <c r="AO54" s="411"/>
      <c r="AP54" s="411"/>
      <c r="AQ54" s="411"/>
      <c r="AR54" s="411"/>
      <c r="AS54" s="411"/>
      <c r="AT54" s="411"/>
      <c r="AU54" s="411"/>
      <c r="AV54" s="411"/>
      <c r="AW54" s="411"/>
      <c r="AX54" s="411"/>
      <c r="AY54" s="411"/>
      <c r="AZ54" s="411"/>
      <c r="BA54" s="411"/>
      <c r="BB54" s="411"/>
      <c r="BC54" s="411"/>
      <c r="BD54" s="411"/>
      <c r="BE54" s="411"/>
      <c r="BF54" s="411"/>
      <c r="BG54" s="411"/>
      <c r="BH54" s="411"/>
      <c r="BI54" s="411"/>
      <c r="BJ54" s="411"/>
      <c r="BK54" s="411"/>
      <c r="BL54" s="411"/>
      <c r="BM54" s="411"/>
      <c r="BN54" s="411"/>
      <c r="BO54" s="411"/>
      <c r="BP54" s="411"/>
      <c r="BQ54" s="411"/>
      <c r="BR54" s="411"/>
      <c r="BS54" s="411"/>
      <c r="BT54" s="411"/>
      <c r="BU54" s="411"/>
      <c r="BV54" s="411"/>
      <c r="BW54" s="411"/>
      <c r="BX54" s="411"/>
      <c r="BY54" s="411"/>
      <c r="BZ54" s="411"/>
      <c r="CA54" s="411"/>
      <c r="CB54" s="411"/>
      <c r="CC54" s="411"/>
      <c r="CD54" s="411"/>
      <c r="CE54" s="411"/>
      <c r="CF54" s="411"/>
      <c r="CG54" s="411"/>
      <c r="CH54" s="411"/>
      <c r="CI54" s="411"/>
      <c r="CJ54" s="411"/>
      <c r="CK54" s="411"/>
      <c r="CL54" s="411"/>
      <c r="CM54" s="411"/>
      <c r="CN54" s="411"/>
      <c r="CO54" s="411"/>
      <c r="CP54" s="411"/>
      <c r="CQ54" s="411"/>
      <c r="CR54" s="411"/>
      <c r="CS54" s="411"/>
      <c r="CT54" s="411"/>
    </row>
    <row r="55" spans="1:98" s="1" customFormat="1" x14ac:dyDescent="0.3">
      <c r="A55" s="530" t="s">
        <v>66</v>
      </c>
      <c r="B55" s="542" t="s">
        <v>795</v>
      </c>
      <c r="C55" s="544">
        <v>42564</v>
      </c>
      <c r="D55" s="544"/>
      <c r="E55" s="530"/>
      <c r="F55" s="532" t="s">
        <v>16</v>
      </c>
      <c r="G55" s="533"/>
      <c r="H55" s="533"/>
      <c r="I55" s="533"/>
      <c r="J55" s="533"/>
      <c r="K55" s="533"/>
      <c r="L55" s="533"/>
      <c r="M55" s="533"/>
      <c r="N55" s="533"/>
      <c r="O55" s="533"/>
      <c r="P55" s="533"/>
      <c r="Q55" s="533"/>
      <c r="R55" s="533"/>
      <c r="S55" s="533">
        <v>4000</v>
      </c>
      <c r="T55" s="732">
        <f>S55*E3</f>
        <v>53200000</v>
      </c>
      <c r="U55" s="750">
        <f t="shared" si="2"/>
        <v>53200000</v>
      </c>
      <c r="V55" s="733"/>
      <c r="W55" s="536"/>
      <c r="X55" s="705"/>
      <c r="Y55" s="534"/>
      <c r="Z55" s="534"/>
      <c r="AA55" s="534"/>
      <c r="AB55" s="653"/>
      <c r="AC55" s="535"/>
      <c r="AD55" s="733"/>
      <c r="AE55" s="733"/>
      <c r="AF55" s="733"/>
      <c r="AG55" s="536"/>
      <c r="AI55" s="529"/>
      <c r="AK55" s="411"/>
      <c r="AL55" s="411"/>
      <c r="AM55" s="411"/>
      <c r="AN55" s="411"/>
      <c r="AO55" s="411"/>
      <c r="AP55" s="411"/>
      <c r="AQ55" s="411"/>
      <c r="AR55" s="411"/>
      <c r="AS55" s="411"/>
      <c r="AT55" s="411"/>
      <c r="AU55" s="411"/>
      <c r="AV55" s="411"/>
      <c r="AW55" s="411"/>
      <c r="AX55" s="411"/>
      <c r="AY55" s="411"/>
      <c r="AZ55" s="411"/>
      <c r="BA55" s="411"/>
      <c r="BB55" s="411"/>
      <c r="BC55" s="411"/>
      <c r="BD55" s="411"/>
      <c r="BE55" s="411"/>
      <c r="BF55" s="411"/>
      <c r="BG55" s="411"/>
      <c r="BH55" s="411"/>
      <c r="BI55" s="411"/>
      <c r="BJ55" s="411"/>
      <c r="BK55" s="411"/>
      <c r="BL55" s="411"/>
      <c r="BM55" s="411"/>
      <c r="BN55" s="411"/>
      <c r="BO55" s="411"/>
      <c r="BP55" s="411"/>
      <c r="BQ55" s="411"/>
      <c r="BR55" s="411"/>
      <c r="BS55" s="411"/>
      <c r="BT55" s="411"/>
      <c r="BU55" s="411"/>
      <c r="BV55" s="411"/>
      <c r="BW55" s="411"/>
      <c r="BX55" s="411"/>
      <c r="BY55" s="411"/>
      <c r="BZ55" s="411"/>
      <c r="CA55" s="411"/>
      <c r="CB55" s="411"/>
      <c r="CC55" s="411"/>
      <c r="CD55" s="411"/>
      <c r="CE55" s="411"/>
      <c r="CF55" s="411"/>
      <c r="CG55" s="411"/>
      <c r="CH55" s="411"/>
      <c r="CI55" s="411"/>
      <c r="CJ55" s="411"/>
      <c r="CK55" s="411"/>
      <c r="CL55" s="411"/>
      <c r="CM55" s="411"/>
      <c r="CN55" s="411"/>
      <c r="CO55" s="411"/>
      <c r="CP55" s="411"/>
      <c r="CQ55" s="411"/>
      <c r="CR55" s="411"/>
      <c r="CS55" s="411"/>
      <c r="CT55" s="411"/>
    </row>
    <row r="56" spans="1:98" x14ac:dyDescent="0.3">
      <c r="A56" s="530" t="s">
        <v>63</v>
      </c>
      <c r="B56" s="542" t="s">
        <v>795</v>
      </c>
      <c r="C56" s="545">
        <v>42634</v>
      </c>
      <c r="D56" s="545"/>
      <c r="E56" s="534"/>
      <c r="F56" s="537" t="s">
        <v>16</v>
      </c>
      <c r="G56" s="538">
        <v>9000</v>
      </c>
      <c r="H56" s="538">
        <f>G56*E3</f>
        <v>119700000</v>
      </c>
      <c r="I56" s="538"/>
      <c r="J56" s="538"/>
      <c r="K56" s="538"/>
      <c r="L56" s="538"/>
      <c r="M56" s="538"/>
      <c r="N56" s="538"/>
      <c r="O56" s="538"/>
      <c r="P56" s="538"/>
      <c r="Q56" s="538"/>
      <c r="R56" s="538"/>
      <c r="S56" s="538"/>
      <c r="T56" s="538"/>
      <c r="U56" s="750">
        <f t="shared" si="2"/>
        <v>119700000</v>
      </c>
      <c r="V56" s="748"/>
      <c r="W56" s="749"/>
      <c r="X56" s="706"/>
      <c r="Y56" s="534" t="s">
        <v>36</v>
      </c>
      <c r="Z56" s="534"/>
      <c r="AA56" s="534" t="s">
        <v>85</v>
      </c>
      <c r="AB56" s="534"/>
      <c r="AC56" s="776"/>
      <c r="AD56" s="776"/>
      <c r="AE56" s="776"/>
      <c r="AF56" s="776"/>
      <c r="AG56" s="776"/>
    </row>
    <row r="57" spans="1:98" x14ac:dyDescent="0.3">
      <c r="A57" s="539" t="s">
        <v>767</v>
      </c>
      <c r="B57" s="542" t="s">
        <v>795</v>
      </c>
      <c r="C57" s="537"/>
      <c r="D57" s="615"/>
      <c r="E57" s="534"/>
      <c r="F57" s="534"/>
      <c r="G57" s="534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534"/>
      <c r="S57" s="534"/>
      <c r="T57" s="534"/>
      <c r="U57" s="750">
        <f t="shared" si="2"/>
        <v>0</v>
      </c>
      <c r="V57" s="534"/>
      <c r="W57" s="534"/>
      <c r="X57" s="534"/>
      <c r="Y57" s="534"/>
      <c r="Z57" s="534"/>
      <c r="AA57" s="534"/>
      <c r="AB57" s="534"/>
      <c r="AC57" s="534"/>
      <c r="AD57" s="706"/>
      <c r="AE57" s="534"/>
      <c r="AF57" s="534"/>
      <c r="AG57" s="534"/>
    </row>
    <row r="58" spans="1:98" s="736" customFormat="1" x14ac:dyDescent="0.3">
      <c r="A58" s="792" t="s">
        <v>863</v>
      </c>
      <c r="B58" s="792"/>
      <c r="C58" s="792"/>
      <c r="D58" s="792"/>
      <c r="E58" s="792"/>
      <c r="F58" s="792"/>
      <c r="G58" s="754"/>
      <c r="H58" s="755">
        <f>SUM(H53:H56)</f>
        <v>486780000</v>
      </c>
      <c r="I58" s="754"/>
      <c r="J58" s="755">
        <f>SUM(J52:J57)</f>
        <v>399000000</v>
      </c>
      <c r="K58" s="754"/>
      <c r="L58" s="755">
        <f>SUM(L52:L57)</f>
        <v>199500000</v>
      </c>
      <c r="M58" s="754"/>
      <c r="N58" s="754"/>
      <c r="O58" s="754"/>
      <c r="P58" s="755">
        <f>SUM(P52:P57)</f>
        <v>199500000</v>
      </c>
      <c r="Q58" s="754"/>
      <c r="R58" s="755">
        <f>SUM(R52:R57)</f>
        <v>133000000</v>
      </c>
      <c r="S58" s="754"/>
      <c r="T58" s="755">
        <f>SUM(T52:T57)</f>
        <v>53200000</v>
      </c>
      <c r="U58" s="755">
        <f>SUM(H58+J58+L58+P58+R58+T58)</f>
        <v>1470980000</v>
      </c>
      <c r="W58" s="754"/>
      <c r="X58" s="754"/>
      <c r="Y58" s="754"/>
      <c r="Z58" s="754"/>
      <c r="AA58" s="754"/>
      <c r="AB58" s="754"/>
      <c r="AC58" s="754"/>
      <c r="AD58" s="756"/>
      <c r="AE58" s="754"/>
      <c r="AF58" s="754"/>
      <c r="AG58" s="754"/>
      <c r="AI58" s="757"/>
      <c r="AK58" s="758"/>
      <c r="AL58" s="758"/>
      <c r="AM58" s="758"/>
      <c r="AN58" s="758"/>
      <c r="AO58" s="758"/>
      <c r="AP58" s="758"/>
      <c r="AQ58" s="758"/>
      <c r="AR58" s="758"/>
      <c r="AS58" s="758"/>
      <c r="AT58" s="758"/>
      <c r="AU58" s="758"/>
      <c r="AV58" s="758"/>
      <c r="AW58" s="758"/>
      <c r="AX58" s="758"/>
      <c r="AY58" s="758"/>
      <c r="AZ58" s="758"/>
      <c r="BA58" s="758"/>
      <c r="BB58" s="758"/>
      <c r="BC58" s="758"/>
      <c r="BD58" s="758"/>
      <c r="BE58" s="758"/>
      <c r="BF58" s="758"/>
      <c r="BG58" s="758"/>
      <c r="BH58" s="758"/>
      <c r="BI58" s="758"/>
      <c r="BJ58" s="758"/>
      <c r="BK58" s="758"/>
      <c r="BL58" s="758"/>
      <c r="BM58" s="758"/>
      <c r="BN58" s="758"/>
      <c r="BO58" s="758"/>
      <c r="BP58" s="758"/>
      <c r="BQ58" s="758"/>
      <c r="BR58" s="758"/>
      <c r="BS58" s="758"/>
      <c r="BT58" s="758"/>
      <c r="BU58" s="758"/>
      <c r="BV58" s="758"/>
      <c r="BW58" s="758"/>
      <c r="BX58" s="758"/>
      <c r="BY58" s="758"/>
      <c r="BZ58" s="758"/>
      <c r="CA58" s="758"/>
      <c r="CB58" s="758"/>
      <c r="CC58" s="758"/>
      <c r="CD58" s="758"/>
      <c r="CE58" s="758"/>
      <c r="CF58" s="758"/>
      <c r="CG58" s="758"/>
      <c r="CH58" s="758"/>
      <c r="CI58" s="758"/>
      <c r="CJ58" s="758"/>
      <c r="CK58" s="758"/>
      <c r="CL58" s="758"/>
      <c r="CM58" s="758"/>
      <c r="CN58" s="758"/>
      <c r="CO58" s="758"/>
      <c r="CP58" s="758"/>
      <c r="CQ58" s="758"/>
      <c r="CR58" s="758"/>
      <c r="CS58" s="758"/>
      <c r="CT58" s="758"/>
    </row>
    <row r="60" spans="1:98" x14ac:dyDescent="0.3">
      <c r="A60" s="759" t="s">
        <v>867</v>
      </c>
      <c r="B60" s="760">
        <f>U58+AC46</f>
        <v>7216448103.0799999</v>
      </c>
    </row>
  </sheetData>
  <autoFilter ref="A7:AJ45"/>
  <sortState ref="A8:X45">
    <sortCondition ref="A8"/>
  </sortState>
  <mergeCells count="43">
    <mergeCell ref="A58:F58"/>
    <mergeCell ref="V49:W51"/>
    <mergeCell ref="U49:U51"/>
    <mergeCell ref="V52:W52"/>
    <mergeCell ref="AA7:AB7"/>
    <mergeCell ref="A46:F46"/>
    <mergeCell ref="AJ6:AJ7"/>
    <mergeCell ref="G6:AC6"/>
    <mergeCell ref="AH6:AH7"/>
    <mergeCell ref="AG6:AG7"/>
    <mergeCell ref="AI6:AI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D6:AD8"/>
    <mergeCell ref="AC56:AG56"/>
    <mergeCell ref="A49:A50"/>
    <mergeCell ref="C49:C50"/>
    <mergeCell ref="E49:E50"/>
    <mergeCell ref="F49:F50"/>
    <mergeCell ref="B49:B50"/>
    <mergeCell ref="D49:D50"/>
    <mergeCell ref="G49:S49"/>
    <mergeCell ref="AC49:AG50"/>
    <mergeCell ref="Y49:Y50"/>
    <mergeCell ref="AA49:AA50"/>
    <mergeCell ref="A1:B1"/>
    <mergeCell ref="A6:A7"/>
    <mergeCell ref="AC52:AG52"/>
    <mergeCell ref="AC53:AG53"/>
    <mergeCell ref="AC54:AG54"/>
    <mergeCell ref="D6:D8"/>
    <mergeCell ref="E6:E8"/>
    <mergeCell ref="F6:F8"/>
    <mergeCell ref="B6:B8"/>
    <mergeCell ref="C6:C8"/>
  </mergeCells>
  <conditionalFormatting sqref="AH9:AH45">
    <cfRule type="timePeriod" dxfId="18" priority="4" timePeriod="today">
      <formula>FLOOR(AH9,1)=TODAY()</formula>
    </cfRule>
    <cfRule type="timePeriod" dxfId="17" priority="5" timePeriod="tomorrow">
      <formula>FLOOR(AH9,1)=TODAY()+1</formula>
    </cfRule>
    <cfRule type="timePeriod" dxfId="16" priority="6" timePeriod="yesterday">
      <formula>FLOOR(AH9,1)=TODAY()-1</formula>
    </cfRule>
  </conditionalFormatting>
  <conditionalFormatting sqref="U52:V52 X52 U53:X57">
    <cfRule type="timePeriod" dxfId="15" priority="1" timePeriod="today">
      <formula>FLOOR(U52,1)=TODAY()</formula>
    </cfRule>
    <cfRule type="timePeriod" dxfId="14" priority="2" timePeriod="tomorrow">
      <formula>FLOOR(U52,1)=TODAY()+1</formula>
    </cfRule>
    <cfRule type="timePeriod" dxfId="13" priority="3" timePeriod="yesterday">
      <formula>FLOOR(U52,1)=TODAY()-1</formula>
    </cfRule>
  </conditionalFormatting>
  <hyperlinks>
    <hyperlink ref="D29" r:id="rId1"/>
    <hyperlink ref="D9" r:id="rId2"/>
    <hyperlink ref="D10" r:id="rId3"/>
    <hyperlink ref="D13" r:id="rId4"/>
    <hyperlink ref="D14" r:id="rId5"/>
    <hyperlink ref="D18" r:id="rId6"/>
    <hyperlink ref="D19" r:id="rId7"/>
    <hyperlink ref="D20" r:id="rId8"/>
    <hyperlink ref="D41" r:id="rId9"/>
    <hyperlink ref="D21" r:id="rId10"/>
    <hyperlink ref="D30" r:id="rId11"/>
    <hyperlink ref="D32" r:id="rId12"/>
    <hyperlink ref="D33" r:id="rId13"/>
    <hyperlink ref="D37" r:id="rId14"/>
    <hyperlink ref="D38" r:id="rId15"/>
    <hyperlink ref="D43" r:id="rId16"/>
    <hyperlink ref="D44" r:id="rId17"/>
    <hyperlink ref="D52" r:id="rId18"/>
    <hyperlink ref="D23" r:id="rId19"/>
    <hyperlink ref="D24" r:id="rId20"/>
    <hyperlink ref="D53" r:id="rId21"/>
    <hyperlink ref="D25" r:id="rId22"/>
    <hyperlink ref="D54" r:id="rId23"/>
  </hyperlinks>
  <pageMargins left="0.7" right="0.7" top="0.75" bottom="0.75" header="0.3" footer="0.3"/>
  <pageSetup orientation="portrait" r:id="rId24"/>
  <ignoredErrors>
    <ignoredError sqref="P44" formula="1"/>
  </ignoredErrors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55"/>
  <sheetViews>
    <sheetView zoomScale="80" zoomScaleNormal="80" workbookViewId="0">
      <pane xSplit="3" topLeftCell="D1" activePane="topRight" state="frozen"/>
      <selection pane="topRight" activeCell="A6" sqref="A6:XFD9"/>
    </sheetView>
  </sheetViews>
  <sheetFormatPr defaultColWidth="9.125" defaultRowHeight="14.25" x14ac:dyDescent="0.25"/>
  <cols>
    <col min="1" max="1" width="48.5" style="52" customWidth="1"/>
    <col min="2" max="2" width="34.375" style="52" customWidth="1"/>
    <col min="3" max="3" width="21.375" style="52" customWidth="1"/>
    <col min="4" max="4" width="32" style="54" customWidth="1"/>
    <col min="5" max="6" width="17.5" style="54" customWidth="1"/>
    <col min="7" max="10" width="14.375" style="52" customWidth="1"/>
    <col min="11" max="11" width="39.75" style="52" customWidth="1"/>
    <col min="12" max="96" width="9.125" style="53"/>
    <col min="97" max="16384" width="9.125" style="52"/>
  </cols>
  <sheetData>
    <row r="1" spans="1:96" s="53" customFormat="1" x14ac:dyDescent="0.25">
      <c r="D1" s="55"/>
      <c r="E1" s="55"/>
      <c r="F1" s="55"/>
    </row>
    <row r="2" spans="1:96" s="53" customFormat="1" x14ac:dyDescent="0.25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</row>
    <row r="3" spans="1:96" s="53" customFormat="1" x14ac:dyDescent="0.25">
      <c r="D3" s="55"/>
      <c r="E3" s="55"/>
      <c r="F3" s="55"/>
    </row>
    <row r="4" spans="1:96" s="53" customFormat="1" ht="15" thickBot="1" x14ac:dyDescent="0.3">
      <c r="A4" s="77"/>
      <c r="D4" s="55"/>
      <c r="E4" s="55"/>
      <c r="F4" s="55"/>
    </row>
    <row r="5" spans="1:96" s="71" customFormat="1" ht="43.5" customHeight="1" thickBot="1" x14ac:dyDescent="0.35">
      <c r="A5" s="710" t="s">
        <v>154</v>
      </c>
      <c r="B5" s="710" t="s">
        <v>153</v>
      </c>
      <c r="C5" s="710" t="s">
        <v>808</v>
      </c>
      <c r="D5" s="711" t="s">
        <v>152</v>
      </c>
      <c r="E5" s="712" t="s">
        <v>151</v>
      </c>
      <c r="F5" s="712" t="s">
        <v>138</v>
      </c>
      <c r="G5" s="713" t="s">
        <v>16</v>
      </c>
      <c r="H5" s="713" t="s">
        <v>145</v>
      </c>
      <c r="I5" s="714" t="s">
        <v>52</v>
      </c>
      <c r="J5" s="715" t="s">
        <v>150</v>
      </c>
      <c r="K5" s="716" t="s">
        <v>50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</row>
    <row r="6" spans="1:96" s="628" customFormat="1" ht="15" thickBot="1" x14ac:dyDescent="0.3">
      <c r="D6" s="727"/>
      <c r="E6" s="727"/>
      <c r="F6" s="727"/>
    </row>
    <row r="7" spans="1:96" s="628" customFormat="1" ht="15" thickBot="1" x14ac:dyDescent="0.3">
      <c r="D7" s="727"/>
      <c r="E7" s="727"/>
      <c r="F7" s="727"/>
    </row>
    <row r="8" spans="1:96" s="628" customFormat="1" ht="15" thickBot="1" x14ac:dyDescent="0.3">
      <c r="D8" s="727"/>
      <c r="E8" s="727"/>
      <c r="F8" s="727"/>
    </row>
    <row r="9" spans="1:96" s="628" customFormat="1" ht="15" thickBot="1" x14ac:dyDescent="0.3">
      <c r="D9" s="727"/>
      <c r="E9" s="727"/>
      <c r="F9" s="727"/>
    </row>
    <row r="10" spans="1:96" ht="15" thickBot="1" x14ac:dyDescent="0.3">
      <c r="A10" s="717" t="s">
        <v>771</v>
      </c>
      <c r="B10" s="718" t="s">
        <v>799</v>
      </c>
      <c r="C10" s="719" t="s">
        <v>811</v>
      </c>
      <c r="D10" s="720" t="s">
        <v>811</v>
      </c>
      <c r="E10" s="721"/>
      <c r="F10" s="722"/>
      <c r="G10" s="723"/>
      <c r="H10" s="724"/>
      <c r="I10" s="725"/>
      <c r="J10" s="723">
        <v>5000000</v>
      </c>
      <c r="K10" s="726" t="s">
        <v>838</v>
      </c>
    </row>
    <row r="11" spans="1:96" ht="14.25" customHeight="1" thickBot="1" x14ac:dyDescent="0.3">
      <c r="A11" s="67" t="s">
        <v>24</v>
      </c>
      <c r="B11" s="66" t="s">
        <v>190</v>
      </c>
      <c r="C11" s="633" t="s">
        <v>811</v>
      </c>
      <c r="D11" s="69" t="s">
        <v>812</v>
      </c>
      <c r="E11" s="64"/>
      <c r="F11" s="65"/>
      <c r="G11" s="63"/>
      <c r="H11" s="63"/>
      <c r="I11" s="708">
        <f>2000/4</f>
        <v>500</v>
      </c>
      <c r="J11" s="63"/>
      <c r="K11" s="709"/>
    </row>
    <row r="12" spans="1:96" ht="14.25" customHeight="1" thickBot="1" x14ac:dyDescent="0.3">
      <c r="A12" s="67" t="s">
        <v>25</v>
      </c>
      <c r="B12" s="66" t="s">
        <v>190</v>
      </c>
      <c r="C12" s="633" t="s">
        <v>811</v>
      </c>
      <c r="D12" s="69" t="s">
        <v>812</v>
      </c>
      <c r="E12" s="64"/>
      <c r="F12" s="65"/>
      <c r="G12" s="63"/>
      <c r="H12" s="63"/>
      <c r="I12" s="708">
        <f>2000/4</f>
        <v>500</v>
      </c>
      <c r="J12" s="63"/>
      <c r="K12" s="709"/>
    </row>
    <row r="13" spans="1:96" ht="15" thickBot="1" x14ac:dyDescent="0.3">
      <c r="A13" s="67" t="s">
        <v>30</v>
      </c>
      <c r="B13" s="66" t="s">
        <v>190</v>
      </c>
      <c r="C13" s="633" t="s">
        <v>811</v>
      </c>
      <c r="D13" s="69" t="s">
        <v>811</v>
      </c>
      <c r="E13" s="65"/>
      <c r="F13" s="65"/>
      <c r="G13" s="63"/>
      <c r="H13" s="63"/>
      <c r="I13" s="63"/>
      <c r="J13" s="63">
        <f>46800000/12</f>
        <v>3900000</v>
      </c>
      <c r="K13" s="65" t="s">
        <v>838</v>
      </c>
    </row>
    <row r="14" spans="1:96" ht="15" thickBot="1" x14ac:dyDescent="0.3">
      <c r="A14" s="67" t="s">
        <v>38</v>
      </c>
      <c r="B14" s="66" t="s">
        <v>190</v>
      </c>
      <c r="C14" s="65" t="s">
        <v>811</v>
      </c>
      <c r="D14" s="65" t="s">
        <v>812</v>
      </c>
      <c r="E14" s="64"/>
      <c r="F14" s="64"/>
      <c r="G14" s="63">
        <f>1500*3</f>
        <v>4500</v>
      </c>
      <c r="H14" s="63"/>
      <c r="I14" s="63"/>
      <c r="J14" s="63"/>
      <c r="K14" s="65" t="s">
        <v>838</v>
      </c>
    </row>
    <row r="15" spans="1:96" ht="14.25" customHeight="1" thickBot="1" x14ac:dyDescent="0.3">
      <c r="A15" s="67" t="s">
        <v>42</v>
      </c>
      <c r="B15" s="66" t="s">
        <v>190</v>
      </c>
      <c r="C15" s="633" t="s">
        <v>811</v>
      </c>
      <c r="D15" s="69" t="s">
        <v>812</v>
      </c>
      <c r="E15" s="64"/>
      <c r="F15" s="65"/>
      <c r="G15" s="63"/>
      <c r="H15" s="63"/>
      <c r="I15" s="63">
        <f>2000/4</f>
        <v>500</v>
      </c>
      <c r="J15" s="63"/>
      <c r="K15" s="65"/>
    </row>
    <row r="16" spans="1:96" ht="15" thickBot="1" x14ac:dyDescent="0.3">
      <c r="A16" s="67" t="s">
        <v>771</v>
      </c>
      <c r="B16" s="70" t="s">
        <v>799</v>
      </c>
      <c r="C16" s="633" t="s">
        <v>813</v>
      </c>
      <c r="D16" s="633" t="s">
        <v>813</v>
      </c>
      <c r="E16" s="64"/>
      <c r="F16" s="65"/>
      <c r="G16" s="63"/>
      <c r="H16" s="63"/>
      <c r="I16" s="63"/>
      <c r="J16" s="63">
        <v>5000000</v>
      </c>
      <c r="K16" s="65" t="s">
        <v>838</v>
      </c>
    </row>
    <row r="17" spans="1:11" ht="15" thickBot="1" x14ac:dyDescent="0.3">
      <c r="A17" s="67" t="s">
        <v>771</v>
      </c>
      <c r="B17" s="70" t="s">
        <v>799</v>
      </c>
      <c r="C17" s="641" t="s">
        <v>814</v>
      </c>
      <c r="D17" s="641" t="s">
        <v>814</v>
      </c>
      <c r="E17" s="64"/>
      <c r="F17" s="65"/>
      <c r="G17" s="63"/>
      <c r="H17" s="63"/>
      <c r="I17" s="63"/>
      <c r="J17" s="63">
        <v>5000000</v>
      </c>
      <c r="K17" s="61"/>
    </row>
    <row r="18" spans="1:11" ht="15" thickBot="1" x14ac:dyDescent="0.3">
      <c r="A18" s="67" t="s">
        <v>771</v>
      </c>
      <c r="B18" s="70" t="s">
        <v>799</v>
      </c>
      <c r="C18" s="635">
        <v>42826</v>
      </c>
      <c r="D18" s="635">
        <v>42826</v>
      </c>
      <c r="E18" s="64"/>
      <c r="F18" s="65"/>
      <c r="G18" s="63"/>
      <c r="H18" s="63"/>
      <c r="I18" s="63"/>
      <c r="J18" s="63">
        <v>5000000</v>
      </c>
      <c r="K18" s="61"/>
    </row>
    <row r="19" spans="1:11" ht="15" customHeight="1" thickBot="1" x14ac:dyDescent="0.3">
      <c r="A19" s="67" t="s">
        <v>24</v>
      </c>
      <c r="B19" s="66" t="s">
        <v>190</v>
      </c>
      <c r="C19" s="635">
        <v>42826</v>
      </c>
      <c r="D19" s="69" t="s">
        <v>823</v>
      </c>
      <c r="E19" s="64"/>
      <c r="F19" s="65"/>
      <c r="G19" s="63"/>
      <c r="H19" s="63"/>
      <c r="I19" s="63">
        <f>2000/4</f>
        <v>500</v>
      </c>
      <c r="J19" s="63"/>
      <c r="K19" s="65"/>
    </row>
    <row r="20" spans="1:11" ht="14.25" customHeight="1" thickBot="1" x14ac:dyDescent="0.3">
      <c r="A20" s="67" t="s">
        <v>25</v>
      </c>
      <c r="B20" s="66" t="s">
        <v>190</v>
      </c>
      <c r="C20" s="635">
        <v>42826</v>
      </c>
      <c r="D20" s="69" t="s">
        <v>823</v>
      </c>
      <c r="E20" s="64"/>
      <c r="F20" s="65"/>
      <c r="G20" s="63"/>
      <c r="H20" s="63"/>
      <c r="I20" s="63">
        <f>2000/4</f>
        <v>500</v>
      </c>
      <c r="J20" s="63"/>
      <c r="K20" s="65"/>
    </row>
    <row r="21" spans="1:11" ht="15" thickBot="1" x14ac:dyDescent="0.3">
      <c r="A21" s="67" t="s">
        <v>30</v>
      </c>
      <c r="B21" s="66" t="s">
        <v>190</v>
      </c>
      <c r="C21" s="69">
        <v>42826</v>
      </c>
      <c r="D21" s="69">
        <v>42826</v>
      </c>
      <c r="E21" s="65"/>
      <c r="F21" s="65"/>
      <c r="G21" s="63"/>
      <c r="H21" s="63"/>
      <c r="I21" s="63"/>
      <c r="J21" s="63">
        <f>46800000/12</f>
        <v>3900000</v>
      </c>
      <c r="K21" s="61"/>
    </row>
    <row r="22" spans="1:11" ht="15" thickBot="1" x14ac:dyDescent="0.3">
      <c r="A22" s="67" t="s">
        <v>38</v>
      </c>
      <c r="B22" s="66" t="s">
        <v>190</v>
      </c>
      <c r="C22" s="69">
        <v>42826</v>
      </c>
      <c r="D22" s="65" t="s">
        <v>815</v>
      </c>
      <c r="E22" s="64"/>
      <c r="F22" s="64"/>
      <c r="G22" s="63">
        <f>1500*3</f>
        <v>4500</v>
      </c>
      <c r="H22" s="63"/>
      <c r="I22" s="63"/>
      <c r="J22" s="63"/>
      <c r="K22" s="68"/>
    </row>
    <row r="23" spans="1:11" ht="14.25" customHeight="1" thickBot="1" x14ac:dyDescent="0.3">
      <c r="A23" s="67" t="s">
        <v>42</v>
      </c>
      <c r="B23" s="66" t="s">
        <v>190</v>
      </c>
      <c r="C23" s="635">
        <v>42826</v>
      </c>
      <c r="D23" s="69" t="s">
        <v>823</v>
      </c>
      <c r="E23" s="64"/>
      <c r="F23" s="65"/>
      <c r="G23" s="63"/>
      <c r="H23" s="63"/>
      <c r="I23" s="63">
        <f>2000/4</f>
        <v>500</v>
      </c>
      <c r="J23" s="63"/>
      <c r="K23" s="65"/>
    </row>
    <row r="24" spans="1:11" ht="15" thickBot="1" x14ac:dyDescent="0.3">
      <c r="A24" s="67" t="s">
        <v>771</v>
      </c>
      <c r="B24" s="70" t="s">
        <v>799</v>
      </c>
      <c r="C24" s="633" t="s">
        <v>816</v>
      </c>
      <c r="D24" s="633" t="s">
        <v>816</v>
      </c>
      <c r="E24" s="64"/>
      <c r="F24" s="65"/>
      <c r="G24" s="63"/>
      <c r="H24" s="63"/>
      <c r="I24" s="63"/>
      <c r="J24" s="63">
        <v>5000000</v>
      </c>
      <c r="K24" s="61"/>
    </row>
    <row r="25" spans="1:11" ht="15" thickBot="1" x14ac:dyDescent="0.3">
      <c r="A25" s="67" t="s">
        <v>771</v>
      </c>
      <c r="B25" s="70" t="s">
        <v>799</v>
      </c>
      <c r="C25" s="633" t="s">
        <v>817</v>
      </c>
      <c r="D25" s="633" t="s">
        <v>817</v>
      </c>
      <c r="E25" s="64"/>
      <c r="F25" s="65"/>
      <c r="G25" s="63"/>
      <c r="H25" s="63"/>
      <c r="I25" s="63"/>
      <c r="J25" s="63">
        <v>5000000</v>
      </c>
      <c r="K25" s="61"/>
    </row>
    <row r="26" spans="1:11" ht="14.25" customHeight="1" thickBot="1" x14ac:dyDescent="0.3">
      <c r="A26" s="67" t="s">
        <v>24</v>
      </c>
      <c r="B26" s="66" t="s">
        <v>190</v>
      </c>
      <c r="C26" s="635" t="s">
        <v>818</v>
      </c>
      <c r="D26" s="69" t="s">
        <v>819</v>
      </c>
      <c r="E26" s="64"/>
      <c r="F26" s="65"/>
      <c r="G26" s="63"/>
      <c r="H26" s="63"/>
      <c r="I26" s="63">
        <f>2000/4</f>
        <v>500</v>
      </c>
      <c r="J26" s="63"/>
      <c r="K26" s="65"/>
    </row>
    <row r="27" spans="1:11" ht="14.25" customHeight="1" thickBot="1" x14ac:dyDescent="0.3">
      <c r="A27" s="67" t="s">
        <v>25</v>
      </c>
      <c r="B27" s="66" t="s">
        <v>190</v>
      </c>
      <c r="C27" s="635" t="s">
        <v>818</v>
      </c>
      <c r="D27" s="69" t="s">
        <v>819</v>
      </c>
      <c r="E27" s="64"/>
      <c r="F27" s="65"/>
      <c r="G27" s="63"/>
      <c r="H27" s="63"/>
      <c r="I27" s="63">
        <f>2000/4</f>
        <v>500</v>
      </c>
      <c r="J27" s="63"/>
      <c r="K27" s="65"/>
    </row>
    <row r="28" spans="1:11" ht="15" thickBot="1" x14ac:dyDescent="0.3">
      <c r="A28" s="67" t="s">
        <v>30</v>
      </c>
      <c r="B28" s="66" t="s">
        <v>190</v>
      </c>
      <c r="C28" s="65" t="s">
        <v>818</v>
      </c>
      <c r="D28" s="65" t="s">
        <v>819</v>
      </c>
      <c r="E28" s="65"/>
      <c r="F28" s="65"/>
      <c r="G28" s="63"/>
      <c r="H28" s="63"/>
      <c r="I28" s="63"/>
      <c r="J28" s="63">
        <f>(46800000/12)*3</f>
        <v>11700000</v>
      </c>
      <c r="K28" s="61"/>
    </row>
    <row r="29" spans="1:11" ht="15" thickBot="1" x14ac:dyDescent="0.3">
      <c r="A29" s="67" t="s">
        <v>38</v>
      </c>
      <c r="B29" s="66" t="s">
        <v>190</v>
      </c>
      <c r="C29" s="65" t="s">
        <v>818</v>
      </c>
      <c r="D29" s="65" t="s">
        <v>819</v>
      </c>
      <c r="E29" s="64"/>
      <c r="F29" s="64"/>
      <c r="G29" s="63">
        <f>1500*3</f>
        <v>4500</v>
      </c>
      <c r="H29" s="63"/>
      <c r="I29" s="63"/>
      <c r="J29" s="63"/>
      <c r="K29" s="68"/>
    </row>
    <row r="30" spans="1:11" ht="14.25" customHeight="1" thickBot="1" x14ac:dyDescent="0.3">
      <c r="A30" s="67" t="s">
        <v>42</v>
      </c>
      <c r="B30" s="66" t="s">
        <v>190</v>
      </c>
      <c r="C30" s="635" t="s">
        <v>818</v>
      </c>
      <c r="D30" s="69" t="s">
        <v>819</v>
      </c>
      <c r="E30" s="64"/>
      <c r="F30" s="65"/>
      <c r="G30" s="63"/>
      <c r="H30" s="63"/>
      <c r="I30" s="63">
        <f>2000/4</f>
        <v>500</v>
      </c>
      <c r="J30" s="63"/>
      <c r="K30" s="65"/>
    </row>
    <row r="31" spans="1:11" ht="15" thickBot="1" x14ac:dyDescent="0.3">
      <c r="A31" s="67" t="s">
        <v>30</v>
      </c>
      <c r="B31" s="66" t="s">
        <v>190</v>
      </c>
      <c r="C31" s="65" t="s">
        <v>820</v>
      </c>
      <c r="D31" s="65" t="s">
        <v>820</v>
      </c>
      <c r="E31" s="65"/>
      <c r="F31" s="65"/>
      <c r="G31" s="63"/>
      <c r="H31" s="63"/>
      <c r="I31" s="63"/>
      <c r="J31" s="63">
        <f>46800000/12</f>
        <v>3900000</v>
      </c>
      <c r="K31" s="61"/>
    </row>
    <row r="32" spans="1:11" ht="15" thickBot="1" x14ac:dyDescent="0.3">
      <c r="A32" s="67" t="s">
        <v>38</v>
      </c>
      <c r="B32" s="66" t="s">
        <v>190</v>
      </c>
      <c r="C32" s="65" t="s">
        <v>820</v>
      </c>
      <c r="D32" s="65" t="s">
        <v>821</v>
      </c>
      <c r="E32" s="64"/>
      <c r="F32" s="64"/>
      <c r="G32" s="63">
        <f>1500*3</f>
        <v>4500</v>
      </c>
      <c r="H32" s="63"/>
      <c r="I32" s="63"/>
      <c r="J32" s="63"/>
      <c r="K32" s="68"/>
    </row>
    <row r="33" spans="1:96" ht="15" thickBot="1" x14ac:dyDescent="0.3">
      <c r="A33" s="67" t="s">
        <v>771</v>
      </c>
      <c r="B33" s="66" t="s">
        <v>56</v>
      </c>
      <c r="C33" s="65" t="s">
        <v>820</v>
      </c>
      <c r="D33" s="65" t="s">
        <v>810</v>
      </c>
      <c r="E33" s="64"/>
      <c r="F33" s="64"/>
      <c r="G33" s="63">
        <v>30000</v>
      </c>
      <c r="H33" s="62"/>
      <c r="I33" s="62"/>
      <c r="J33" s="62"/>
      <c r="K33" s="68"/>
    </row>
    <row r="34" spans="1:96" ht="15" thickBot="1" x14ac:dyDescent="0.3">
      <c r="A34" s="67" t="s">
        <v>771</v>
      </c>
      <c r="B34" s="66" t="s">
        <v>57</v>
      </c>
      <c r="C34" s="65" t="s">
        <v>820</v>
      </c>
      <c r="D34" s="65" t="s">
        <v>810</v>
      </c>
      <c r="E34" s="64"/>
      <c r="F34" s="64"/>
      <c r="G34" s="63">
        <v>15000</v>
      </c>
      <c r="H34" s="62"/>
      <c r="I34" s="62"/>
      <c r="J34" s="62"/>
      <c r="K34" s="68"/>
    </row>
    <row r="35" spans="1:96" ht="15" thickBot="1" x14ac:dyDescent="0.3">
      <c r="A35" s="67" t="s">
        <v>771</v>
      </c>
      <c r="B35" s="66" t="s">
        <v>59</v>
      </c>
      <c r="C35" s="65" t="s">
        <v>820</v>
      </c>
      <c r="D35" s="65" t="s">
        <v>810</v>
      </c>
      <c r="E35" s="64"/>
      <c r="F35" s="64"/>
      <c r="G35" s="63">
        <v>15000</v>
      </c>
      <c r="H35" s="62"/>
      <c r="I35" s="62"/>
      <c r="J35" s="62"/>
      <c r="K35" s="61"/>
    </row>
    <row r="36" spans="1:96" ht="14.25" customHeight="1" thickBot="1" x14ac:dyDescent="0.3">
      <c r="A36" s="67" t="s">
        <v>24</v>
      </c>
      <c r="B36" s="66" t="s">
        <v>190</v>
      </c>
      <c r="C36" s="635" t="s">
        <v>820</v>
      </c>
      <c r="D36" s="69" t="s">
        <v>821</v>
      </c>
      <c r="E36" s="64"/>
      <c r="F36" s="65"/>
      <c r="G36" s="63"/>
      <c r="H36" s="63"/>
      <c r="I36" s="63">
        <f>2000/4</f>
        <v>500</v>
      </c>
      <c r="J36" s="63"/>
      <c r="K36" s="65"/>
    </row>
    <row r="37" spans="1:96" ht="14.25" customHeight="1" thickBot="1" x14ac:dyDescent="0.3">
      <c r="A37" s="67" t="s">
        <v>25</v>
      </c>
      <c r="B37" s="66" t="s">
        <v>190</v>
      </c>
      <c r="C37" s="635" t="s">
        <v>820</v>
      </c>
      <c r="D37" s="69" t="s">
        <v>821</v>
      </c>
      <c r="E37" s="64"/>
      <c r="F37" s="65"/>
      <c r="G37" s="63"/>
      <c r="H37" s="63"/>
      <c r="I37" s="63">
        <f>2000/4</f>
        <v>500</v>
      </c>
      <c r="J37" s="63"/>
      <c r="K37" s="65"/>
    </row>
    <row r="38" spans="1:96" ht="14.25" customHeight="1" thickBot="1" x14ac:dyDescent="0.3">
      <c r="A38" s="67" t="s">
        <v>42</v>
      </c>
      <c r="B38" s="66" t="s">
        <v>190</v>
      </c>
      <c r="C38" s="635" t="s">
        <v>820</v>
      </c>
      <c r="D38" s="69" t="s">
        <v>821</v>
      </c>
      <c r="E38" s="64"/>
      <c r="F38" s="65"/>
      <c r="G38" s="63"/>
      <c r="H38" s="63"/>
      <c r="I38" s="63">
        <f>2000/4</f>
        <v>500</v>
      </c>
      <c r="J38" s="63"/>
      <c r="K38" s="65"/>
    </row>
    <row r="39" spans="1:96" ht="15" thickBot="1" x14ac:dyDescent="0.3">
      <c r="A39" s="634" t="s">
        <v>62</v>
      </c>
      <c r="B39" s="66" t="s">
        <v>55</v>
      </c>
      <c r="C39" s="635" t="s">
        <v>820</v>
      </c>
      <c r="D39" s="635" t="s">
        <v>844</v>
      </c>
      <c r="E39" s="64"/>
      <c r="F39" s="65"/>
      <c r="G39" s="62">
        <f>13800*40%</f>
        <v>5520</v>
      </c>
      <c r="H39" s="62"/>
      <c r="I39" s="62"/>
      <c r="J39" s="62"/>
      <c r="K39" s="65" t="s">
        <v>846</v>
      </c>
    </row>
    <row r="40" spans="1:96" ht="15" thickBot="1" x14ac:dyDescent="0.3">
      <c r="A40" s="634" t="s">
        <v>62</v>
      </c>
      <c r="B40" s="66" t="s">
        <v>55</v>
      </c>
      <c r="C40" s="635" t="s">
        <v>843</v>
      </c>
      <c r="D40" s="635" t="s">
        <v>845</v>
      </c>
      <c r="E40" s="64"/>
      <c r="F40" s="65"/>
      <c r="G40" s="62">
        <f>13800*10%</f>
        <v>1380</v>
      </c>
      <c r="H40" s="62"/>
      <c r="I40" s="62"/>
      <c r="J40" s="62"/>
      <c r="K40" s="65" t="s">
        <v>846</v>
      </c>
    </row>
    <row r="41" spans="1:96" ht="15" thickBot="1" x14ac:dyDescent="0.3">
      <c r="A41" s="634" t="s">
        <v>828</v>
      </c>
      <c r="B41" s="66" t="s">
        <v>55</v>
      </c>
      <c r="C41" s="635" t="s">
        <v>820</v>
      </c>
      <c r="D41" s="635" t="s">
        <v>844</v>
      </c>
      <c r="E41" s="64"/>
      <c r="F41" s="65"/>
      <c r="G41" s="62">
        <f>13800*40%</f>
        <v>5520</v>
      </c>
      <c r="H41" s="62"/>
      <c r="I41" s="62"/>
      <c r="J41" s="62"/>
      <c r="K41" s="65"/>
    </row>
    <row r="42" spans="1:96" ht="15" thickBot="1" x14ac:dyDescent="0.3">
      <c r="A42" s="634" t="s">
        <v>828</v>
      </c>
      <c r="B42" s="66" t="s">
        <v>65</v>
      </c>
      <c r="C42" s="635" t="s">
        <v>820</v>
      </c>
      <c r="D42" s="635" t="s">
        <v>847</v>
      </c>
      <c r="E42" s="64"/>
      <c r="F42" s="65"/>
      <c r="G42" s="62">
        <v>5000</v>
      </c>
      <c r="H42" s="62"/>
      <c r="I42" s="62"/>
      <c r="J42" s="62"/>
      <c r="K42" s="65"/>
    </row>
    <row r="43" spans="1:96" ht="15" thickBot="1" x14ac:dyDescent="0.3">
      <c r="A43" s="634" t="s">
        <v>828</v>
      </c>
      <c r="B43" s="66" t="s">
        <v>55</v>
      </c>
      <c r="C43" s="635" t="s">
        <v>843</v>
      </c>
      <c r="D43" s="635" t="s">
        <v>845</v>
      </c>
      <c r="E43" s="64"/>
      <c r="F43" s="65"/>
      <c r="G43" s="62">
        <f>13800*10%</f>
        <v>1380</v>
      </c>
      <c r="H43" s="62"/>
      <c r="I43" s="62"/>
      <c r="J43" s="62"/>
      <c r="K43" s="65"/>
    </row>
    <row r="44" spans="1:96" ht="17.25" customHeight="1" thickBot="1" x14ac:dyDescent="0.3">
      <c r="A44" s="862" t="s">
        <v>149</v>
      </c>
      <c r="B44" s="862"/>
      <c r="C44" s="618"/>
      <c r="D44" s="60"/>
      <c r="E44" s="60"/>
      <c r="F44" s="60"/>
      <c r="G44" s="59">
        <f>SUM(G10:G43)</f>
        <v>96800</v>
      </c>
      <c r="H44" s="59">
        <f>SUM(H10:H35)</f>
        <v>0</v>
      </c>
      <c r="I44" s="59">
        <f>SUM(I10:I43)</f>
        <v>6000</v>
      </c>
      <c r="J44" s="59">
        <f>SUM(J10:J35)</f>
        <v>53400000</v>
      </c>
      <c r="K44" s="58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</row>
    <row r="45" spans="1:96" s="53" customFormat="1" x14ac:dyDescent="0.25">
      <c r="D45" s="55"/>
      <c r="E45" s="55"/>
      <c r="F45" s="55"/>
      <c r="J45" s="57"/>
    </row>
    <row r="46" spans="1:96" s="53" customFormat="1" x14ac:dyDescent="0.25">
      <c r="D46" s="55"/>
      <c r="E46" s="55"/>
      <c r="F46" s="55"/>
      <c r="G46" s="56"/>
      <c r="H46" s="56"/>
      <c r="I46" s="56"/>
    </row>
    <row r="47" spans="1:96" s="53" customFormat="1" x14ac:dyDescent="0.25">
      <c r="D47" s="55"/>
      <c r="E47" s="55"/>
      <c r="F47" s="55"/>
    </row>
    <row r="48" spans="1:9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  <row r="348" spans="4:6" s="53" customFormat="1" x14ac:dyDescent="0.25">
      <c r="D348" s="55"/>
      <c r="E348" s="55"/>
      <c r="F348" s="55"/>
    </row>
    <row r="349" spans="4:6" s="53" customFormat="1" x14ac:dyDescent="0.25">
      <c r="D349" s="55"/>
      <c r="E349" s="55"/>
      <c r="F349" s="55"/>
    </row>
    <row r="350" spans="4:6" s="53" customFormat="1" x14ac:dyDescent="0.25">
      <c r="D350" s="55"/>
      <c r="E350" s="55"/>
      <c r="F350" s="55"/>
    </row>
    <row r="351" spans="4:6" s="53" customFormat="1" x14ac:dyDescent="0.25">
      <c r="D351" s="55"/>
      <c r="E351" s="55"/>
      <c r="F351" s="55"/>
    </row>
    <row r="352" spans="4:6" s="53" customFormat="1" x14ac:dyDescent="0.25">
      <c r="D352" s="55"/>
      <c r="E352" s="55"/>
      <c r="F352" s="55"/>
    </row>
    <row r="353" spans="4:6" s="53" customFormat="1" x14ac:dyDescent="0.25">
      <c r="D353" s="55"/>
      <c r="E353" s="55"/>
      <c r="F353" s="55"/>
    </row>
    <row r="354" spans="4:6" s="53" customFormat="1" x14ac:dyDescent="0.25">
      <c r="D354" s="55"/>
      <c r="E354" s="55"/>
      <c r="F354" s="55"/>
    </row>
    <row r="355" spans="4:6" s="53" customFormat="1" x14ac:dyDescent="0.25">
      <c r="D355" s="55"/>
      <c r="E355" s="55"/>
      <c r="F355" s="55"/>
    </row>
  </sheetData>
  <mergeCells count="2">
    <mergeCell ref="A2:K2"/>
    <mergeCell ref="A44:B44"/>
  </mergeCells>
  <pageMargins left="0.7" right="0.7" top="0.75" bottom="0.75" header="0.3" footer="0.3"/>
  <pageSetup orientation="portrait" r:id="rId1"/>
  <ignoredErrors>
    <ignoredError sqref="G40 H4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C5" sqref="C5"/>
    </sheetView>
  </sheetViews>
  <sheetFormatPr defaultColWidth="9.125" defaultRowHeight="14.25" x14ac:dyDescent="0.25"/>
  <cols>
    <col min="1" max="1" width="48.5" style="52" customWidth="1"/>
    <col min="2" max="2" width="70.625" style="52" bestFit="1" customWidth="1"/>
    <col min="3" max="3" width="24.625" style="52" customWidth="1"/>
    <col min="4" max="4" width="14.5" style="54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25">
      <c r="D13" s="55"/>
      <c r="E13" s="55"/>
      <c r="F13" s="55"/>
      <c r="I13" s="57"/>
    </row>
    <row r="14" spans="1:95" s="53" customFormat="1" x14ac:dyDescent="0.25">
      <c r="D14" s="55"/>
      <c r="E14" s="55"/>
      <c r="F14" s="55"/>
      <c r="G14" s="56"/>
      <c r="H14" s="56"/>
    </row>
    <row r="15" spans="1:95" s="53" customFormat="1" x14ac:dyDescent="0.25">
      <c r="D15" s="55"/>
      <c r="E15" s="55"/>
      <c r="F15" s="55"/>
    </row>
    <row r="16" spans="1:95" s="53" customFormat="1" x14ac:dyDescent="0.25">
      <c r="D16" s="55"/>
      <c r="E16" s="55"/>
      <c r="F16" s="55"/>
    </row>
    <row r="17" spans="4:6" s="53" customFormat="1" x14ac:dyDescent="0.25">
      <c r="D17" s="55"/>
      <c r="E17" s="55"/>
      <c r="F17" s="55"/>
    </row>
    <row r="18" spans="4:6" s="53" customFormat="1" x14ac:dyDescent="0.25">
      <c r="D18" s="55"/>
      <c r="E18" s="55"/>
      <c r="F18" s="55"/>
    </row>
    <row r="19" spans="4:6" s="53" customFormat="1" x14ac:dyDescent="0.25">
      <c r="D19" s="55"/>
      <c r="E19" s="55"/>
      <c r="F19" s="55"/>
    </row>
    <row r="20" spans="4:6" s="53" customFormat="1" x14ac:dyDescent="0.25">
      <c r="D20" s="55"/>
      <c r="E20" s="55"/>
      <c r="F20" s="55"/>
    </row>
    <row r="21" spans="4:6" s="53" customFormat="1" x14ac:dyDescent="0.25">
      <c r="D21" s="55"/>
      <c r="E21" s="55"/>
      <c r="F21" s="55"/>
    </row>
    <row r="22" spans="4:6" s="53" customFormat="1" x14ac:dyDescent="0.25">
      <c r="D22" s="55"/>
      <c r="E22" s="55"/>
      <c r="F22" s="55"/>
    </row>
    <row r="23" spans="4:6" s="53" customFormat="1" x14ac:dyDescent="0.25">
      <c r="D23" s="55"/>
      <c r="E23" s="55"/>
      <c r="F23" s="55"/>
    </row>
    <row r="24" spans="4:6" s="53" customFormat="1" x14ac:dyDescent="0.25">
      <c r="D24" s="55"/>
      <c r="E24" s="55"/>
      <c r="F24" s="55"/>
    </row>
    <row r="25" spans="4:6" s="53" customFormat="1" x14ac:dyDescent="0.25">
      <c r="D25" s="55"/>
      <c r="E25" s="55"/>
      <c r="F25" s="55"/>
    </row>
    <row r="26" spans="4:6" s="53" customFormat="1" x14ac:dyDescent="0.25">
      <c r="D26" s="55"/>
      <c r="E26" s="55"/>
      <c r="F26" s="55"/>
    </row>
    <row r="27" spans="4:6" s="53" customFormat="1" x14ac:dyDescent="0.25">
      <c r="D27" s="55"/>
      <c r="E27" s="55"/>
      <c r="F27" s="55"/>
    </row>
    <row r="28" spans="4:6" s="53" customFormat="1" x14ac:dyDescent="0.25">
      <c r="D28" s="55"/>
      <c r="E28" s="55"/>
      <c r="F28" s="55"/>
    </row>
    <row r="29" spans="4:6" s="53" customFormat="1" x14ac:dyDescent="0.25">
      <c r="D29" s="55"/>
      <c r="E29" s="55"/>
      <c r="F29" s="55"/>
    </row>
    <row r="30" spans="4:6" s="53" customFormat="1" x14ac:dyDescent="0.25">
      <c r="D30" s="55"/>
      <c r="E30" s="55"/>
      <c r="F30" s="55"/>
    </row>
    <row r="31" spans="4:6" s="53" customFormat="1" x14ac:dyDescent="0.25">
      <c r="D31" s="55"/>
      <c r="E31" s="55"/>
      <c r="F31" s="55"/>
    </row>
    <row r="32" spans="4:6" s="53" customFormat="1" x14ac:dyDescent="0.25">
      <c r="D32" s="55"/>
      <c r="E32" s="55"/>
      <c r="F32" s="55"/>
    </row>
    <row r="33" spans="4:6" s="53" customFormat="1" x14ac:dyDescent="0.25">
      <c r="D33" s="55"/>
      <c r="E33" s="55"/>
      <c r="F33" s="55"/>
    </row>
    <row r="34" spans="4:6" s="53" customFormat="1" x14ac:dyDescent="0.25">
      <c r="D34" s="55"/>
      <c r="E34" s="55"/>
      <c r="F34" s="55"/>
    </row>
    <row r="35" spans="4:6" s="53" customFormat="1" x14ac:dyDescent="0.25">
      <c r="D35" s="55"/>
      <c r="E35" s="55"/>
      <c r="F35" s="55"/>
    </row>
    <row r="36" spans="4:6" s="53" customFormat="1" x14ac:dyDescent="0.25">
      <c r="D36" s="55"/>
      <c r="E36" s="55"/>
      <c r="F36" s="55"/>
    </row>
    <row r="37" spans="4:6" s="53" customFormat="1" x14ac:dyDescent="0.25">
      <c r="D37" s="55"/>
      <c r="E37" s="55"/>
      <c r="F37" s="55"/>
    </row>
    <row r="38" spans="4:6" s="53" customFormat="1" x14ac:dyDescent="0.25">
      <c r="D38" s="55"/>
      <c r="E38" s="55"/>
      <c r="F38" s="55"/>
    </row>
    <row r="39" spans="4:6" s="53" customFormat="1" x14ac:dyDescent="0.25">
      <c r="D39" s="55"/>
      <c r="E39" s="55"/>
      <c r="F39" s="55"/>
    </row>
    <row r="40" spans="4:6" s="53" customFormat="1" x14ac:dyDescent="0.25">
      <c r="D40" s="55"/>
      <c r="E40" s="55"/>
      <c r="F40" s="55"/>
    </row>
    <row r="41" spans="4:6" s="53" customFormat="1" x14ac:dyDescent="0.25">
      <c r="D41" s="55"/>
      <c r="E41" s="55"/>
      <c r="F41" s="55"/>
    </row>
    <row r="42" spans="4:6" s="53" customFormat="1" x14ac:dyDescent="0.25">
      <c r="D42" s="55"/>
      <c r="E42" s="55"/>
      <c r="F42" s="55"/>
    </row>
    <row r="43" spans="4:6" s="53" customFormat="1" x14ac:dyDescent="0.25">
      <c r="D43" s="55"/>
      <c r="E43" s="55"/>
      <c r="F43" s="55"/>
    </row>
    <row r="44" spans="4:6" s="53" customFormat="1" x14ac:dyDescent="0.25">
      <c r="D44" s="55"/>
      <c r="E44" s="55"/>
      <c r="F44" s="55"/>
    </row>
    <row r="45" spans="4:6" s="53" customFormat="1" x14ac:dyDescent="0.25">
      <c r="D45" s="55"/>
      <c r="E45" s="55"/>
      <c r="F45" s="55"/>
    </row>
    <row r="46" spans="4:6" s="53" customFormat="1" x14ac:dyDescent="0.25">
      <c r="D46" s="55"/>
      <c r="E46" s="55"/>
      <c r="F46" s="55"/>
    </row>
    <row r="47" spans="4:6" s="53" customFormat="1" x14ac:dyDescent="0.25">
      <c r="D47" s="55"/>
      <c r="E47" s="55"/>
      <c r="F47" s="55"/>
    </row>
    <row r="48" spans="4: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D31" sqref="D31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19.25" style="52" customWidth="1"/>
    <col min="4" max="4" width="14.5" style="54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155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25">
      <c r="D13" s="55"/>
      <c r="E13" s="55"/>
      <c r="F13" s="55"/>
      <c r="I13" s="57"/>
    </row>
    <row r="14" spans="1:95" s="53" customFormat="1" x14ac:dyDescent="0.25">
      <c r="D14" s="55"/>
      <c r="E14" s="55"/>
      <c r="F14" s="55"/>
      <c r="G14" s="56"/>
      <c r="H14" s="56"/>
    </row>
    <row r="15" spans="1:95" s="53" customFormat="1" x14ac:dyDescent="0.25">
      <c r="D15" s="55"/>
      <c r="E15" s="55"/>
      <c r="F15" s="55"/>
    </row>
    <row r="16" spans="1:95" s="53" customFormat="1" x14ac:dyDescent="0.25">
      <c r="D16" s="55"/>
      <c r="E16" s="55"/>
      <c r="F16" s="55"/>
    </row>
    <row r="17" spans="4:6" s="53" customFormat="1" x14ac:dyDescent="0.25">
      <c r="D17" s="55"/>
      <c r="E17" s="55"/>
      <c r="F17" s="55"/>
    </row>
    <row r="18" spans="4:6" s="53" customFormat="1" x14ac:dyDescent="0.25">
      <c r="D18" s="55"/>
      <c r="E18" s="55"/>
      <c r="F18" s="55"/>
    </row>
    <row r="19" spans="4:6" s="53" customFormat="1" x14ac:dyDescent="0.25">
      <c r="D19" s="55"/>
      <c r="E19" s="55"/>
      <c r="F19" s="55"/>
    </row>
    <row r="20" spans="4:6" s="53" customFormat="1" x14ac:dyDescent="0.25">
      <c r="D20" s="55"/>
      <c r="E20" s="55"/>
      <c r="F20" s="55"/>
    </row>
    <row r="21" spans="4:6" s="53" customFormat="1" x14ac:dyDescent="0.25">
      <c r="D21" s="55"/>
      <c r="E21" s="55"/>
      <c r="F21" s="55"/>
    </row>
    <row r="22" spans="4:6" s="53" customFormat="1" x14ac:dyDescent="0.25">
      <c r="D22" s="55"/>
      <c r="E22" s="55"/>
      <c r="F22" s="55"/>
    </row>
    <row r="23" spans="4:6" s="53" customFormat="1" x14ac:dyDescent="0.25">
      <c r="D23" s="55"/>
      <c r="E23" s="55"/>
      <c r="F23" s="55"/>
    </row>
    <row r="24" spans="4:6" s="53" customFormat="1" x14ac:dyDescent="0.25">
      <c r="D24" s="55"/>
      <c r="E24" s="55"/>
      <c r="F24" s="55"/>
    </row>
    <row r="25" spans="4:6" s="53" customFormat="1" x14ac:dyDescent="0.25">
      <c r="D25" s="55"/>
      <c r="E25" s="55"/>
      <c r="F25" s="55"/>
    </row>
    <row r="26" spans="4:6" s="53" customFormat="1" x14ac:dyDescent="0.25">
      <c r="D26" s="55"/>
      <c r="E26" s="55"/>
      <c r="F26" s="55"/>
    </row>
    <row r="27" spans="4:6" s="53" customFormat="1" x14ac:dyDescent="0.25">
      <c r="D27" s="55"/>
      <c r="E27" s="55"/>
      <c r="F27" s="55"/>
    </row>
    <row r="28" spans="4:6" s="53" customFormat="1" x14ac:dyDescent="0.25">
      <c r="D28" s="55"/>
      <c r="E28" s="55"/>
      <c r="F28" s="55"/>
    </row>
    <row r="29" spans="4:6" s="53" customFormat="1" x14ac:dyDescent="0.25">
      <c r="D29" s="55"/>
      <c r="E29" s="55"/>
      <c r="F29" s="55"/>
    </row>
    <row r="30" spans="4:6" s="53" customFormat="1" x14ac:dyDescent="0.25">
      <c r="D30" s="55"/>
      <c r="E30" s="55"/>
      <c r="F30" s="55"/>
    </row>
    <row r="31" spans="4:6" s="53" customFormat="1" x14ac:dyDescent="0.25">
      <c r="D31" s="55"/>
      <c r="E31" s="55"/>
      <c r="F31" s="55"/>
    </row>
    <row r="32" spans="4:6" s="53" customFormat="1" x14ac:dyDescent="0.25">
      <c r="D32" s="55"/>
      <c r="E32" s="55"/>
      <c r="F32" s="55"/>
    </row>
    <row r="33" spans="4:6" s="53" customFormat="1" x14ac:dyDescent="0.25">
      <c r="D33" s="55"/>
      <c r="E33" s="55"/>
      <c r="F33" s="55"/>
    </row>
    <row r="34" spans="4:6" s="53" customFormat="1" x14ac:dyDescent="0.25">
      <c r="D34" s="55"/>
      <c r="E34" s="55"/>
      <c r="F34" s="55"/>
    </row>
    <row r="35" spans="4:6" s="53" customFormat="1" x14ac:dyDescent="0.25">
      <c r="D35" s="55"/>
      <c r="E35" s="55"/>
      <c r="F35" s="55"/>
    </row>
    <row r="36" spans="4:6" s="53" customFormat="1" x14ac:dyDescent="0.25">
      <c r="D36" s="55"/>
      <c r="E36" s="55"/>
      <c r="F36" s="55"/>
    </row>
    <row r="37" spans="4:6" s="53" customFormat="1" x14ac:dyDescent="0.25">
      <c r="D37" s="55"/>
      <c r="E37" s="55"/>
      <c r="F37" s="55"/>
    </row>
    <row r="38" spans="4:6" s="53" customFormat="1" x14ac:dyDescent="0.25">
      <c r="D38" s="55"/>
      <c r="E38" s="55"/>
      <c r="F38" s="55"/>
    </row>
    <row r="39" spans="4:6" s="53" customFormat="1" x14ac:dyDescent="0.25">
      <c r="D39" s="55"/>
      <c r="E39" s="55"/>
      <c r="F39" s="55"/>
    </row>
    <row r="40" spans="4:6" s="53" customFormat="1" x14ac:dyDescent="0.25">
      <c r="D40" s="55"/>
      <c r="E40" s="55"/>
      <c r="F40" s="55"/>
    </row>
    <row r="41" spans="4:6" s="53" customFormat="1" x14ac:dyDescent="0.25">
      <c r="D41" s="55"/>
      <c r="E41" s="55"/>
      <c r="F41" s="55"/>
    </row>
    <row r="42" spans="4:6" s="53" customFormat="1" x14ac:dyDescent="0.25">
      <c r="D42" s="55"/>
      <c r="E42" s="55"/>
      <c r="F42" s="55"/>
    </row>
    <row r="43" spans="4:6" s="53" customFormat="1" x14ac:dyDescent="0.25">
      <c r="D43" s="55"/>
      <c r="E43" s="55"/>
      <c r="F43" s="55"/>
    </row>
    <row r="44" spans="4:6" s="53" customFormat="1" x14ac:dyDescent="0.25">
      <c r="D44" s="55"/>
      <c r="E44" s="55"/>
      <c r="F44" s="55"/>
    </row>
    <row r="45" spans="4:6" s="53" customFormat="1" x14ac:dyDescent="0.25">
      <c r="D45" s="55"/>
      <c r="E45" s="55"/>
      <c r="F45" s="55"/>
    </row>
    <row r="46" spans="4:6" s="53" customFormat="1" x14ac:dyDescent="0.25">
      <c r="D46" s="55"/>
      <c r="E46" s="55"/>
      <c r="F46" s="55"/>
    </row>
    <row r="47" spans="4:6" s="53" customFormat="1" x14ac:dyDescent="0.25">
      <c r="D47" s="55"/>
      <c r="E47" s="55"/>
      <c r="F47" s="55"/>
    </row>
    <row r="48" spans="4: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4"/>
  <sheetViews>
    <sheetView zoomScale="80" zoomScaleNormal="80" workbookViewId="0">
      <selection activeCell="A6" sqref="A6:I9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14.5" style="54" customWidth="1"/>
    <col min="4" max="5" width="17.5" style="54" customWidth="1"/>
    <col min="6" max="8" width="14.375" style="52" customWidth="1"/>
    <col min="9" max="9" width="39.75" style="52" customWidth="1"/>
    <col min="10" max="94" width="9.125" style="53"/>
    <col min="95" max="16384" width="9.125" style="52"/>
  </cols>
  <sheetData>
    <row r="1" spans="1:94" s="53" customFormat="1" x14ac:dyDescent="0.25">
      <c r="C1" s="55"/>
      <c r="D1" s="55"/>
      <c r="E1" s="55"/>
    </row>
    <row r="2" spans="1:94" s="53" customFormat="1" x14ac:dyDescent="0.25">
      <c r="A2" s="861" t="s">
        <v>156</v>
      </c>
      <c r="B2" s="861"/>
      <c r="C2" s="861"/>
      <c r="D2" s="861"/>
      <c r="E2" s="861"/>
      <c r="F2" s="861"/>
      <c r="G2" s="861"/>
      <c r="H2" s="861"/>
      <c r="I2" s="861"/>
    </row>
    <row r="3" spans="1:94" s="53" customFormat="1" x14ac:dyDescent="0.25">
      <c r="C3" s="55"/>
      <c r="D3" s="55"/>
      <c r="E3" s="55"/>
    </row>
    <row r="4" spans="1:94" s="53" customFormat="1" ht="15" thickBot="1" x14ac:dyDescent="0.3">
      <c r="A4" s="77">
        <f>Summary!B1</f>
        <v>0</v>
      </c>
      <c r="C4" s="55"/>
      <c r="D4" s="55"/>
      <c r="E4" s="55"/>
    </row>
    <row r="5" spans="1:94" s="71" customFormat="1" ht="43.5" customHeight="1" thickBot="1" x14ac:dyDescent="0.35">
      <c r="A5" s="76" t="s">
        <v>154</v>
      </c>
      <c r="B5" s="76" t="s">
        <v>153</v>
      </c>
      <c r="C5" s="75" t="s">
        <v>152</v>
      </c>
      <c r="D5" s="75" t="s">
        <v>151</v>
      </c>
      <c r="E5" s="75" t="s">
        <v>138</v>
      </c>
      <c r="F5" s="73" t="s">
        <v>16</v>
      </c>
      <c r="G5" s="73" t="s">
        <v>145</v>
      </c>
      <c r="H5" s="74" t="s">
        <v>150</v>
      </c>
      <c r="I5" s="73" t="s">
        <v>50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</row>
    <row r="6" spans="1:94" ht="15" thickBot="1" x14ac:dyDescent="0.3">
      <c r="A6" s="66"/>
      <c r="B6" s="70"/>
      <c r="C6" s="69"/>
      <c r="D6" s="78"/>
      <c r="E6" s="65"/>
      <c r="F6" s="63"/>
      <c r="G6" s="62"/>
      <c r="H6" s="62"/>
      <c r="I6" s="79"/>
    </row>
    <row r="7" spans="1:94" ht="15" thickBot="1" x14ac:dyDescent="0.3">
      <c r="A7" s="67"/>
      <c r="B7" s="70"/>
      <c r="C7" s="69"/>
      <c r="D7" s="78"/>
      <c r="E7" s="65"/>
      <c r="F7" s="63"/>
      <c r="G7" s="62"/>
      <c r="H7" s="62"/>
      <c r="I7" s="79"/>
    </row>
    <row r="8" spans="1:94" ht="15" thickBot="1" x14ac:dyDescent="0.3">
      <c r="A8" s="67"/>
      <c r="B8" s="82"/>
      <c r="C8" s="69"/>
      <c r="D8" s="86"/>
      <c r="E8" s="64"/>
      <c r="F8" s="63"/>
      <c r="G8" s="62"/>
      <c r="H8" s="62"/>
      <c r="I8" s="79"/>
    </row>
    <row r="9" spans="1:94" ht="15" thickBot="1" x14ac:dyDescent="0.3">
      <c r="A9" s="67"/>
      <c r="B9" s="66"/>
      <c r="C9" s="65"/>
      <c r="D9" s="86"/>
      <c r="E9" s="80"/>
      <c r="F9" s="63"/>
      <c r="G9" s="62"/>
      <c r="H9" s="62"/>
      <c r="I9" s="79"/>
    </row>
    <row r="10" spans="1:94" ht="15" thickBot="1" x14ac:dyDescent="0.3">
      <c r="A10" s="67"/>
      <c r="B10" s="66"/>
      <c r="C10" s="65"/>
      <c r="D10" s="86"/>
      <c r="E10" s="80"/>
      <c r="F10" s="63"/>
      <c r="G10" s="62"/>
      <c r="H10" s="62">
        <f t="shared" ref="H10:H11" si="0">IF(F10&gt;0,F10*13000,G10*9850)</f>
        <v>0</v>
      </c>
      <c r="I10" s="79"/>
    </row>
    <row r="11" spans="1:94" ht="15" thickBot="1" x14ac:dyDescent="0.3">
      <c r="A11" s="67"/>
      <c r="B11" s="66"/>
      <c r="C11" s="65"/>
      <c r="D11" s="86"/>
      <c r="E11" s="80"/>
      <c r="F11" s="63"/>
      <c r="G11" s="62"/>
      <c r="H11" s="62">
        <f t="shared" si="0"/>
        <v>0</v>
      </c>
      <c r="I11" s="79"/>
    </row>
    <row r="12" spans="1:94" ht="15" thickBot="1" x14ac:dyDescent="0.3">
      <c r="A12" s="67"/>
      <c r="B12" s="82"/>
      <c r="C12" s="69"/>
      <c r="D12" s="78"/>
      <c r="E12" s="80"/>
      <c r="F12" s="63"/>
      <c r="G12" s="62"/>
      <c r="H12" s="62"/>
      <c r="I12" s="79"/>
    </row>
    <row r="13" spans="1:94" ht="17.25" customHeight="1" thickBot="1" x14ac:dyDescent="0.3">
      <c r="A13" s="862" t="s">
        <v>149</v>
      </c>
      <c r="B13" s="862"/>
      <c r="C13" s="60"/>
      <c r="D13" s="60"/>
      <c r="E13" s="60"/>
      <c r="F13" s="59">
        <f>SUM(F6:F12)</f>
        <v>0</v>
      </c>
      <c r="G13" s="59">
        <f>SUM(G6:G12)</f>
        <v>0</v>
      </c>
      <c r="H13" s="59">
        <f>SUM(H6:H12)</f>
        <v>0</v>
      </c>
      <c r="I13" s="58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</row>
    <row r="14" spans="1:94" s="53" customFormat="1" x14ac:dyDescent="0.25">
      <c r="C14" s="55"/>
      <c r="D14" s="55"/>
      <c r="E14" s="55"/>
      <c r="H14" s="57"/>
    </row>
    <row r="15" spans="1:94" s="53" customFormat="1" x14ac:dyDescent="0.25">
      <c r="C15" s="55"/>
      <c r="D15" s="55"/>
      <c r="E15" s="55"/>
      <c r="F15" s="56"/>
      <c r="G15" s="56"/>
    </row>
    <row r="16" spans="1:94" s="53" customFormat="1" x14ac:dyDescent="0.25">
      <c r="C16" s="55"/>
      <c r="D16" s="55"/>
      <c r="E16" s="55"/>
    </row>
    <row r="17" spans="3:5" s="53" customFormat="1" x14ac:dyDescent="0.25">
      <c r="C17" s="55"/>
      <c r="D17" s="55"/>
      <c r="E17" s="55"/>
    </row>
    <row r="18" spans="3:5" s="53" customFormat="1" x14ac:dyDescent="0.25">
      <c r="C18" s="55"/>
      <c r="D18" s="55"/>
      <c r="E18" s="55"/>
    </row>
    <row r="19" spans="3:5" s="53" customFormat="1" x14ac:dyDescent="0.25">
      <c r="C19" s="55"/>
      <c r="D19" s="55"/>
      <c r="E19" s="55"/>
    </row>
    <row r="20" spans="3:5" s="53" customFormat="1" x14ac:dyDescent="0.25">
      <c r="C20" s="55"/>
      <c r="D20" s="55"/>
      <c r="E20" s="55"/>
    </row>
    <row r="21" spans="3:5" s="53" customFormat="1" x14ac:dyDescent="0.25">
      <c r="C21" s="55"/>
      <c r="D21" s="55"/>
      <c r="E21" s="55"/>
    </row>
    <row r="22" spans="3:5" s="53" customFormat="1" x14ac:dyDescent="0.25">
      <c r="C22" s="55"/>
      <c r="D22" s="55"/>
      <c r="E22" s="55"/>
    </row>
    <row r="23" spans="3:5" s="53" customFormat="1" x14ac:dyDescent="0.25">
      <c r="C23" s="55"/>
      <c r="D23" s="55"/>
      <c r="E23" s="55"/>
    </row>
    <row r="24" spans="3:5" s="53" customFormat="1" x14ac:dyDescent="0.25">
      <c r="C24" s="55"/>
      <c r="D24" s="55"/>
      <c r="E24" s="55"/>
    </row>
    <row r="25" spans="3:5" s="53" customFormat="1" x14ac:dyDescent="0.25">
      <c r="C25" s="55"/>
      <c r="D25" s="55"/>
      <c r="E25" s="55"/>
    </row>
    <row r="26" spans="3:5" s="53" customFormat="1" x14ac:dyDescent="0.25">
      <c r="C26" s="55"/>
      <c r="D26" s="55"/>
      <c r="E26" s="55"/>
    </row>
    <row r="27" spans="3:5" s="53" customFormat="1" x14ac:dyDescent="0.25">
      <c r="C27" s="55"/>
      <c r="D27" s="55"/>
      <c r="E27" s="55"/>
    </row>
    <row r="28" spans="3:5" s="53" customFormat="1" x14ac:dyDescent="0.25">
      <c r="C28" s="55"/>
      <c r="D28" s="55"/>
      <c r="E28" s="55"/>
    </row>
    <row r="29" spans="3:5" s="53" customFormat="1" x14ac:dyDescent="0.25">
      <c r="C29" s="55"/>
      <c r="D29" s="55"/>
      <c r="E29" s="55"/>
    </row>
    <row r="30" spans="3:5" s="53" customFormat="1" x14ac:dyDescent="0.25">
      <c r="C30" s="55"/>
      <c r="D30" s="55"/>
      <c r="E30" s="55"/>
    </row>
    <row r="31" spans="3:5" s="53" customFormat="1" x14ac:dyDescent="0.25">
      <c r="C31" s="55"/>
      <c r="D31" s="55"/>
      <c r="E31" s="55"/>
    </row>
    <row r="32" spans="3:5" s="53" customFormat="1" x14ac:dyDescent="0.25">
      <c r="C32" s="55"/>
      <c r="D32" s="55"/>
      <c r="E32" s="55"/>
    </row>
    <row r="33" spans="3:5" s="53" customFormat="1" x14ac:dyDescent="0.25">
      <c r="C33" s="55"/>
      <c r="D33" s="55"/>
      <c r="E33" s="55"/>
    </row>
    <row r="34" spans="3:5" s="53" customFormat="1" x14ac:dyDescent="0.25">
      <c r="C34" s="55"/>
      <c r="D34" s="55"/>
      <c r="E34" s="55"/>
    </row>
    <row r="35" spans="3:5" s="53" customFormat="1" x14ac:dyDescent="0.25">
      <c r="C35" s="55"/>
      <c r="D35" s="55"/>
      <c r="E35" s="55"/>
    </row>
    <row r="36" spans="3:5" s="53" customFormat="1" x14ac:dyDescent="0.25">
      <c r="C36" s="55"/>
      <c r="D36" s="55"/>
      <c r="E36" s="55"/>
    </row>
    <row r="37" spans="3:5" s="53" customFormat="1" x14ac:dyDescent="0.25">
      <c r="C37" s="55"/>
      <c r="D37" s="55"/>
      <c r="E37" s="55"/>
    </row>
    <row r="38" spans="3:5" s="53" customFormat="1" x14ac:dyDescent="0.25">
      <c r="C38" s="55"/>
      <c r="D38" s="55"/>
      <c r="E38" s="55"/>
    </row>
    <row r="39" spans="3:5" s="53" customFormat="1" x14ac:dyDescent="0.25">
      <c r="C39" s="55"/>
      <c r="D39" s="55"/>
      <c r="E39" s="55"/>
    </row>
    <row r="40" spans="3:5" s="53" customFormat="1" x14ac:dyDescent="0.25">
      <c r="C40" s="55"/>
      <c r="D40" s="55"/>
      <c r="E40" s="55"/>
    </row>
    <row r="41" spans="3:5" s="53" customFormat="1" x14ac:dyDescent="0.25">
      <c r="C41" s="55"/>
      <c r="D41" s="55"/>
      <c r="E41" s="55"/>
    </row>
    <row r="42" spans="3:5" s="53" customFormat="1" x14ac:dyDescent="0.25">
      <c r="C42" s="55"/>
      <c r="D42" s="55"/>
      <c r="E42" s="55"/>
    </row>
    <row r="43" spans="3:5" s="53" customFormat="1" x14ac:dyDescent="0.25">
      <c r="C43" s="55"/>
      <c r="D43" s="55"/>
      <c r="E43" s="55"/>
    </row>
    <row r="44" spans="3:5" s="53" customFormat="1" x14ac:dyDescent="0.25">
      <c r="C44" s="55"/>
      <c r="D44" s="55"/>
      <c r="E44" s="55"/>
    </row>
    <row r="45" spans="3:5" s="53" customFormat="1" x14ac:dyDescent="0.25">
      <c r="C45" s="55"/>
      <c r="D45" s="55"/>
      <c r="E45" s="55"/>
    </row>
    <row r="46" spans="3:5" s="53" customFormat="1" x14ac:dyDescent="0.25">
      <c r="C46" s="55"/>
      <c r="D46" s="55"/>
      <c r="E46" s="55"/>
    </row>
    <row r="47" spans="3:5" s="53" customFormat="1" x14ac:dyDescent="0.25">
      <c r="C47" s="55"/>
      <c r="D47" s="55"/>
      <c r="E47" s="55"/>
    </row>
    <row r="48" spans="3:5" s="53" customFormat="1" x14ac:dyDescent="0.25">
      <c r="C48" s="55"/>
      <c r="D48" s="55"/>
      <c r="E48" s="55"/>
    </row>
    <row r="49" spans="3:5" s="53" customFormat="1" x14ac:dyDescent="0.25">
      <c r="C49" s="55"/>
      <c r="D49" s="55"/>
      <c r="E49" s="55"/>
    </row>
    <row r="50" spans="3:5" s="53" customFormat="1" x14ac:dyDescent="0.25">
      <c r="C50" s="55"/>
      <c r="D50" s="55"/>
      <c r="E50" s="55"/>
    </row>
    <row r="51" spans="3:5" s="53" customFormat="1" x14ac:dyDescent="0.25">
      <c r="C51" s="55"/>
      <c r="D51" s="55"/>
      <c r="E51" s="55"/>
    </row>
    <row r="52" spans="3:5" s="53" customFormat="1" x14ac:dyDescent="0.25">
      <c r="C52" s="55"/>
      <c r="D52" s="55"/>
      <c r="E52" s="55"/>
    </row>
    <row r="53" spans="3:5" s="53" customFormat="1" x14ac:dyDescent="0.25">
      <c r="C53" s="55"/>
      <c r="D53" s="55"/>
      <c r="E53" s="55"/>
    </row>
    <row r="54" spans="3:5" s="53" customFormat="1" x14ac:dyDescent="0.25">
      <c r="C54" s="55"/>
      <c r="D54" s="55"/>
      <c r="E54" s="55"/>
    </row>
    <row r="55" spans="3:5" s="53" customFormat="1" x14ac:dyDescent="0.25">
      <c r="C55" s="55"/>
      <c r="D55" s="55"/>
      <c r="E55" s="55"/>
    </row>
    <row r="56" spans="3:5" s="53" customFormat="1" x14ac:dyDescent="0.25">
      <c r="C56" s="55"/>
      <c r="D56" s="55"/>
      <c r="E56" s="55"/>
    </row>
    <row r="57" spans="3:5" s="53" customFormat="1" x14ac:dyDescent="0.25">
      <c r="C57" s="55"/>
      <c r="D57" s="55"/>
      <c r="E57" s="55"/>
    </row>
    <row r="58" spans="3:5" s="53" customFormat="1" x14ac:dyDescent="0.25">
      <c r="C58" s="55"/>
      <c r="D58" s="55"/>
      <c r="E58" s="55"/>
    </row>
    <row r="59" spans="3:5" s="53" customFormat="1" x14ac:dyDescent="0.25">
      <c r="C59" s="55"/>
      <c r="D59" s="55"/>
      <c r="E59" s="55"/>
    </row>
    <row r="60" spans="3:5" s="53" customFormat="1" x14ac:dyDescent="0.25">
      <c r="C60" s="55"/>
      <c r="D60" s="55"/>
      <c r="E60" s="55"/>
    </row>
    <row r="61" spans="3:5" s="53" customFormat="1" x14ac:dyDescent="0.25">
      <c r="C61" s="55"/>
      <c r="D61" s="55"/>
      <c r="E61" s="55"/>
    </row>
    <row r="62" spans="3:5" s="53" customFormat="1" x14ac:dyDescent="0.25">
      <c r="C62" s="55"/>
      <c r="D62" s="55"/>
      <c r="E62" s="55"/>
    </row>
    <row r="63" spans="3:5" s="53" customFormat="1" x14ac:dyDescent="0.25">
      <c r="C63" s="55"/>
      <c r="D63" s="55"/>
      <c r="E63" s="55"/>
    </row>
    <row r="64" spans="3:5" s="53" customFormat="1" x14ac:dyDescent="0.25">
      <c r="C64" s="55"/>
      <c r="D64" s="55"/>
      <c r="E64" s="55"/>
    </row>
    <row r="65" spans="3:5" s="53" customFormat="1" x14ac:dyDescent="0.25">
      <c r="C65" s="55"/>
      <c r="D65" s="55"/>
      <c r="E65" s="55"/>
    </row>
    <row r="66" spans="3:5" s="53" customFormat="1" x14ac:dyDescent="0.25">
      <c r="C66" s="55"/>
      <c r="D66" s="55"/>
      <c r="E66" s="55"/>
    </row>
    <row r="67" spans="3:5" s="53" customFormat="1" x14ac:dyDescent="0.25">
      <c r="C67" s="55"/>
      <c r="D67" s="55"/>
      <c r="E67" s="55"/>
    </row>
    <row r="68" spans="3:5" s="53" customFormat="1" x14ac:dyDescent="0.25">
      <c r="C68" s="55"/>
      <c r="D68" s="55"/>
      <c r="E68" s="55"/>
    </row>
    <row r="69" spans="3:5" s="53" customFormat="1" x14ac:dyDescent="0.25">
      <c r="C69" s="55"/>
      <c r="D69" s="55"/>
      <c r="E69" s="55"/>
    </row>
    <row r="70" spans="3:5" s="53" customFormat="1" x14ac:dyDescent="0.25">
      <c r="C70" s="55"/>
      <c r="D70" s="55"/>
      <c r="E70" s="55"/>
    </row>
    <row r="71" spans="3:5" s="53" customFormat="1" x14ac:dyDescent="0.25">
      <c r="C71" s="55"/>
      <c r="D71" s="55"/>
      <c r="E71" s="55"/>
    </row>
    <row r="72" spans="3:5" s="53" customFormat="1" x14ac:dyDescent="0.25">
      <c r="C72" s="55"/>
      <c r="D72" s="55"/>
      <c r="E72" s="55"/>
    </row>
    <row r="73" spans="3:5" s="53" customFormat="1" x14ac:dyDescent="0.25">
      <c r="C73" s="55"/>
      <c r="D73" s="55"/>
      <c r="E73" s="55"/>
    </row>
    <row r="74" spans="3:5" s="53" customFormat="1" x14ac:dyDescent="0.25">
      <c r="C74" s="55"/>
      <c r="D74" s="55"/>
      <c r="E74" s="55"/>
    </row>
    <row r="75" spans="3:5" s="53" customFormat="1" x14ac:dyDescent="0.25">
      <c r="C75" s="55"/>
      <c r="D75" s="55"/>
      <c r="E75" s="55"/>
    </row>
    <row r="76" spans="3:5" s="53" customFormat="1" x14ac:dyDescent="0.25">
      <c r="C76" s="55"/>
      <c r="D76" s="55"/>
      <c r="E76" s="55"/>
    </row>
    <row r="77" spans="3:5" s="53" customFormat="1" x14ac:dyDescent="0.25">
      <c r="C77" s="55"/>
      <c r="D77" s="55"/>
      <c r="E77" s="55"/>
    </row>
    <row r="78" spans="3:5" s="53" customFormat="1" x14ac:dyDescent="0.25">
      <c r="C78" s="55"/>
      <c r="D78" s="55"/>
      <c r="E78" s="55"/>
    </row>
    <row r="79" spans="3:5" s="53" customFormat="1" x14ac:dyDescent="0.25">
      <c r="C79" s="55"/>
      <c r="D79" s="55"/>
      <c r="E79" s="55"/>
    </row>
    <row r="80" spans="3:5" s="53" customFormat="1" x14ac:dyDescent="0.25">
      <c r="C80" s="55"/>
      <c r="D80" s="55"/>
      <c r="E80" s="55"/>
    </row>
    <row r="81" spans="3:5" s="53" customFormat="1" x14ac:dyDescent="0.25">
      <c r="C81" s="55"/>
      <c r="D81" s="55"/>
      <c r="E81" s="55"/>
    </row>
    <row r="82" spans="3:5" s="53" customFormat="1" x14ac:dyDescent="0.25">
      <c r="C82" s="55"/>
      <c r="D82" s="55"/>
      <c r="E82" s="55"/>
    </row>
    <row r="83" spans="3:5" s="53" customFormat="1" x14ac:dyDescent="0.25">
      <c r="C83" s="55"/>
      <c r="D83" s="55"/>
      <c r="E83" s="55"/>
    </row>
    <row r="84" spans="3:5" s="53" customFormat="1" x14ac:dyDescent="0.25">
      <c r="C84" s="55"/>
      <c r="D84" s="55"/>
      <c r="E84" s="55"/>
    </row>
    <row r="85" spans="3:5" s="53" customFormat="1" x14ac:dyDescent="0.25">
      <c r="C85" s="55"/>
      <c r="D85" s="55"/>
      <c r="E85" s="55"/>
    </row>
    <row r="86" spans="3:5" s="53" customFormat="1" x14ac:dyDescent="0.25">
      <c r="C86" s="55"/>
      <c r="D86" s="55"/>
      <c r="E86" s="55"/>
    </row>
    <row r="87" spans="3:5" s="53" customFormat="1" x14ac:dyDescent="0.25">
      <c r="C87" s="55"/>
      <c r="D87" s="55"/>
      <c r="E87" s="55"/>
    </row>
    <row r="88" spans="3:5" s="53" customFormat="1" x14ac:dyDescent="0.25">
      <c r="C88" s="55"/>
      <c r="D88" s="55"/>
      <c r="E88" s="55"/>
    </row>
    <row r="89" spans="3:5" s="53" customFormat="1" x14ac:dyDescent="0.25">
      <c r="C89" s="55"/>
      <c r="D89" s="55"/>
      <c r="E89" s="55"/>
    </row>
    <row r="90" spans="3:5" s="53" customFormat="1" x14ac:dyDescent="0.25">
      <c r="C90" s="55"/>
      <c r="D90" s="55"/>
      <c r="E90" s="55"/>
    </row>
    <row r="91" spans="3:5" s="53" customFormat="1" x14ac:dyDescent="0.25">
      <c r="C91" s="55"/>
      <c r="D91" s="55"/>
      <c r="E91" s="55"/>
    </row>
    <row r="92" spans="3:5" s="53" customFormat="1" x14ac:dyDescent="0.25">
      <c r="C92" s="55"/>
      <c r="D92" s="55"/>
      <c r="E92" s="55"/>
    </row>
    <row r="93" spans="3:5" s="53" customFormat="1" x14ac:dyDescent="0.25">
      <c r="C93" s="55"/>
      <c r="D93" s="55"/>
      <c r="E93" s="55"/>
    </row>
    <row r="94" spans="3:5" s="53" customFormat="1" x14ac:dyDescent="0.25">
      <c r="C94" s="55"/>
      <c r="D94" s="55"/>
      <c r="E94" s="55"/>
    </row>
    <row r="95" spans="3:5" s="53" customFormat="1" x14ac:dyDescent="0.25">
      <c r="C95" s="55"/>
      <c r="D95" s="55"/>
      <c r="E95" s="55"/>
    </row>
    <row r="96" spans="3:5" s="53" customFormat="1" x14ac:dyDescent="0.25">
      <c r="C96" s="55"/>
      <c r="D96" s="55"/>
      <c r="E96" s="55"/>
    </row>
    <row r="97" spans="3:5" s="53" customFormat="1" x14ac:dyDescent="0.25">
      <c r="C97" s="55"/>
      <c r="D97" s="55"/>
      <c r="E97" s="55"/>
    </row>
    <row r="98" spans="3:5" s="53" customFormat="1" x14ac:dyDescent="0.25">
      <c r="C98" s="55"/>
      <c r="D98" s="55"/>
      <c r="E98" s="55"/>
    </row>
    <row r="99" spans="3:5" s="53" customFormat="1" x14ac:dyDescent="0.25">
      <c r="C99" s="55"/>
      <c r="D99" s="55"/>
      <c r="E99" s="55"/>
    </row>
    <row r="100" spans="3:5" s="53" customFormat="1" x14ac:dyDescent="0.25">
      <c r="C100" s="55"/>
      <c r="D100" s="55"/>
      <c r="E100" s="55"/>
    </row>
    <row r="101" spans="3:5" s="53" customFormat="1" x14ac:dyDescent="0.25">
      <c r="C101" s="55"/>
      <c r="D101" s="55"/>
      <c r="E101" s="55"/>
    </row>
    <row r="102" spans="3:5" s="53" customFormat="1" x14ac:dyDescent="0.25">
      <c r="C102" s="55"/>
      <c r="D102" s="55"/>
      <c r="E102" s="55"/>
    </row>
    <row r="103" spans="3:5" s="53" customFormat="1" x14ac:dyDescent="0.25">
      <c r="C103" s="55"/>
      <c r="D103" s="55"/>
      <c r="E103" s="55"/>
    </row>
    <row r="104" spans="3:5" s="53" customFormat="1" x14ac:dyDescent="0.25">
      <c r="C104" s="55"/>
      <c r="D104" s="55"/>
      <c r="E104" s="55"/>
    </row>
    <row r="105" spans="3:5" s="53" customFormat="1" x14ac:dyDescent="0.25">
      <c r="C105" s="55"/>
      <c r="D105" s="55"/>
      <c r="E105" s="55"/>
    </row>
    <row r="106" spans="3:5" s="53" customFormat="1" x14ac:dyDescent="0.25">
      <c r="C106" s="55"/>
      <c r="D106" s="55"/>
      <c r="E106" s="55"/>
    </row>
    <row r="107" spans="3:5" s="53" customFormat="1" x14ac:dyDescent="0.25">
      <c r="C107" s="55"/>
      <c r="D107" s="55"/>
      <c r="E107" s="55"/>
    </row>
    <row r="108" spans="3:5" s="53" customFormat="1" x14ac:dyDescent="0.25">
      <c r="C108" s="55"/>
      <c r="D108" s="55"/>
      <c r="E108" s="55"/>
    </row>
    <row r="109" spans="3:5" s="53" customFormat="1" x14ac:dyDescent="0.25">
      <c r="C109" s="55"/>
      <c r="D109" s="55"/>
      <c r="E109" s="55"/>
    </row>
    <row r="110" spans="3:5" s="53" customFormat="1" x14ac:dyDescent="0.25">
      <c r="C110" s="55"/>
      <c r="D110" s="55"/>
      <c r="E110" s="55"/>
    </row>
    <row r="111" spans="3:5" s="53" customFormat="1" x14ac:dyDescent="0.25">
      <c r="C111" s="55"/>
      <c r="D111" s="55"/>
      <c r="E111" s="55"/>
    </row>
    <row r="112" spans="3:5" s="53" customFormat="1" x14ac:dyDescent="0.25">
      <c r="C112" s="55"/>
      <c r="D112" s="55"/>
      <c r="E112" s="55"/>
    </row>
    <row r="113" spans="3:5" s="53" customFormat="1" x14ac:dyDescent="0.25">
      <c r="C113" s="55"/>
      <c r="D113" s="55"/>
      <c r="E113" s="55"/>
    </row>
    <row r="114" spans="3:5" s="53" customFormat="1" x14ac:dyDescent="0.25">
      <c r="C114" s="55"/>
      <c r="D114" s="55"/>
      <c r="E114" s="55"/>
    </row>
    <row r="115" spans="3:5" s="53" customFormat="1" x14ac:dyDescent="0.25">
      <c r="C115" s="55"/>
      <c r="D115" s="55"/>
      <c r="E115" s="55"/>
    </row>
    <row r="116" spans="3:5" s="53" customFormat="1" x14ac:dyDescent="0.25">
      <c r="C116" s="55"/>
      <c r="D116" s="55"/>
      <c r="E116" s="55"/>
    </row>
    <row r="117" spans="3:5" s="53" customFormat="1" x14ac:dyDescent="0.25">
      <c r="C117" s="55"/>
      <c r="D117" s="55"/>
      <c r="E117" s="55"/>
    </row>
    <row r="118" spans="3:5" s="53" customFormat="1" x14ac:dyDescent="0.25">
      <c r="C118" s="55"/>
      <c r="D118" s="55"/>
      <c r="E118" s="55"/>
    </row>
    <row r="119" spans="3:5" s="53" customFormat="1" x14ac:dyDescent="0.25">
      <c r="C119" s="55"/>
      <c r="D119" s="55"/>
      <c r="E119" s="55"/>
    </row>
    <row r="120" spans="3:5" s="53" customFormat="1" x14ac:dyDescent="0.25">
      <c r="C120" s="55"/>
      <c r="D120" s="55"/>
      <c r="E120" s="55"/>
    </row>
    <row r="121" spans="3:5" s="53" customFormat="1" x14ac:dyDescent="0.25">
      <c r="C121" s="55"/>
      <c r="D121" s="55"/>
      <c r="E121" s="55"/>
    </row>
    <row r="122" spans="3:5" s="53" customFormat="1" x14ac:dyDescent="0.25">
      <c r="C122" s="55"/>
      <c r="D122" s="55"/>
      <c r="E122" s="55"/>
    </row>
    <row r="123" spans="3:5" s="53" customFormat="1" x14ac:dyDescent="0.25">
      <c r="C123" s="55"/>
      <c r="D123" s="55"/>
      <c r="E123" s="55"/>
    </row>
    <row r="124" spans="3:5" s="53" customFormat="1" x14ac:dyDescent="0.25">
      <c r="C124" s="55"/>
      <c r="D124" s="55"/>
      <c r="E124" s="55"/>
    </row>
    <row r="125" spans="3:5" s="53" customFormat="1" x14ac:dyDescent="0.25">
      <c r="C125" s="55"/>
      <c r="D125" s="55"/>
      <c r="E125" s="55"/>
    </row>
    <row r="126" spans="3:5" s="53" customFormat="1" x14ac:dyDescent="0.25">
      <c r="C126" s="55"/>
      <c r="D126" s="55"/>
      <c r="E126" s="55"/>
    </row>
    <row r="127" spans="3:5" s="53" customFormat="1" x14ac:dyDescent="0.25">
      <c r="C127" s="55"/>
      <c r="D127" s="55"/>
      <c r="E127" s="55"/>
    </row>
    <row r="128" spans="3:5" s="53" customFormat="1" x14ac:dyDescent="0.25">
      <c r="C128" s="55"/>
      <c r="D128" s="55"/>
      <c r="E128" s="55"/>
    </row>
    <row r="129" spans="3:5" s="53" customFormat="1" x14ac:dyDescent="0.25">
      <c r="C129" s="55"/>
      <c r="D129" s="55"/>
      <c r="E129" s="55"/>
    </row>
    <row r="130" spans="3:5" s="53" customFormat="1" x14ac:dyDescent="0.25">
      <c r="C130" s="55"/>
      <c r="D130" s="55"/>
      <c r="E130" s="55"/>
    </row>
    <row r="131" spans="3:5" s="53" customFormat="1" x14ac:dyDescent="0.25">
      <c r="C131" s="55"/>
      <c r="D131" s="55"/>
      <c r="E131" s="55"/>
    </row>
    <row r="132" spans="3:5" s="53" customFormat="1" x14ac:dyDescent="0.25">
      <c r="C132" s="55"/>
      <c r="D132" s="55"/>
      <c r="E132" s="55"/>
    </row>
    <row r="133" spans="3:5" s="53" customFormat="1" x14ac:dyDescent="0.25">
      <c r="C133" s="55"/>
      <c r="D133" s="55"/>
      <c r="E133" s="55"/>
    </row>
    <row r="134" spans="3:5" s="53" customFormat="1" x14ac:dyDescent="0.25">
      <c r="C134" s="55"/>
      <c r="D134" s="55"/>
      <c r="E134" s="55"/>
    </row>
    <row r="135" spans="3:5" s="53" customFormat="1" x14ac:dyDescent="0.25">
      <c r="C135" s="55"/>
      <c r="D135" s="55"/>
      <c r="E135" s="55"/>
    </row>
    <row r="136" spans="3:5" s="53" customFormat="1" x14ac:dyDescent="0.25">
      <c r="C136" s="55"/>
      <c r="D136" s="55"/>
      <c r="E136" s="55"/>
    </row>
    <row r="137" spans="3:5" s="53" customFormat="1" x14ac:dyDescent="0.25">
      <c r="C137" s="55"/>
      <c r="D137" s="55"/>
      <c r="E137" s="55"/>
    </row>
    <row r="138" spans="3:5" s="53" customFormat="1" x14ac:dyDescent="0.25">
      <c r="C138" s="55"/>
      <c r="D138" s="55"/>
      <c r="E138" s="55"/>
    </row>
    <row r="139" spans="3:5" s="53" customFormat="1" x14ac:dyDescent="0.25">
      <c r="C139" s="55"/>
      <c r="D139" s="55"/>
      <c r="E139" s="55"/>
    </row>
    <row r="140" spans="3:5" s="53" customFormat="1" x14ac:dyDescent="0.25">
      <c r="C140" s="55"/>
      <c r="D140" s="55"/>
      <c r="E140" s="55"/>
    </row>
    <row r="141" spans="3:5" s="53" customFormat="1" x14ac:dyDescent="0.25">
      <c r="C141" s="55"/>
      <c r="D141" s="55"/>
      <c r="E141" s="55"/>
    </row>
    <row r="142" spans="3:5" s="53" customFormat="1" x14ac:dyDescent="0.25">
      <c r="C142" s="55"/>
      <c r="D142" s="55"/>
      <c r="E142" s="55"/>
    </row>
    <row r="143" spans="3:5" s="53" customFormat="1" x14ac:dyDescent="0.25">
      <c r="C143" s="55"/>
      <c r="D143" s="55"/>
      <c r="E143" s="55"/>
    </row>
    <row r="144" spans="3:5" s="53" customFormat="1" x14ac:dyDescent="0.25">
      <c r="C144" s="55"/>
      <c r="D144" s="55"/>
      <c r="E144" s="55"/>
    </row>
    <row r="145" spans="3:5" s="53" customFormat="1" x14ac:dyDescent="0.25">
      <c r="C145" s="55"/>
      <c r="D145" s="55"/>
      <c r="E145" s="55"/>
    </row>
    <row r="146" spans="3:5" s="53" customFormat="1" x14ac:dyDescent="0.25">
      <c r="C146" s="55"/>
      <c r="D146" s="55"/>
      <c r="E146" s="55"/>
    </row>
    <row r="147" spans="3:5" s="53" customFormat="1" x14ac:dyDescent="0.25">
      <c r="C147" s="55"/>
      <c r="D147" s="55"/>
      <c r="E147" s="55"/>
    </row>
    <row r="148" spans="3:5" s="53" customFormat="1" x14ac:dyDescent="0.25">
      <c r="C148" s="55"/>
      <c r="D148" s="55"/>
      <c r="E148" s="55"/>
    </row>
    <row r="149" spans="3:5" s="53" customFormat="1" x14ac:dyDescent="0.25">
      <c r="C149" s="55"/>
      <c r="D149" s="55"/>
      <c r="E149" s="55"/>
    </row>
    <row r="150" spans="3:5" s="53" customFormat="1" x14ac:dyDescent="0.25">
      <c r="C150" s="55"/>
      <c r="D150" s="55"/>
      <c r="E150" s="55"/>
    </row>
    <row r="151" spans="3:5" s="53" customFormat="1" x14ac:dyDescent="0.25">
      <c r="C151" s="55"/>
      <c r="D151" s="55"/>
      <c r="E151" s="55"/>
    </row>
    <row r="152" spans="3:5" s="53" customFormat="1" x14ac:dyDescent="0.25">
      <c r="C152" s="55"/>
      <c r="D152" s="55"/>
      <c r="E152" s="55"/>
    </row>
    <row r="153" spans="3:5" s="53" customFormat="1" x14ac:dyDescent="0.25">
      <c r="C153" s="55"/>
      <c r="D153" s="55"/>
      <c r="E153" s="55"/>
    </row>
    <row r="154" spans="3:5" s="53" customFormat="1" x14ac:dyDescent="0.25">
      <c r="C154" s="55"/>
      <c r="D154" s="55"/>
      <c r="E154" s="55"/>
    </row>
    <row r="155" spans="3:5" s="53" customFormat="1" x14ac:dyDescent="0.25">
      <c r="C155" s="55"/>
      <c r="D155" s="55"/>
      <c r="E155" s="55"/>
    </row>
    <row r="156" spans="3:5" s="53" customFormat="1" x14ac:dyDescent="0.25">
      <c r="C156" s="55"/>
      <c r="D156" s="55"/>
      <c r="E156" s="55"/>
    </row>
    <row r="157" spans="3:5" s="53" customFormat="1" x14ac:dyDescent="0.25">
      <c r="C157" s="55"/>
      <c r="D157" s="55"/>
      <c r="E157" s="55"/>
    </row>
    <row r="158" spans="3:5" s="53" customFormat="1" x14ac:dyDescent="0.25">
      <c r="C158" s="55"/>
      <c r="D158" s="55"/>
      <c r="E158" s="55"/>
    </row>
    <row r="159" spans="3:5" s="53" customFormat="1" x14ac:dyDescent="0.25">
      <c r="C159" s="55"/>
      <c r="D159" s="55"/>
      <c r="E159" s="55"/>
    </row>
    <row r="160" spans="3:5" s="53" customFormat="1" x14ac:dyDescent="0.25">
      <c r="C160" s="55"/>
      <c r="D160" s="55"/>
      <c r="E160" s="55"/>
    </row>
    <row r="161" spans="3:5" s="53" customFormat="1" x14ac:dyDescent="0.25">
      <c r="C161" s="55"/>
      <c r="D161" s="55"/>
      <c r="E161" s="55"/>
    </row>
    <row r="162" spans="3:5" s="53" customFormat="1" x14ac:dyDescent="0.25">
      <c r="C162" s="55"/>
      <c r="D162" s="55"/>
      <c r="E162" s="55"/>
    </row>
    <row r="163" spans="3:5" s="53" customFormat="1" x14ac:dyDescent="0.25">
      <c r="C163" s="55"/>
      <c r="D163" s="55"/>
      <c r="E163" s="55"/>
    </row>
    <row r="164" spans="3:5" s="53" customFormat="1" x14ac:dyDescent="0.25">
      <c r="C164" s="55"/>
      <c r="D164" s="55"/>
      <c r="E164" s="55"/>
    </row>
    <row r="165" spans="3:5" s="53" customFormat="1" x14ac:dyDescent="0.25">
      <c r="C165" s="55"/>
      <c r="D165" s="55"/>
      <c r="E165" s="55"/>
    </row>
    <row r="166" spans="3:5" s="53" customFormat="1" x14ac:dyDescent="0.25">
      <c r="C166" s="55"/>
      <c r="D166" s="55"/>
      <c r="E166" s="55"/>
    </row>
    <row r="167" spans="3:5" s="53" customFormat="1" x14ac:dyDescent="0.25">
      <c r="C167" s="55"/>
      <c r="D167" s="55"/>
      <c r="E167" s="55"/>
    </row>
    <row r="168" spans="3:5" s="53" customFormat="1" x14ac:dyDescent="0.25">
      <c r="C168" s="55"/>
      <c r="D168" s="55"/>
      <c r="E168" s="55"/>
    </row>
    <row r="169" spans="3:5" s="53" customFormat="1" x14ac:dyDescent="0.25">
      <c r="C169" s="55"/>
      <c r="D169" s="55"/>
      <c r="E169" s="55"/>
    </row>
    <row r="170" spans="3:5" s="53" customFormat="1" x14ac:dyDescent="0.25">
      <c r="C170" s="55"/>
      <c r="D170" s="55"/>
      <c r="E170" s="55"/>
    </row>
    <row r="171" spans="3:5" s="53" customFormat="1" x14ac:dyDescent="0.25">
      <c r="C171" s="55"/>
      <c r="D171" s="55"/>
      <c r="E171" s="55"/>
    </row>
    <row r="172" spans="3:5" s="53" customFormat="1" x14ac:dyDescent="0.25">
      <c r="C172" s="55"/>
      <c r="D172" s="55"/>
      <c r="E172" s="55"/>
    </row>
    <row r="173" spans="3:5" s="53" customFormat="1" x14ac:dyDescent="0.25">
      <c r="C173" s="55"/>
      <c r="D173" s="55"/>
      <c r="E173" s="55"/>
    </row>
    <row r="174" spans="3:5" s="53" customFormat="1" x14ac:dyDescent="0.25">
      <c r="C174" s="55"/>
      <c r="D174" s="55"/>
      <c r="E174" s="55"/>
    </row>
    <row r="175" spans="3:5" s="53" customFormat="1" x14ac:dyDescent="0.25">
      <c r="C175" s="55"/>
      <c r="D175" s="55"/>
      <c r="E175" s="55"/>
    </row>
    <row r="176" spans="3:5" s="53" customFormat="1" x14ac:dyDescent="0.25">
      <c r="C176" s="55"/>
      <c r="D176" s="55"/>
      <c r="E176" s="55"/>
    </row>
    <row r="177" spans="3:5" s="53" customFormat="1" x14ac:dyDescent="0.25">
      <c r="C177" s="55"/>
      <c r="D177" s="55"/>
      <c r="E177" s="55"/>
    </row>
    <row r="178" spans="3:5" s="53" customFormat="1" x14ac:dyDescent="0.25">
      <c r="C178" s="55"/>
      <c r="D178" s="55"/>
      <c r="E178" s="55"/>
    </row>
    <row r="179" spans="3:5" s="53" customFormat="1" x14ac:dyDescent="0.25">
      <c r="C179" s="55"/>
      <c r="D179" s="55"/>
      <c r="E179" s="55"/>
    </row>
    <row r="180" spans="3:5" s="53" customFormat="1" x14ac:dyDescent="0.25">
      <c r="C180" s="55"/>
      <c r="D180" s="55"/>
      <c r="E180" s="55"/>
    </row>
    <row r="181" spans="3:5" s="53" customFormat="1" x14ac:dyDescent="0.25">
      <c r="C181" s="55"/>
      <c r="D181" s="55"/>
      <c r="E181" s="55"/>
    </row>
    <row r="182" spans="3:5" s="53" customFormat="1" x14ac:dyDescent="0.25">
      <c r="C182" s="55"/>
      <c r="D182" s="55"/>
      <c r="E182" s="55"/>
    </row>
    <row r="183" spans="3:5" s="53" customFormat="1" x14ac:dyDescent="0.25">
      <c r="C183" s="55"/>
      <c r="D183" s="55"/>
      <c r="E183" s="55"/>
    </row>
    <row r="184" spans="3:5" s="53" customFormat="1" x14ac:dyDescent="0.25">
      <c r="C184" s="55"/>
      <c r="D184" s="55"/>
      <c r="E184" s="55"/>
    </row>
    <row r="185" spans="3:5" s="53" customFormat="1" x14ac:dyDescent="0.25">
      <c r="C185" s="55"/>
      <c r="D185" s="55"/>
      <c r="E185" s="55"/>
    </row>
    <row r="186" spans="3:5" s="53" customFormat="1" x14ac:dyDescent="0.25">
      <c r="C186" s="55"/>
      <c r="D186" s="55"/>
      <c r="E186" s="55"/>
    </row>
    <row r="187" spans="3:5" s="53" customFormat="1" x14ac:dyDescent="0.25">
      <c r="C187" s="55"/>
      <c r="D187" s="55"/>
      <c r="E187" s="55"/>
    </row>
    <row r="188" spans="3:5" s="53" customFormat="1" x14ac:dyDescent="0.25">
      <c r="C188" s="55"/>
      <c r="D188" s="55"/>
      <c r="E188" s="55"/>
    </row>
    <row r="189" spans="3:5" s="53" customFormat="1" x14ac:dyDescent="0.25">
      <c r="C189" s="55"/>
      <c r="D189" s="55"/>
      <c r="E189" s="55"/>
    </row>
    <row r="190" spans="3:5" s="53" customFormat="1" x14ac:dyDescent="0.25">
      <c r="C190" s="55"/>
      <c r="D190" s="55"/>
      <c r="E190" s="55"/>
    </row>
    <row r="191" spans="3:5" s="53" customFormat="1" x14ac:dyDescent="0.25">
      <c r="C191" s="55"/>
      <c r="D191" s="55"/>
      <c r="E191" s="55"/>
    </row>
    <row r="192" spans="3:5" s="53" customFormat="1" x14ac:dyDescent="0.25">
      <c r="C192" s="55"/>
      <c r="D192" s="55"/>
      <c r="E192" s="55"/>
    </row>
    <row r="193" spans="3:5" s="53" customFormat="1" x14ac:dyDescent="0.25">
      <c r="C193" s="55"/>
      <c r="D193" s="55"/>
      <c r="E193" s="55"/>
    </row>
    <row r="194" spans="3:5" s="53" customFormat="1" x14ac:dyDescent="0.25">
      <c r="C194" s="55"/>
      <c r="D194" s="55"/>
      <c r="E194" s="55"/>
    </row>
    <row r="195" spans="3:5" s="53" customFormat="1" x14ac:dyDescent="0.25">
      <c r="C195" s="55"/>
      <c r="D195" s="55"/>
      <c r="E195" s="55"/>
    </row>
    <row r="196" spans="3:5" s="53" customFormat="1" x14ac:dyDescent="0.25">
      <c r="C196" s="55"/>
      <c r="D196" s="55"/>
      <c r="E196" s="55"/>
    </row>
    <row r="197" spans="3:5" s="53" customFormat="1" x14ac:dyDescent="0.25">
      <c r="C197" s="55"/>
      <c r="D197" s="55"/>
      <c r="E197" s="55"/>
    </row>
    <row r="198" spans="3:5" s="53" customFormat="1" x14ac:dyDescent="0.25">
      <c r="C198" s="55"/>
      <c r="D198" s="55"/>
      <c r="E198" s="55"/>
    </row>
    <row r="199" spans="3:5" s="53" customFormat="1" x14ac:dyDescent="0.25">
      <c r="C199" s="55"/>
      <c r="D199" s="55"/>
      <c r="E199" s="55"/>
    </row>
    <row r="200" spans="3:5" s="53" customFormat="1" x14ac:dyDescent="0.25">
      <c r="C200" s="55"/>
      <c r="D200" s="55"/>
      <c r="E200" s="55"/>
    </row>
    <row r="201" spans="3:5" s="53" customFormat="1" x14ac:dyDescent="0.25">
      <c r="C201" s="55"/>
      <c r="D201" s="55"/>
      <c r="E201" s="55"/>
    </row>
    <row r="202" spans="3:5" s="53" customFormat="1" x14ac:dyDescent="0.25">
      <c r="C202" s="55"/>
      <c r="D202" s="55"/>
      <c r="E202" s="55"/>
    </row>
    <row r="203" spans="3:5" s="53" customFormat="1" x14ac:dyDescent="0.25">
      <c r="C203" s="55"/>
      <c r="D203" s="55"/>
      <c r="E203" s="55"/>
    </row>
    <row r="204" spans="3:5" s="53" customFormat="1" x14ac:dyDescent="0.25">
      <c r="C204" s="55"/>
      <c r="D204" s="55"/>
      <c r="E204" s="55"/>
    </row>
    <row r="205" spans="3:5" s="53" customFormat="1" x14ac:dyDescent="0.25">
      <c r="C205" s="55"/>
      <c r="D205" s="55"/>
      <c r="E205" s="55"/>
    </row>
    <row r="206" spans="3:5" s="53" customFormat="1" x14ac:dyDescent="0.25">
      <c r="C206" s="55"/>
      <c r="D206" s="55"/>
      <c r="E206" s="55"/>
    </row>
    <row r="207" spans="3:5" s="53" customFormat="1" x14ac:dyDescent="0.25">
      <c r="C207" s="55"/>
      <c r="D207" s="55"/>
      <c r="E207" s="55"/>
    </row>
    <row r="208" spans="3:5" s="53" customFormat="1" x14ac:dyDescent="0.25">
      <c r="C208" s="55"/>
      <c r="D208" s="55"/>
      <c r="E208" s="55"/>
    </row>
    <row r="209" spans="3:5" s="53" customFormat="1" x14ac:dyDescent="0.25">
      <c r="C209" s="55"/>
      <c r="D209" s="55"/>
      <c r="E209" s="55"/>
    </row>
    <row r="210" spans="3:5" s="53" customFormat="1" x14ac:dyDescent="0.25">
      <c r="C210" s="55"/>
      <c r="D210" s="55"/>
      <c r="E210" s="55"/>
    </row>
    <row r="211" spans="3:5" s="53" customFormat="1" x14ac:dyDescent="0.25">
      <c r="C211" s="55"/>
      <c r="D211" s="55"/>
      <c r="E211" s="55"/>
    </row>
    <row r="212" spans="3:5" s="53" customFormat="1" x14ac:dyDescent="0.25">
      <c r="C212" s="55"/>
      <c r="D212" s="55"/>
      <c r="E212" s="55"/>
    </row>
    <row r="213" spans="3:5" s="53" customFormat="1" x14ac:dyDescent="0.25">
      <c r="C213" s="55"/>
      <c r="D213" s="55"/>
      <c r="E213" s="55"/>
    </row>
    <row r="214" spans="3:5" s="53" customFormat="1" x14ac:dyDescent="0.25">
      <c r="C214" s="55"/>
      <c r="D214" s="55"/>
      <c r="E214" s="55"/>
    </row>
    <row r="215" spans="3:5" s="53" customFormat="1" x14ac:dyDescent="0.25">
      <c r="C215" s="55"/>
      <c r="D215" s="55"/>
      <c r="E215" s="55"/>
    </row>
    <row r="216" spans="3:5" s="53" customFormat="1" x14ac:dyDescent="0.25">
      <c r="C216" s="55"/>
      <c r="D216" s="55"/>
      <c r="E216" s="55"/>
    </row>
    <row r="217" spans="3:5" s="53" customFormat="1" x14ac:dyDescent="0.25">
      <c r="C217" s="55"/>
      <c r="D217" s="55"/>
      <c r="E217" s="55"/>
    </row>
    <row r="218" spans="3:5" s="53" customFormat="1" x14ac:dyDescent="0.25">
      <c r="C218" s="55"/>
      <c r="D218" s="55"/>
      <c r="E218" s="55"/>
    </row>
    <row r="219" spans="3:5" s="53" customFormat="1" x14ac:dyDescent="0.25">
      <c r="C219" s="55"/>
      <c r="D219" s="55"/>
      <c r="E219" s="55"/>
    </row>
    <row r="220" spans="3:5" s="53" customFormat="1" x14ac:dyDescent="0.25">
      <c r="C220" s="55"/>
      <c r="D220" s="55"/>
      <c r="E220" s="55"/>
    </row>
    <row r="221" spans="3:5" s="53" customFormat="1" x14ac:dyDescent="0.25">
      <c r="C221" s="55"/>
      <c r="D221" s="55"/>
      <c r="E221" s="55"/>
    </row>
    <row r="222" spans="3:5" s="53" customFormat="1" x14ac:dyDescent="0.25">
      <c r="C222" s="55"/>
      <c r="D222" s="55"/>
      <c r="E222" s="55"/>
    </row>
    <row r="223" spans="3:5" s="53" customFormat="1" x14ac:dyDescent="0.25">
      <c r="C223" s="55"/>
      <c r="D223" s="55"/>
      <c r="E223" s="55"/>
    </row>
    <row r="224" spans="3:5" s="53" customFormat="1" x14ac:dyDescent="0.25">
      <c r="C224" s="55"/>
      <c r="D224" s="55"/>
      <c r="E224" s="55"/>
    </row>
    <row r="225" spans="3:5" s="53" customFormat="1" x14ac:dyDescent="0.25">
      <c r="C225" s="55"/>
      <c r="D225" s="55"/>
      <c r="E225" s="55"/>
    </row>
    <row r="226" spans="3:5" s="53" customFormat="1" x14ac:dyDescent="0.25">
      <c r="C226" s="55"/>
      <c r="D226" s="55"/>
      <c r="E226" s="55"/>
    </row>
    <row r="227" spans="3:5" s="53" customFormat="1" x14ac:dyDescent="0.25">
      <c r="C227" s="55"/>
      <c r="D227" s="55"/>
      <c r="E227" s="55"/>
    </row>
    <row r="228" spans="3:5" s="53" customFormat="1" x14ac:dyDescent="0.25">
      <c r="C228" s="55"/>
      <c r="D228" s="55"/>
      <c r="E228" s="55"/>
    </row>
    <row r="229" spans="3:5" s="53" customFormat="1" x14ac:dyDescent="0.25">
      <c r="C229" s="55"/>
      <c r="D229" s="55"/>
      <c r="E229" s="55"/>
    </row>
    <row r="230" spans="3:5" s="53" customFormat="1" x14ac:dyDescent="0.25">
      <c r="C230" s="55"/>
      <c r="D230" s="55"/>
      <c r="E230" s="55"/>
    </row>
    <row r="231" spans="3:5" s="53" customFormat="1" x14ac:dyDescent="0.25">
      <c r="C231" s="55"/>
      <c r="D231" s="55"/>
      <c r="E231" s="55"/>
    </row>
    <row r="232" spans="3:5" s="53" customFormat="1" x14ac:dyDescent="0.25">
      <c r="C232" s="55"/>
      <c r="D232" s="55"/>
      <c r="E232" s="55"/>
    </row>
    <row r="233" spans="3:5" s="53" customFormat="1" x14ac:dyDescent="0.25">
      <c r="C233" s="55"/>
      <c r="D233" s="55"/>
      <c r="E233" s="55"/>
    </row>
    <row r="234" spans="3:5" s="53" customFormat="1" x14ac:dyDescent="0.25">
      <c r="C234" s="55"/>
      <c r="D234" s="55"/>
      <c r="E234" s="55"/>
    </row>
    <row r="235" spans="3:5" s="53" customFormat="1" x14ac:dyDescent="0.25">
      <c r="C235" s="55"/>
      <c r="D235" s="55"/>
      <c r="E235" s="55"/>
    </row>
    <row r="236" spans="3:5" s="53" customFormat="1" x14ac:dyDescent="0.25">
      <c r="C236" s="55"/>
      <c r="D236" s="55"/>
      <c r="E236" s="55"/>
    </row>
    <row r="237" spans="3:5" s="53" customFormat="1" x14ac:dyDescent="0.25">
      <c r="C237" s="55"/>
      <c r="D237" s="55"/>
      <c r="E237" s="55"/>
    </row>
    <row r="238" spans="3:5" s="53" customFormat="1" x14ac:dyDescent="0.25">
      <c r="C238" s="55"/>
      <c r="D238" s="55"/>
      <c r="E238" s="55"/>
    </row>
    <row r="239" spans="3:5" s="53" customFormat="1" x14ac:dyDescent="0.25">
      <c r="C239" s="55"/>
      <c r="D239" s="55"/>
      <c r="E239" s="55"/>
    </row>
    <row r="240" spans="3:5" s="53" customFormat="1" x14ac:dyDescent="0.25">
      <c r="C240" s="55"/>
      <c r="D240" s="55"/>
      <c r="E240" s="55"/>
    </row>
    <row r="241" spans="3:5" s="53" customFormat="1" x14ac:dyDescent="0.25">
      <c r="C241" s="55"/>
      <c r="D241" s="55"/>
      <c r="E241" s="55"/>
    </row>
    <row r="242" spans="3:5" s="53" customFormat="1" x14ac:dyDescent="0.25">
      <c r="C242" s="55"/>
      <c r="D242" s="55"/>
      <c r="E242" s="55"/>
    </row>
    <row r="243" spans="3:5" s="53" customFormat="1" x14ac:dyDescent="0.25">
      <c r="C243" s="55"/>
      <c r="D243" s="55"/>
      <c r="E243" s="55"/>
    </row>
    <row r="244" spans="3:5" s="53" customFormat="1" x14ac:dyDescent="0.25">
      <c r="C244" s="55"/>
      <c r="D244" s="55"/>
      <c r="E244" s="55"/>
    </row>
    <row r="245" spans="3:5" s="53" customFormat="1" x14ac:dyDescent="0.25">
      <c r="C245" s="55"/>
      <c r="D245" s="55"/>
      <c r="E245" s="55"/>
    </row>
    <row r="246" spans="3:5" s="53" customFormat="1" x14ac:dyDescent="0.25">
      <c r="C246" s="55"/>
      <c r="D246" s="55"/>
      <c r="E246" s="55"/>
    </row>
    <row r="247" spans="3:5" s="53" customFormat="1" x14ac:dyDescent="0.25">
      <c r="C247" s="55"/>
      <c r="D247" s="55"/>
      <c r="E247" s="55"/>
    </row>
    <row r="248" spans="3:5" s="53" customFormat="1" x14ac:dyDescent="0.25">
      <c r="C248" s="55"/>
      <c r="D248" s="55"/>
      <c r="E248" s="55"/>
    </row>
    <row r="249" spans="3:5" s="53" customFormat="1" x14ac:dyDescent="0.25">
      <c r="C249" s="55"/>
      <c r="D249" s="55"/>
      <c r="E249" s="55"/>
    </row>
    <row r="250" spans="3:5" s="53" customFormat="1" x14ac:dyDescent="0.25">
      <c r="C250" s="55"/>
      <c r="D250" s="55"/>
      <c r="E250" s="55"/>
    </row>
    <row r="251" spans="3:5" s="53" customFormat="1" x14ac:dyDescent="0.25">
      <c r="C251" s="55"/>
      <c r="D251" s="55"/>
      <c r="E251" s="55"/>
    </row>
    <row r="252" spans="3:5" s="53" customFormat="1" x14ac:dyDescent="0.25">
      <c r="C252" s="55"/>
      <c r="D252" s="55"/>
      <c r="E252" s="55"/>
    </row>
    <row r="253" spans="3:5" s="53" customFormat="1" x14ac:dyDescent="0.25">
      <c r="C253" s="55"/>
      <c r="D253" s="55"/>
      <c r="E253" s="55"/>
    </row>
    <row r="254" spans="3:5" s="53" customFormat="1" x14ac:dyDescent="0.25">
      <c r="C254" s="55"/>
      <c r="D254" s="55"/>
      <c r="E254" s="55"/>
    </row>
    <row r="255" spans="3:5" s="53" customFormat="1" x14ac:dyDescent="0.25">
      <c r="C255" s="55"/>
      <c r="D255" s="55"/>
      <c r="E255" s="55"/>
    </row>
    <row r="256" spans="3:5" s="53" customFormat="1" x14ac:dyDescent="0.25">
      <c r="C256" s="55"/>
      <c r="D256" s="55"/>
      <c r="E256" s="55"/>
    </row>
    <row r="257" spans="3:5" s="53" customFormat="1" x14ac:dyDescent="0.25">
      <c r="C257" s="55"/>
      <c r="D257" s="55"/>
      <c r="E257" s="55"/>
    </row>
    <row r="258" spans="3:5" s="53" customFormat="1" x14ac:dyDescent="0.25">
      <c r="C258" s="55"/>
      <c r="D258" s="55"/>
      <c r="E258" s="55"/>
    </row>
    <row r="259" spans="3:5" s="53" customFormat="1" x14ac:dyDescent="0.25">
      <c r="C259" s="55"/>
      <c r="D259" s="55"/>
      <c r="E259" s="55"/>
    </row>
    <row r="260" spans="3:5" s="53" customFormat="1" x14ac:dyDescent="0.25">
      <c r="C260" s="55"/>
      <c r="D260" s="55"/>
      <c r="E260" s="55"/>
    </row>
    <row r="261" spans="3:5" s="53" customFormat="1" x14ac:dyDescent="0.25">
      <c r="C261" s="55"/>
      <c r="D261" s="55"/>
      <c r="E261" s="55"/>
    </row>
    <row r="262" spans="3:5" s="53" customFormat="1" x14ac:dyDescent="0.25">
      <c r="C262" s="55"/>
      <c r="D262" s="55"/>
      <c r="E262" s="55"/>
    </row>
    <row r="263" spans="3:5" s="53" customFormat="1" x14ac:dyDescent="0.25">
      <c r="C263" s="55"/>
      <c r="D263" s="55"/>
      <c r="E263" s="55"/>
    </row>
    <row r="264" spans="3:5" s="53" customFormat="1" x14ac:dyDescent="0.25">
      <c r="C264" s="55"/>
      <c r="D264" s="55"/>
      <c r="E264" s="55"/>
    </row>
    <row r="265" spans="3:5" s="53" customFormat="1" x14ac:dyDescent="0.25">
      <c r="C265" s="55"/>
      <c r="D265" s="55"/>
      <c r="E265" s="55"/>
    </row>
    <row r="266" spans="3:5" s="53" customFormat="1" x14ac:dyDescent="0.25">
      <c r="C266" s="55"/>
      <c r="D266" s="55"/>
      <c r="E266" s="55"/>
    </row>
    <row r="267" spans="3:5" s="53" customFormat="1" x14ac:dyDescent="0.25">
      <c r="C267" s="55"/>
      <c r="D267" s="55"/>
      <c r="E267" s="55"/>
    </row>
    <row r="268" spans="3:5" s="53" customFormat="1" x14ac:dyDescent="0.25">
      <c r="C268" s="55"/>
      <c r="D268" s="55"/>
      <c r="E268" s="55"/>
    </row>
    <row r="269" spans="3:5" s="53" customFormat="1" x14ac:dyDescent="0.25">
      <c r="C269" s="55"/>
      <c r="D269" s="55"/>
      <c r="E269" s="55"/>
    </row>
    <row r="270" spans="3:5" s="53" customFormat="1" x14ac:dyDescent="0.25">
      <c r="C270" s="55"/>
      <c r="D270" s="55"/>
      <c r="E270" s="55"/>
    </row>
    <row r="271" spans="3:5" s="53" customFormat="1" x14ac:dyDescent="0.25">
      <c r="C271" s="55"/>
      <c r="D271" s="55"/>
      <c r="E271" s="55"/>
    </row>
    <row r="272" spans="3:5" s="53" customFormat="1" x14ac:dyDescent="0.25">
      <c r="C272" s="55"/>
      <c r="D272" s="55"/>
      <c r="E272" s="55"/>
    </row>
    <row r="273" spans="3:5" s="53" customFormat="1" x14ac:dyDescent="0.25">
      <c r="C273" s="55"/>
      <c r="D273" s="55"/>
      <c r="E273" s="55"/>
    </row>
    <row r="274" spans="3:5" s="53" customFormat="1" x14ac:dyDescent="0.25">
      <c r="C274" s="55"/>
      <c r="D274" s="55"/>
      <c r="E274" s="55"/>
    </row>
    <row r="275" spans="3:5" s="53" customFormat="1" x14ac:dyDescent="0.25">
      <c r="C275" s="55"/>
      <c r="D275" s="55"/>
      <c r="E275" s="55"/>
    </row>
    <row r="276" spans="3:5" s="53" customFormat="1" x14ac:dyDescent="0.25">
      <c r="C276" s="55"/>
      <c r="D276" s="55"/>
      <c r="E276" s="55"/>
    </row>
    <row r="277" spans="3:5" s="53" customFormat="1" x14ac:dyDescent="0.25">
      <c r="C277" s="55"/>
      <c r="D277" s="55"/>
      <c r="E277" s="55"/>
    </row>
    <row r="278" spans="3:5" s="53" customFormat="1" x14ac:dyDescent="0.25">
      <c r="C278" s="55"/>
      <c r="D278" s="55"/>
      <c r="E278" s="55"/>
    </row>
    <row r="279" spans="3:5" s="53" customFormat="1" x14ac:dyDescent="0.25">
      <c r="C279" s="55"/>
      <c r="D279" s="55"/>
      <c r="E279" s="55"/>
    </row>
    <row r="280" spans="3:5" s="53" customFormat="1" x14ac:dyDescent="0.25">
      <c r="C280" s="55"/>
      <c r="D280" s="55"/>
      <c r="E280" s="55"/>
    </row>
    <row r="281" spans="3:5" s="53" customFormat="1" x14ac:dyDescent="0.25">
      <c r="C281" s="55"/>
      <c r="D281" s="55"/>
      <c r="E281" s="55"/>
    </row>
    <row r="282" spans="3:5" s="53" customFormat="1" x14ac:dyDescent="0.25">
      <c r="C282" s="55"/>
      <c r="D282" s="55"/>
      <c r="E282" s="55"/>
    </row>
    <row r="283" spans="3:5" s="53" customFormat="1" x14ac:dyDescent="0.25">
      <c r="C283" s="55"/>
      <c r="D283" s="55"/>
      <c r="E283" s="55"/>
    </row>
    <row r="284" spans="3:5" s="53" customFormat="1" x14ac:dyDescent="0.25">
      <c r="C284" s="55"/>
      <c r="D284" s="55"/>
      <c r="E284" s="55"/>
    </row>
    <row r="285" spans="3:5" s="53" customFormat="1" x14ac:dyDescent="0.25">
      <c r="C285" s="55"/>
      <c r="D285" s="55"/>
      <c r="E285" s="55"/>
    </row>
    <row r="286" spans="3:5" s="53" customFormat="1" x14ac:dyDescent="0.25">
      <c r="C286" s="55"/>
      <c r="D286" s="55"/>
      <c r="E286" s="55"/>
    </row>
    <row r="287" spans="3:5" s="53" customFormat="1" x14ac:dyDescent="0.25">
      <c r="C287" s="55"/>
      <c r="D287" s="55"/>
      <c r="E287" s="55"/>
    </row>
    <row r="288" spans="3:5" s="53" customFormat="1" x14ac:dyDescent="0.25">
      <c r="C288" s="55"/>
      <c r="D288" s="55"/>
      <c r="E288" s="55"/>
    </row>
    <row r="289" spans="3:5" s="53" customFormat="1" x14ac:dyDescent="0.25">
      <c r="C289" s="55"/>
      <c r="D289" s="55"/>
      <c r="E289" s="55"/>
    </row>
    <row r="290" spans="3:5" s="53" customFormat="1" x14ac:dyDescent="0.25">
      <c r="C290" s="55"/>
      <c r="D290" s="55"/>
      <c r="E290" s="55"/>
    </row>
    <row r="291" spans="3:5" s="53" customFormat="1" x14ac:dyDescent="0.25">
      <c r="C291" s="55"/>
      <c r="D291" s="55"/>
      <c r="E291" s="55"/>
    </row>
    <row r="292" spans="3:5" s="53" customFormat="1" x14ac:dyDescent="0.25">
      <c r="C292" s="55"/>
      <c r="D292" s="55"/>
      <c r="E292" s="55"/>
    </row>
    <row r="293" spans="3:5" s="53" customFormat="1" x14ac:dyDescent="0.25">
      <c r="C293" s="55"/>
      <c r="D293" s="55"/>
      <c r="E293" s="55"/>
    </row>
    <row r="294" spans="3:5" s="53" customFormat="1" x14ac:dyDescent="0.25">
      <c r="C294" s="55"/>
      <c r="D294" s="55"/>
      <c r="E294" s="55"/>
    </row>
    <row r="295" spans="3:5" s="53" customFormat="1" x14ac:dyDescent="0.25">
      <c r="C295" s="55"/>
      <c r="D295" s="55"/>
      <c r="E295" s="55"/>
    </row>
    <row r="296" spans="3:5" s="53" customFormat="1" x14ac:dyDescent="0.25">
      <c r="C296" s="55"/>
      <c r="D296" s="55"/>
      <c r="E296" s="55"/>
    </row>
    <row r="297" spans="3:5" s="53" customFormat="1" x14ac:dyDescent="0.25">
      <c r="C297" s="55"/>
      <c r="D297" s="55"/>
      <c r="E297" s="55"/>
    </row>
    <row r="298" spans="3:5" s="53" customFormat="1" x14ac:dyDescent="0.25">
      <c r="C298" s="55"/>
      <c r="D298" s="55"/>
      <c r="E298" s="55"/>
    </row>
    <row r="299" spans="3:5" s="53" customFormat="1" x14ac:dyDescent="0.25">
      <c r="C299" s="55"/>
      <c r="D299" s="55"/>
      <c r="E299" s="55"/>
    </row>
    <row r="300" spans="3:5" s="53" customFormat="1" x14ac:dyDescent="0.25">
      <c r="C300" s="55"/>
      <c r="D300" s="55"/>
      <c r="E300" s="55"/>
    </row>
    <row r="301" spans="3:5" s="53" customFormat="1" x14ac:dyDescent="0.25">
      <c r="C301" s="55"/>
      <c r="D301" s="55"/>
      <c r="E301" s="55"/>
    </row>
    <row r="302" spans="3:5" s="53" customFormat="1" x14ac:dyDescent="0.25">
      <c r="C302" s="55"/>
      <c r="D302" s="55"/>
      <c r="E302" s="55"/>
    </row>
    <row r="303" spans="3:5" s="53" customFormat="1" x14ac:dyDescent="0.25">
      <c r="C303" s="55"/>
      <c r="D303" s="55"/>
      <c r="E303" s="55"/>
    </row>
    <row r="304" spans="3:5" s="53" customFormat="1" x14ac:dyDescent="0.25">
      <c r="C304" s="55"/>
      <c r="D304" s="55"/>
      <c r="E304" s="55"/>
    </row>
    <row r="305" spans="3:5" s="53" customFormat="1" x14ac:dyDescent="0.25">
      <c r="C305" s="55"/>
      <c r="D305" s="55"/>
      <c r="E305" s="55"/>
    </row>
    <row r="306" spans="3:5" s="53" customFormat="1" x14ac:dyDescent="0.25">
      <c r="C306" s="55"/>
      <c r="D306" s="55"/>
      <c r="E306" s="55"/>
    </row>
    <row r="307" spans="3:5" s="53" customFormat="1" x14ac:dyDescent="0.25">
      <c r="C307" s="55"/>
      <c r="D307" s="55"/>
      <c r="E307" s="55"/>
    </row>
    <row r="308" spans="3:5" s="53" customFormat="1" x14ac:dyDescent="0.25">
      <c r="C308" s="55"/>
      <c r="D308" s="55"/>
      <c r="E308" s="55"/>
    </row>
    <row r="309" spans="3:5" s="53" customFormat="1" x14ac:dyDescent="0.25">
      <c r="C309" s="55"/>
      <c r="D309" s="55"/>
      <c r="E309" s="55"/>
    </row>
    <row r="310" spans="3:5" s="53" customFormat="1" x14ac:dyDescent="0.25">
      <c r="C310" s="55"/>
      <c r="D310" s="55"/>
      <c r="E310" s="55"/>
    </row>
    <row r="311" spans="3:5" s="53" customFormat="1" x14ac:dyDescent="0.25">
      <c r="C311" s="55"/>
      <c r="D311" s="55"/>
      <c r="E311" s="55"/>
    </row>
    <row r="312" spans="3:5" s="53" customFormat="1" x14ac:dyDescent="0.25">
      <c r="C312" s="55"/>
      <c r="D312" s="55"/>
      <c r="E312" s="55"/>
    </row>
    <row r="313" spans="3:5" s="53" customFormat="1" x14ac:dyDescent="0.25">
      <c r="C313" s="55"/>
      <c r="D313" s="55"/>
      <c r="E313" s="55"/>
    </row>
    <row r="314" spans="3:5" s="53" customFormat="1" x14ac:dyDescent="0.25">
      <c r="C314" s="55"/>
      <c r="D314" s="55"/>
      <c r="E314" s="55"/>
    </row>
    <row r="315" spans="3:5" s="53" customFormat="1" x14ac:dyDescent="0.25">
      <c r="C315" s="55"/>
      <c r="D315" s="55"/>
      <c r="E315" s="55"/>
    </row>
    <row r="316" spans="3:5" s="53" customFormat="1" x14ac:dyDescent="0.25">
      <c r="C316" s="55"/>
      <c r="D316" s="55"/>
      <c r="E316" s="55"/>
    </row>
    <row r="317" spans="3:5" s="53" customFormat="1" x14ac:dyDescent="0.25">
      <c r="C317" s="55"/>
      <c r="D317" s="55"/>
      <c r="E317" s="55"/>
    </row>
    <row r="318" spans="3:5" s="53" customFormat="1" x14ac:dyDescent="0.25">
      <c r="C318" s="55"/>
      <c r="D318" s="55"/>
      <c r="E318" s="55"/>
    </row>
    <row r="319" spans="3:5" s="53" customFormat="1" x14ac:dyDescent="0.25">
      <c r="C319" s="55"/>
      <c r="D319" s="55"/>
      <c r="E319" s="55"/>
    </row>
    <row r="320" spans="3:5" s="53" customFormat="1" x14ac:dyDescent="0.25">
      <c r="C320" s="55"/>
      <c r="D320" s="55"/>
      <c r="E320" s="55"/>
    </row>
    <row r="321" spans="3:5" s="53" customFormat="1" x14ac:dyDescent="0.25">
      <c r="C321" s="55"/>
      <c r="D321" s="55"/>
      <c r="E321" s="55"/>
    </row>
    <row r="322" spans="3:5" s="53" customFormat="1" x14ac:dyDescent="0.25">
      <c r="C322" s="55"/>
      <c r="D322" s="55"/>
      <c r="E322" s="55"/>
    </row>
    <row r="323" spans="3:5" s="53" customFormat="1" x14ac:dyDescent="0.25">
      <c r="C323" s="55"/>
      <c r="D323" s="55"/>
      <c r="E323" s="55"/>
    </row>
    <row r="324" spans="3:5" s="53" customFormat="1" x14ac:dyDescent="0.25">
      <c r="C324" s="55"/>
      <c r="D324" s="55"/>
      <c r="E324" s="55"/>
    </row>
  </sheetData>
  <mergeCells count="2">
    <mergeCell ref="A2:I2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R37"/>
  <sheetViews>
    <sheetView topLeftCell="A4" zoomScale="85" zoomScaleNormal="85" workbookViewId="0">
      <selection activeCell="D27" sqref="D27"/>
    </sheetView>
  </sheetViews>
  <sheetFormatPr defaultColWidth="8.875" defaultRowHeight="16.5" x14ac:dyDescent="0.3"/>
  <cols>
    <col min="1" max="2" width="18.5" style="14" customWidth="1"/>
    <col min="3" max="3" width="5.75" style="14" customWidth="1"/>
    <col min="4" max="4" width="18.5" style="14" customWidth="1"/>
    <col min="5" max="5" width="6.125" style="14" customWidth="1"/>
    <col min="6" max="6" width="18.5" style="14" customWidth="1"/>
    <col min="7" max="7" width="6.125" style="14" customWidth="1"/>
    <col min="8" max="8" width="18.5" style="14" customWidth="1"/>
    <col min="9" max="9" width="6.125" style="14" customWidth="1"/>
    <col min="10" max="10" width="18.5" style="14" customWidth="1"/>
    <col min="11" max="12" width="13" style="14" customWidth="1"/>
    <col min="13" max="13" width="17.5" style="14" bestFit="1" customWidth="1"/>
    <col min="14" max="14" width="16.75" style="14" bestFit="1" customWidth="1"/>
    <col min="15" max="15" width="12.375" style="14" bestFit="1" customWidth="1"/>
    <col min="16" max="16" width="16.5" style="14" bestFit="1" customWidth="1"/>
    <col min="17" max="17" width="13.125" style="14" customWidth="1"/>
    <col min="18" max="19" width="8.875" style="14"/>
    <col min="20" max="20" width="12.5" style="14" bestFit="1" customWidth="1"/>
    <col min="21" max="16384" width="8.875" style="14"/>
  </cols>
  <sheetData>
    <row r="3" spans="1:18" x14ac:dyDescent="0.3">
      <c r="M3" s="34" t="s">
        <v>32</v>
      </c>
    </row>
    <row r="4" spans="1:18" x14ac:dyDescent="0.3">
      <c r="A4" s="34" t="s">
        <v>36</v>
      </c>
      <c r="B4" s="34" t="s">
        <v>19</v>
      </c>
      <c r="C4" s="34"/>
      <c r="D4" s="34" t="s">
        <v>74</v>
      </c>
      <c r="E4" s="34"/>
      <c r="F4" s="34" t="s">
        <v>136</v>
      </c>
      <c r="G4" s="34"/>
      <c r="H4" s="34" t="s">
        <v>135</v>
      </c>
      <c r="I4" s="34"/>
      <c r="J4" s="34" t="s">
        <v>134</v>
      </c>
    </row>
    <row r="5" spans="1:18" x14ac:dyDescent="0.3">
      <c r="A5" s="32" t="s">
        <v>85</v>
      </c>
      <c r="B5" s="33" t="s">
        <v>105</v>
      </c>
      <c r="C5" s="33"/>
      <c r="D5" s="32" t="s">
        <v>89</v>
      </c>
      <c r="E5" s="32"/>
      <c r="F5" s="32" t="s">
        <v>98</v>
      </c>
      <c r="G5" s="32"/>
      <c r="H5" s="32" t="s">
        <v>100</v>
      </c>
      <c r="I5" s="32"/>
      <c r="J5" s="32" t="s">
        <v>96</v>
      </c>
    </row>
    <row r="6" spans="1:18" x14ac:dyDescent="0.3">
      <c r="A6" s="29"/>
      <c r="B6" s="30"/>
      <c r="C6" s="30"/>
      <c r="D6" s="32" t="s">
        <v>115</v>
      </c>
      <c r="E6" s="31"/>
      <c r="F6" s="30"/>
      <c r="G6" s="30"/>
      <c r="H6" s="30"/>
      <c r="I6" s="30"/>
    </row>
    <row r="7" spans="1:18" x14ac:dyDescent="0.3">
      <c r="A7" s="29"/>
    </row>
    <row r="8" spans="1:18" x14ac:dyDescent="0.3">
      <c r="N8" s="28" t="s">
        <v>133</v>
      </c>
      <c r="O8" s="28" t="s">
        <v>132</v>
      </c>
      <c r="P8" s="28" t="s">
        <v>131</v>
      </c>
      <c r="Q8" s="28" t="s">
        <v>130</v>
      </c>
    </row>
    <row r="9" spans="1:18" x14ac:dyDescent="0.3">
      <c r="A9" s="24" t="s">
        <v>129</v>
      </c>
      <c r="B9" s="23" t="s">
        <v>128</v>
      </c>
      <c r="C9" s="23" t="s">
        <v>127</v>
      </c>
      <c r="D9" s="22" t="s">
        <v>17</v>
      </c>
      <c r="E9" s="27" t="s">
        <v>115</v>
      </c>
      <c r="F9" s="27" t="s">
        <v>126</v>
      </c>
      <c r="G9" s="27" t="s">
        <v>98</v>
      </c>
      <c r="H9" s="22" t="s">
        <v>125</v>
      </c>
      <c r="I9" s="23" t="s">
        <v>89</v>
      </c>
      <c r="P9" s="22" t="s">
        <v>124</v>
      </c>
      <c r="Q9" s="22" t="s">
        <v>123</v>
      </c>
      <c r="R9" s="22" t="s">
        <v>122</v>
      </c>
    </row>
    <row r="10" spans="1:18" x14ac:dyDescent="0.3">
      <c r="A10" s="24" t="s">
        <v>79</v>
      </c>
      <c r="B10" s="22" t="s">
        <v>76</v>
      </c>
      <c r="C10" s="22" t="s">
        <v>85</v>
      </c>
      <c r="D10" s="22" t="s">
        <v>75</v>
      </c>
      <c r="E10" s="22" t="s">
        <v>85</v>
      </c>
      <c r="F10" s="22" t="s">
        <v>121</v>
      </c>
      <c r="G10" s="22" t="s">
        <v>100</v>
      </c>
      <c r="H10" s="22" t="s">
        <v>120</v>
      </c>
      <c r="I10" s="23" t="s">
        <v>105</v>
      </c>
      <c r="P10" s="22" t="s">
        <v>119</v>
      </c>
      <c r="Q10" s="22" t="s">
        <v>118</v>
      </c>
      <c r="R10" s="22" t="s">
        <v>117</v>
      </c>
    </row>
    <row r="11" spans="1:18" x14ac:dyDescent="0.3">
      <c r="A11" s="22" t="s">
        <v>116</v>
      </c>
      <c r="B11" s="22" t="s">
        <v>23</v>
      </c>
      <c r="C11" s="22" t="s">
        <v>105</v>
      </c>
      <c r="D11" s="22" t="s">
        <v>29</v>
      </c>
      <c r="E11" s="22" t="s">
        <v>115</v>
      </c>
      <c r="F11" s="22" t="s">
        <v>114</v>
      </c>
      <c r="G11" s="22" t="s">
        <v>98</v>
      </c>
      <c r="H11" s="22" t="s">
        <v>113</v>
      </c>
      <c r="I11" s="23" t="s">
        <v>100</v>
      </c>
      <c r="P11" s="22" t="s">
        <v>112</v>
      </c>
    </row>
    <row r="12" spans="1:18" x14ac:dyDescent="0.3">
      <c r="A12" s="24" t="s">
        <v>111</v>
      </c>
      <c r="B12" s="27" t="s">
        <v>53</v>
      </c>
      <c r="C12" s="27" t="s">
        <v>105</v>
      </c>
      <c r="D12" s="22" t="s">
        <v>110</v>
      </c>
      <c r="E12" s="22" t="s">
        <v>89</v>
      </c>
      <c r="F12" s="22" t="s">
        <v>109</v>
      </c>
      <c r="G12" s="22" t="s">
        <v>98</v>
      </c>
      <c r="H12" s="22" t="s">
        <v>108</v>
      </c>
      <c r="I12" s="23" t="s">
        <v>96</v>
      </c>
      <c r="P12" s="22" t="s">
        <v>107</v>
      </c>
    </row>
    <row r="13" spans="1:18" x14ac:dyDescent="0.3">
      <c r="A13" s="24" t="s">
        <v>106</v>
      </c>
      <c r="B13" s="22" t="s">
        <v>27</v>
      </c>
      <c r="C13" s="23" t="s">
        <v>105</v>
      </c>
      <c r="F13" s="22" t="s">
        <v>104</v>
      </c>
      <c r="G13" s="22" t="s">
        <v>98</v>
      </c>
      <c r="H13" s="26" t="s">
        <v>103</v>
      </c>
      <c r="I13" s="25" t="s">
        <v>96</v>
      </c>
      <c r="P13" s="27" t="s">
        <v>102</v>
      </c>
    </row>
    <row r="14" spans="1:18" x14ac:dyDescent="0.3">
      <c r="A14" s="22" t="s">
        <v>101</v>
      </c>
      <c r="B14" s="22" t="s">
        <v>34</v>
      </c>
      <c r="C14" s="23" t="s">
        <v>100</v>
      </c>
      <c r="F14" s="22" t="s">
        <v>99</v>
      </c>
      <c r="G14" s="22" t="s">
        <v>98</v>
      </c>
      <c r="H14" s="26" t="s">
        <v>97</v>
      </c>
      <c r="I14" s="25" t="s">
        <v>96</v>
      </c>
      <c r="P14" s="22" t="s">
        <v>95</v>
      </c>
    </row>
    <row r="15" spans="1:18" x14ac:dyDescent="0.3">
      <c r="A15" s="24" t="s">
        <v>94</v>
      </c>
      <c r="H15" s="22" t="s">
        <v>93</v>
      </c>
      <c r="I15" s="23" t="s">
        <v>89</v>
      </c>
      <c r="P15" s="23" t="s">
        <v>92</v>
      </c>
    </row>
    <row r="16" spans="1:18" x14ac:dyDescent="0.3">
      <c r="A16" s="24" t="s">
        <v>91</v>
      </c>
      <c r="H16" s="22" t="s">
        <v>90</v>
      </c>
      <c r="I16" s="23" t="s">
        <v>89</v>
      </c>
      <c r="P16" s="22" t="s">
        <v>88</v>
      </c>
    </row>
    <row r="17" spans="1:16" x14ac:dyDescent="0.3">
      <c r="A17" s="22" t="s">
        <v>87</v>
      </c>
      <c r="H17" s="22" t="s">
        <v>86</v>
      </c>
      <c r="I17" s="23" t="s">
        <v>85</v>
      </c>
      <c r="P17" s="22" t="s">
        <v>84</v>
      </c>
    </row>
    <row r="21" spans="1:16" x14ac:dyDescent="0.3">
      <c r="A21" s="21" t="s">
        <v>83</v>
      </c>
    </row>
    <row r="22" spans="1:16" x14ac:dyDescent="0.3">
      <c r="A22" s="21" t="s">
        <v>82</v>
      </c>
    </row>
    <row r="23" spans="1:16" x14ac:dyDescent="0.3">
      <c r="A23" s="21" t="s">
        <v>81</v>
      </c>
      <c r="M23" s="19"/>
    </row>
    <row r="24" spans="1:16" x14ac:dyDescent="0.3">
      <c r="A24" s="21" t="s">
        <v>80</v>
      </c>
    </row>
    <row r="25" spans="1:16" x14ac:dyDescent="0.3">
      <c r="A25" s="21" t="s">
        <v>79</v>
      </c>
      <c r="M25" s="18"/>
    </row>
    <row r="26" spans="1:16" x14ac:dyDescent="0.3">
      <c r="A26" s="20" t="s">
        <v>78</v>
      </c>
      <c r="M26" s="19"/>
    </row>
    <row r="27" spans="1:16" x14ac:dyDescent="0.3">
      <c r="M27" s="18"/>
    </row>
    <row r="28" spans="1:16" x14ac:dyDescent="0.3">
      <c r="M28" s="17"/>
    </row>
    <row r="37" spans="2:3" x14ac:dyDescent="0.3">
      <c r="B37" s="16"/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zoomScale="110" zoomScaleNormal="110" workbookViewId="0">
      <selection activeCell="H13" sqref="H13"/>
    </sheetView>
  </sheetViews>
  <sheetFormatPr defaultColWidth="8.875" defaultRowHeight="16.5" x14ac:dyDescent="0.3"/>
  <cols>
    <col min="1" max="1" width="44.375" style="1" customWidth="1"/>
    <col min="2" max="2" width="0.5" style="1" customWidth="1"/>
    <col min="3" max="3" width="13.75" style="404" customWidth="1"/>
    <col min="4" max="4" width="13.75" style="1" customWidth="1"/>
    <col min="5" max="5" width="18.5" style="403" customWidth="1"/>
    <col min="6" max="7" width="16.125" style="1" customWidth="1"/>
    <col min="8" max="8" width="15.75" style="1" customWidth="1"/>
    <col min="9" max="16384" width="8.875" style="1"/>
  </cols>
  <sheetData>
    <row r="1" spans="1:9" ht="27.75" x14ac:dyDescent="0.45">
      <c r="A1" s="448" t="s">
        <v>0</v>
      </c>
      <c r="B1" s="448"/>
    </row>
    <row r="2" spans="1:9" ht="21" x14ac:dyDescent="0.35">
      <c r="A2" s="2" t="s">
        <v>1</v>
      </c>
      <c r="B2" s="2"/>
    </row>
    <row r="3" spans="1:9" x14ac:dyDescent="0.3">
      <c r="A3" s="1" t="s">
        <v>705</v>
      </c>
    </row>
    <row r="5" spans="1:9" s="445" customFormat="1" ht="28.5" customHeight="1" x14ac:dyDescent="0.3">
      <c r="A5" s="447" t="s">
        <v>4</v>
      </c>
      <c r="B5" s="447" t="s">
        <v>704</v>
      </c>
      <c r="C5" s="446" t="s">
        <v>703</v>
      </c>
      <c r="D5" s="446" t="s">
        <v>702</v>
      </c>
      <c r="E5" s="560" t="s">
        <v>701</v>
      </c>
      <c r="F5" s="446" t="s">
        <v>700</v>
      </c>
      <c r="G5" s="446" t="s">
        <v>699</v>
      </c>
      <c r="H5" s="560" t="s">
        <v>858</v>
      </c>
      <c r="I5" s="446" t="s">
        <v>852</v>
      </c>
    </row>
    <row r="6" spans="1:9" x14ac:dyDescent="0.3">
      <c r="A6" s="435" t="s">
        <v>773</v>
      </c>
      <c r="B6" s="435"/>
      <c r="C6" s="546"/>
      <c r="D6" s="553">
        <v>45240000</v>
      </c>
      <c r="E6" s="412"/>
      <c r="F6" s="411"/>
      <c r="G6" s="682">
        <v>2</v>
      </c>
      <c r="H6" s="682" t="s">
        <v>859</v>
      </c>
      <c r="I6" s="411" t="s">
        <v>851</v>
      </c>
    </row>
    <row r="7" spans="1:9" x14ac:dyDescent="0.3">
      <c r="A7" s="439" t="s">
        <v>21</v>
      </c>
      <c r="B7" s="439"/>
      <c r="C7" s="550">
        <v>4500</v>
      </c>
      <c r="D7" s="438"/>
      <c r="E7" s="551"/>
      <c r="F7" s="430"/>
      <c r="G7" s="429">
        <v>6</v>
      </c>
      <c r="H7" s="682" t="s">
        <v>859</v>
      </c>
      <c r="I7" s="411" t="s">
        <v>853</v>
      </c>
    </row>
    <row r="8" spans="1:9" s="654" customFormat="1" x14ac:dyDescent="0.3">
      <c r="A8" s="683" t="s">
        <v>778</v>
      </c>
      <c r="B8" s="684"/>
      <c r="C8" s="685"/>
      <c r="D8" s="553">
        <v>72000000</v>
      </c>
      <c r="E8" s="686"/>
      <c r="F8" s="558"/>
      <c r="G8" s="559">
        <v>3</v>
      </c>
      <c r="H8" s="558" t="s">
        <v>859</v>
      </c>
      <c r="I8" s="687" t="s">
        <v>854</v>
      </c>
    </row>
    <row r="9" spans="1:9" x14ac:dyDescent="0.3">
      <c r="A9" s="428" t="s">
        <v>782</v>
      </c>
      <c r="B9" s="428"/>
      <c r="C9" s="546"/>
      <c r="D9" s="550">
        <v>60750000</v>
      </c>
      <c r="E9" s="453"/>
      <c r="F9" s="459"/>
      <c r="G9" s="462">
        <v>0</v>
      </c>
      <c r="H9" s="682" t="s">
        <v>857</v>
      </c>
      <c r="I9" s="548" t="s">
        <v>854</v>
      </c>
    </row>
    <row r="10" spans="1:9" s="654" customFormat="1" x14ac:dyDescent="0.3">
      <c r="A10" s="552" t="s">
        <v>31</v>
      </c>
      <c r="B10" s="552"/>
      <c r="C10" s="553">
        <v>4800</v>
      </c>
      <c r="D10" s="554"/>
      <c r="E10" s="557"/>
      <c r="F10" s="689"/>
      <c r="G10" s="689">
        <v>45</v>
      </c>
      <c r="H10" s="679" t="s">
        <v>856</v>
      </c>
      <c r="I10" s="688" t="s">
        <v>855</v>
      </c>
    </row>
    <row r="11" spans="1:9" s="690" customFormat="1" x14ac:dyDescent="0.3">
      <c r="A11" s="433" t="s">
        <v>786</v>
      </c>
      <c r="B11" s="433"/>
      <c r="C11" s="550">
        <v>9600</v>
      </c>
      <c r="D11" s="432"/>
      <c r="E11" s="431"/>
      <c r="F11" s="555"/>
      <c r="G11" s="556">
        <v>0</v>
      </c>
      <c r="H11" s="555" t="s">
        <v>857</v>
      </c>
      <c r="I11" s="680" t="s">
        <v>854</v>
      </c>
    </row>
    <row r="12" spans="1:9" s="654" customFormat="1" x14ac:dyDescent="0.3">
      <c r="A12" s="552" t="s">
        <v>791</v>
      </c>
      <c r="B12" s="552"/>
      <c r="C12" s="553">
        <v>14400</v>
      </c>
      <c r="D12" s="685"/>
      <c r="E12" s="557"/>
      <c r="F12" s="558"/>
      <c r="G12" s="559">
        <v>5</v>
      </c>
      <c r="H12" s="679" t="s">
        <v>859</v>
      </c>
      <c r="I12" s="687" t="s">
        <v>851</v>
      </c>
    </row>
    <row r="13" spans="1:9" s="690" customFormat="1" x14ac:dyDescent="0.3">
      <c r="A13" s="433" t="s">
        <v>67</v>
      </c>
      <c r="B13" s="433"/>
      <c r="C13" s="550">
        <v>5400</v>
      </c>
      <c r="D13" s="432"/>
      <c r="E13" s="454"/>
      <c r="F13" s="458"/>
      <c r="G13" s="461">
        <v>2</v>
      </c>
      <c r="H13" s="555" t="s">
        <v>859</v>
      </c>
      <c r="I13" s="681" t="s">
        <v>851</v>
      </c>
    </row>
    <row r="14" spans="1:9" x14ac:dyDescent="0.3">
      <c r="A14" s="428"/>
      <c r="B14" s="428"/>
      <c r="C14" s="451"/>
      <c r="D14" s="451"/>
      <c r="E14" s="453"/>
      <c r="F14" s="457"/>
      <c r="G14" s="457"/>
      <c r="H14" s="411"/>
      <c r="I14" s="549"/>
    </row>
    <row r="15" spans="1:9" x14ac:dyDescent="0.3">
      <c r="A15" s="433"/>
      <c r="B15" s="433"/>
      <c r="C15" s="432"/>
      <c r="D15" s="432"/>
      <c r="E15" s="412"/>
      <c r="F15" s="411"/>
      <c r="G15" s="411"/>
      <c r="H15" s="413"/>
      <c r="I15" s="548"/>
    </row>
    <row r="16" spans="1:9" x14ac:dyDescent="0.3">
      <c r="A16" s="433"/>
      <c r="B16" s="433"/>
      <c r="C16" s="432"/>
      <c r="D16" s="432"/>
      <c r="E16" s="431"/>
      <c r="F16" s="430"/>
      <c r="G16" s="429"/>
      <c r="H16" s="413"/>
      <c r="I16" s="547"/>
    </row>
    <row r="17" spans="1:9" x14ac:dyDescent="0.3">
      <c r="A17" s="441"/>
      <c r="B17" s="441"/>
      <c r="C17" s="440"/>
      <c r="D17" s="440"/>
      <c r="E17" s="444"/>
      <c r="F17" s="443"/>
      <c r="G17" s="442"/>
      <c r="H17" s="411"/>
      <c r="I17" s="411"/>
    </row>
    <row r="18" spans="1:9" x14ac:dyDescent="0.3">
      <c r="A18" s="441"/>
      <c r="B18" s="441"/>
      <c r="C18" s="440"/>
      <c r="D18" s="440"/>
      <c r="E18" s="412"/>
      <c r="F18" s="411"/>
      <c r="G18" s="411"/>
      <c r="H18" s="411"/>
      <c r="I18" s="411"/>
    </row>
    <row r="19" spans="1:9" x14ac:dyDescent="0.3">
      <c r="A19" s="433"/>
      <c r="B19" s="433"/>
      <c r="C19" s="432"/>
      <c r="D19" s="432"/>
      <c r="E19" s="454"/>
      <c r="F19" s="458"/>
      <c r="G19" s="461"/>
      <c r="H19" s="411"/>
      <c r="I19" s="411"/>
    </row>
    <row r="20" spans="1:9" x14ac:dyDescent="0.3">
      <c r="A20" s="441"/>
      <c r="B20" s="441"/>
      <c r="C20" s="440"/>
      <c r="D20" s="440"/>
      <c r="E20" s="412"/>
      <c r="F20" s="411"/>
      <c r="G20" s="411"/>
      <c r="H20" s="411"/>
      <c r="I20" s="411"/>
    </row>
    <row r="21" spans="1:9" x14ac:dyDescent="0.3">
      <c r="A21" s="433"/>
      <c r="B21" s="433"/>
      <c r="C21" s="432"/>
      <c r="D21" s="432"/>
      <c r="E21" s="455"/>
      <c r="F21" s="459"/>
      <c r="G21" s="462"/>
      <c r="H21" s="411"/>
      <c r="I21" s="411"/>
    </row>
    <row r="22" spans="1:9" x14ac:dyDescent="0.3">
      <c r="A22" s="433"/>
      <c r="B22" s="433"/>
      <c r="C22" s="432"/>
      <c r="D22" s="432"/>
      <c r="E22" s="431"/>
      <c r="F22" s="430"/>
      <c r="G22" s="429"/>
      <c r="H22" s="413"/>
      <c r="I22" s="411"/>
    </row>
    <row r="23" spans="1:9" x14ac:dyDescent="0.3">
      <c r="A23" s="433"/>
      <c r="B23" s="433"/>
      <c r="C23" s="432"/>
      <c r="D23" s="432"/>
      <c r="E23" s="412"/>
      <c r="F23" s="411"/>
      <c r="G23" s="411"/>
      <c r="H23" s="413"/>
      <c r="I23" s="411"/>
    </row>
    <row r="24" spans="1:9" x14ac:dyDescent="0.3">
      <c r="A24" s="435"/>
      <c r="B24" s="435"/>
      <c r="C24" s="434"/>
      <c r="D24" s="434"/>
      <c r="E24" s="412"/>
      <c r="F24" s="411"/>
      <c r="G24" s="411"/>
      <c r="H24" s="413"/>
      <c r="I24" s="411"/>
    </row>
    <row r="25" spans="1:9" x14ac:dyDescent="0.3">
      <c r="A25" s="439"/>
      <c r="B25" s="439"/>
      <c r="C25" s="438"/>
      <c r="D25" s="438"/>
      <c r="E25" s="412"/>
      <c r="F25" s="411"/>
      <c r="G25" s="411"/>
      <c r="H25" s="411"/>
      <c r="I25" s="411"/>
    </row>
    <row r="26" spans="1:9" x14ac:dyDescent="0.3">
      <c r="A26" s="435"/>
      <c r="B26" s="435"/>
      <c r="C26" s="434"/>
      <c r="D26" s="434"/>
      <c r="E26" s="412"/>
      <c r="F26" s="411"/>
      <c r="G26" s="411"/>
      <c r="H26" s="411"/>
      <c r="I26" s="411"/>
    </row>
    <row r="27" spans="1:9" x14ac:dyDescent="0.3">
      <c r="A27" s="433"/>
      <c r="B27" s="433"/>
      <c r="C27" s="432"/>
      <c r="D27" s="432"/>
      <c r="E27" s="412"/>
      <c r="F27" s="411"/>
      <c r="G27" s="411"/>
      <c r="H27" s="413"/>
      <c r="I27" s="411"/>
    </row>
    <row r="28" spans="1:9" x14ac:dyDescent="0.3">
      <c r="A28" s="441"/>
      <c r="B28" s="441"/>
      <c r="C28" s="440"/>
      <c r="D28" s="440"/>
      <c r="E28" s="456"/>
      <c r="F28" s="460"/>
      <c r="G28" s="463"/>
      <c r="H28" s="411"/>
      <c r="I28" s="411"/>
    </row>
    <row r="29" spans="1:9" x14ac:dyDescent="0.3">
      <c r="A29" s="441"/>
      <c r="B29" s="441"/>
      <c r="C29" s="440"/>
      <c r="D29" s="440"/>
      <c r="E29" s="414"/>
      <c r="F29" s="437"/>
      <c r="G29" s="436"/>
      <c r="H29" s="413"/>
      <c r="I29" s="411"/>
    </row>
    <row r="30" spans="1:9" x14ac:dyDescent="0.3">
      <c r="A30" s="433"/>
      <c r="B30" s="433"/>
      <c r="C30" s="432"/>
      <c r="D30" s="432"/>
      <c r="E30" s="414"/>
      <c r="F30" s="437"/>
      <c r="G30" s="436"/>
      <c r="H30" s="411"/>
      <c r="I30" s="411"/>
    </row>
    <row r="31" spans="1:9" x14ac:dyDescent="0.3">
      <c r="A31" s="433"/>
      <c r="B31" s="433"/>
      <c r="C31" s="432"/>
      <c r="D31" s="432"/>
      <c r="E31" s="412"/>
      <c r="F31" s="411"/>
      <c r="G31" s="411"/>
      <c r="H31" s="411"/>
      <c r="I31" s="411"/>
    </row>
    <row r="32" spans="1:9" x14ac:dyDescent="0.3">
      <c r="A32" s="441"/>
      <c r="B32" s="441"/>
      <c r="C32" s="440"/>
      <c r="D32" s="440"/>
      <c r="E32" s="412"/>
      <c r="F32" s="411"/>
      <c r="G32" s="411"/>
      <c r="H32" s="411"/>
      <c r="I32" s="411"/>
    </row>
    <row r="33" spans="1:11" x14ac:dyDescent="0.3">
      <c r="A33" s="435"/>
      <c r="B33" s="435"/>
      <c r="C33" s="434"/>
      <c r="D33" s="434"/>
      <c r="E33" s="414"/>
      <c r="F33" s="437"/>
      <c r="G33" s="436"/>
      <c r="H33" s="411"/>
      <c r="I33" s="411"/>
    </row>
    <row r="34" spans="1:11" x14ac:dyDescent="0.3">
      <c r="A34" s="435"/>
      <c r="B34" s="435"/>
      <c r="C34" s="434"/>
      <c r="D34" s="434"/>
      <c r="E34" s="412"/>
      <c r="F34" s="411"/>
      <c r="G34" s="411"/>
      <c r="H34" s="411"/>
      <c r="I34" s="411"/>
    </row>
    <row r="35" spans="1:11" x14ac:dyDescent="0.3">
      <c r="A35" s="439"/>
      <c r="B35" s="439"/>
      <c r="C35" s="438"/>
      <c r="D35" s="438"/>
      <c r="E35" s="455"/>
      <c r="F35" s="459"/>
      <c r="G35" s="462"/>
      <c r="H35" s="411"/>
      <c r="I35" s="411"/>
    </row>
    <row r="36" spans="1:11" x14ac:dyDescent="0.3">
      <c r="A36" s="428"/>
      <c r="B36" s="424"/>
      <c r="C36" s="427"/>
      <c r="D36" s="427"/>
      <c r="E36" s="412"/>
      <c r="F36" s="411"/>
      <c r="G36" s="411"/>
      <c r="H36" s="411"/>
      <c r="I36" s="411"/>
    </row>
    <row r="37" spans="1:11" x14ac:dyDescent="0.3">
      <c r="A37" s="428"/>
      <c r="B37" s="424"/>
      <c r="C37" s="427"/>
      <c r="D37" s="427"/>
      <c r="E37" s="412"/>
      <c r="F37" s="411"/>
      <c r="G37" s="411"/>
      <c r="H37" s="411"/>
      <c r="I37" s="411"/>
    </row>
    <row r="38" spans="1:11" x14ac:dyDescent="0.3">
      <c r="A38" s="428"/>
      <c r="B38" s="424"/>
      <c r="C38" s="427"/>
      <c r="D38" s="427"/>
      <c r="E38" s="412"/>
      <c r="F38" s="411"/>
      <c r="G38" s="411"/>
      <c r="H38" s="411"/>
      <c r="I38" s="411"/>
    </row>
    <row r="39" spans="1:11" x14ac:dyDescent="0.3">
      <c r="A39" s="428"/>
      <c r="B39" s="424"/>
      <c r="C39" s="427"/>
      <c r="D39" s="427"/>
      <c r="E39" s="412"/>
      <c r="F39" s="411"/>
      <c r="G39" s="411"/>
      <c r="H39" s="411"/>
      <c r="I39" s="411"/>
    </row>
    <row r="40" spans="1:11" x14ac:dyDescent="0.3">
      <c r="A40" s="428"/>
      <c r="B40" s="424"/>
      <c r="C40" s="427"/>
      <c r="D40" s="427"/>
      <c r="E40" s="412"/>
      <c r="F40" s="411"/>
      <c r="G40" s="411"/>
      <c r="H40" s="411"/>
      <c r="I40" s="411"/>
    </row>
    <row r="41" spans="1:11" x14ac:dyDescent="0.3">
      <c r="A41" s="428"/>
      <c r="B41" s="424"/>
      <c r="C41" s="427"/>
      <c r="D41" s="427"/>
      <c r="E41" s="412"/>
      <c r="F41" s="411"/>
      <c r="G41" s="411"/>
      <c r="H41" s="411"/>
      <c r="I41" s="411"/>
    </row>
    <row r="42" spans="1:11" x14ac:dyDescent="0.3">
      <c r="A42" s="428"/>
      <c r="B42" s="424"/>
      <c r="C42" s="427"/>
      <c r="D42" s="427"/>
      <c r="E42" s="412"/>
      <c r="F42" s="411"/>
      <c r="G42" s="411"/>
      <c r="H42" s="411"/>
      <c r="I42" s="411"/>
    </row>
    <row r="43" spans="1:11" x14ac:dyDescent="0.3">
      <c r="C43" s="426"/>
      <c r="D43" s="426"/>
      <c r="E43" s="412"/>
      <c r="F43" s="411"/>
      <c r="G43" s="411"/>
      <c r="H43" s="411"/>
      <c r="I43" s="411"/>
    </row>
    <row r="44" spans="1:11" x14ac:dyDescent="0.3">
      <c r="A44" s="425"/>
      <c r="B44" s="424"/>
      <c r="C44" s="423"/>
      <c r="D44" s="423"/>
      <c r="E44" s="422"/>
      <c r="F44" s="421"/>
      <c r="G44" s="421"/>
      <c r="H44" s="411"/>
      <c r="I44" s="411"/>
    </row>
    <row r="45" spans="1:11" ht="15" customHeight="1" x14ac:dyDescent="0.3">
      <c r="A45" s="449"/>
      <c r="B45" s="450"/>
      <c r="C45" s="452"/>
      <c r="D45" s="452"/>
      <c r="E45" s="454"/>
      <c r="F45" s="458"/>
      <c r="G45" s="461"/>
      <c r="H45" s="411"/>
      <c r="I45" s="411"/>
    </row>
    <row r="46" spans="1:11" x14ac:dyDescent="0.3">
      <c r="A46" s="404"/>
      <c r="B46" s="404"/>
      <c r="C46" s="405"/>
      <c r="D46" s="404"/>
      <c r="E46" s="406"/>
      <c r="F46" s="404"/>
      <c r="G46" s="404"/>
      <c r="H46" s="404"/>
    </row>
    <row r="47" spans="1:11" x14ac:dyDescent="0.3">
      <c r="A47" s="420" t="s">
        <v>698</v>
      </c>
      <c r="B47" s="420"/>
      <c r="C47" s="419">
        <f>SUM(C9:C46)</f>
        <v>34200</v>
      </c>
      <c r="D47" s="418">
        <f>SUM(D6:D10)</f>
        <v>177990000</v>
      </c>
      <c r="E47" s="406"/>
      <c r="F47" s="404"/>
      <c r="G47" s="404"/>
      <c r="H47" s="404"/>
      <c r="I47" s="403"/>
      <c r="J47" s="403"/>
      <c r="K47" s="403"/>
    </row>
    <row r="48" spans="1:11" s="411" customFormat="1" x14ac:dyDescent="0.3">
      <c r="A48" s="417"/>
      <c r="B48" s="417"/>
      <c r="C48" s="416"/>
      <c r="D48" s="415"/>
      <c r="E48" s="414"/>
      <c r="F48" s="413"/>
      <c r="G48" s="413"/>
      <c r="H48" s="413"/>
      <c r="I48" s="412"/>
      <c r="J48" s="412"/>
      <c r="K48" s="412"/>
    </row>
    <row r="49" spans="1:11" x14ac:dyDescent="0.3">
      <c r="A49" s="404" t="s">
        <v>697</v>
      </c>
      <c r="B49" s="404"/>
      <c r="C49" s="409"/>
      <c r="D49" s="410"/>
      <c r="E49" s="404"/>
      <c r="F49" s="404"/>
      <c r="G49" s="404"/>
      <c r="H49" s="404"/>
      <c r="I49" s="403"/>
      <c r="J49" s="403"/>
      <c r="K49" s="403"/>
    </row>
    <row r="50" spans="1:11" x14ac:dyDescent="0.3">
      <c r="A50" s="404" t="s">
        <v>696</v>
      </c>
      <c r="B50" s="404"/>
      <c r="C50" s="409"/>
      <c r="D50" s="409"/>
      <c r="E50" s="404"/>
      <c r="F50" s="404"/>
      <c r="H50" s="404"/>
      <c r="I50" s="403"/>
      <c r="J50" s="403"/>
      <c r="K50" s="403"/>
    </row>
    <row r="51" spans="1:11" x14ac:dyDescent="0.3">
      <c r="A51" s="408"/>
      <c r="B51" s="404"/>
      <c r="D51" s="404"/>
      <c r="E51" s="404"/>
      <c r="F51" s="404"/>
      <c r="G51" s="404"/>
      <c r="H51" s="404"/>
      <c r="I51" s="403"/>
      <c r="J51" s="403"/>
      <c r="K51" s="403"/>
    </row>
    <row r="52" spans="1:11" x14ac:dyDescent="0.3">
      <c r="A52" s="404"/>
      <c r="B52" s="404"/>
      <c r="D52" s="404"/>
      <c r="E52" s="404"/>
      <c r="F52" s="404"/>
      <c r="G52" s="404"/>
      <c r="H52" s="404"/>
      <c r="I52" s="403"/>
      <c r="J52" s="403"/>
      <c r="K52" s="403"/>
    </row>
    <row r="53" spans="1:11" x14ac:dyDescent="0.3">
      <c r="A53" s="404" t="s">
        <v>695</v>
      </c>
      <c r="B53" s="404"/>
      <c r="C53" s="407">
        <f>SUM(C50:D50)</f>
        <v>0</v>
      </c>
      <c r="D53" s="404"/>
      <c r="E53" s="404"/>
      <c r="F53" s="404"/>
      <c r="G53" s="404"/>
      <c r="H53" s="404"/>
      <c r="I53" s="403"/>
      <c r="J53" s="403"/>
      <c r="K53" s="403"/>
    </row>
    <row r="54" spans="1:11" x14ac:dyDescent="0.3">
      <c r="A54" s="404"/>
      <c r="B54" s="404"/>
      <c r="D54" s="404"/>
      <c r="E54" s="404"/>
      <c r="F54" s="406"/>
      <c r="G54" s="404"/>
      <c r="H54" s="404"/>
      <c r="I54" s="403"/>
      <c r="J54" s="403"/>
      <c r="K54" s="403"/>
    </row>
    <row r="55" spans="1:11" x14ac:dyDescent="0.3">
      <c r="A55" s="404" t="s">
        <v>694</v>
      </c>
      <c r="B55" s="404"/>
      <c r="C55" s="406"/>
      <c r="D55" s="404"/>
      <c r="E55" s="404"/>
      <c r="F55" s="404"/>
      <c r="G55" s="404"/>
      <c r="H55" s="404"/>
      <c r="I55" s="403"/>
      <c r="J55" s="403"/>
      <c r="K55" s="403"/>
    </row>
    <row r="56" spans="1:11" x14ac:dyDescent="0.3">
      <c r="A56" s="404" t="s">
        <v>693</v>
      </c>
      <c r="B56" s="1">
        <f>SUM(G9:G16,G24:G29)</f>
        <v>52</v>
      </c>
      <c r="C56" s="405"/>
    </row>
  </sheetData>
  <pageMargins left="0.7" right="0.7" top="0.75" bottom="0.75" header="0.3" footer="0.3"/>
  <pageSetup paperSize="9" orientation="portrait" r:id="rId1"/>
  <ignoredErrors>
    <ignoredError sqref="C7 D6:D7 C12:C13 C8:C11 D8:D10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97"/>
  <sheetViews>
    <sheetView topLeftCell="T1" zoomScale="91" zoomScaleNormal="91" workbookViewId="0">
      <selection activeCell="CL42" sqref="CL42"/>
    </sheetView>
  </sheetViews>
  <sheetFormatPr defaultColWidth="8" defaultRowHeight="16.5" x14ac:dyDescent="0.3"/>
  <cols>
    <col min="1" max="1" width="35.5" style="464" customWidth="1"/>
    <col min="2" max="2" width="7.125" style="464" customWidth="1"/>
    <col min="3" max="3" width="9.875" style="469" customWidth="1"/>
    <col min="4" max="4" width="8" style="464" hidden="1" customWidth="1"/>
    <col min="5" max="13" width="2.75" style="464" customWidth="1"/>
    <col min="14" max="14" width="2.75" style="468" customWidth="1"/>
    <col min="15" max="15" width="2.75" style="467" customWidth="1"/>
    <col min="16" max="124" width="2.75" style="466" customWidth="1"/>
    <col min="125" max="125" width="9.125" style="465" customWidth="1"/>
    <col min="126" max="127" width="9.5" style="465" customWidth="1"/>
    <col min="128" max="128" width="78.5" style="464" customWidth="1"/>
    <col min="129" max="16384" width="8" style="464"/>
  </cols>
  <sheetData>
    <row r="1" spans="1:136" ht="27.75" x14ac:dyDescent="0.45">
      <c r="A1" s="525" t="s">
        <v>0</v>
      </c>
      <c r="C1" s="526"/>
      <c r="D1" s="525"/>
      <c r="E1" s="525"/>
      <c r="F1" s="525"/>
      <c r="G1" s="525"/>
      <c r="H1" s="525"/>
      <c r="I1" s="525"/>
      <c r="J1" s="525"/>
      <c r="K1" s="525"/>
      <c r="L1" s="525"/>
      <c r="M1" s="525"/>
    </row>
    <row r="2" spans="1:136" ht="21" x14ac:dyDescent="0.35">
      <c r="A2" s="523" t="s">
        <v>1</v>
      </c>
      <c r="C2" s="524"/>
      <c r="D2" s="523"/>
      <c r="E2" s="523"/>
      <c r="F2" s="523"/>
      <c r="G2" s="523"/>
      <c r="H2" s="523"/>
      <c r="I2" s="523"/>
      <c r="J2" s="523"/>
      <c r="K2" s="523"/>
      <c r="L2" s="523"/>
      <c r="M2" s="523"/>
    </row>
    <row r="3" spans="1:136" ht="18" x14ac:dyDescent="0.35">
      <c r="A3" s="513" t="s">
        <v>764</v>
      </c>
    </row>
    <row r="4" spans="1:136" x14ac:dyDescent="0.3">
      <c r="A4" s="464" t="s">
        <v>763</v>
      </c>
      <c r="F4" s="464" t="s">
        <v>762</v>
      </c>
      <c r="I4" s="486" t="s">
        <v>168</v>
      </c>
      <c r="J4" s="495" t="s">
        <v>167</v>
      </c>
      <c r="K4" s="497" t="s">
        <v>166</v>
      </c>
      <c r="L4" s="485" t="s">
        <v>165</v>
      </c>
      <c r="M4" s="496" t="s">
        <v>164</v>
      </c>
      <c r="N4" s="491" t="s">
        <v>163</v>
      </c>
      <c r="O4" s="484" t="s">
        <v>162</v>
      </c>
      <c r="P4" s="490" t="s">
        <v>161</v>
      </c>
      <c r="Q4" s="492" t="s">
        <v>160</v>
      </c>
      <c r="R4" s="503" t="s">
        <v>159</v>
      </c>
      <c r="S4" s="522" t="s">
        <v>158</v>
      </c>
      <c r="T4" s="521" t="s">
        <v>157</v>
      </c>
      <c r="U4" s="464" t="s">
        <v>761</v>
      </c>
    </row>
    <row r="5" spans="1:136" x14ac:dyDescent="0.3">
      <c r="A5" s="464" t="s">
        <v>760</v>
      </c>
      <c r="I5" s="500"/>
      <c r="J5" s="500"/>
      <c r="K5" s="500"/>
      <c r="L5" s="519"/>
      <c r="M5" s="519"/>
      <c r="N5" s="519"/>
      <c r="O5" s="518"/>
      <c r="P5" s="500"/>
      <c r="Q5" s="500"/>
      <c r="R5" s="500"/>
      <c r="S5" s="500"/>
      <c r="T5" s="500"/>
      <c r="U5" s="517"/>
      <c r="V5" s="517"/>
    </row>
    <row r="6" spans="1:136" s="515" customFormat="1" x14ac:dyDescent="0.3">
      <c r="C6" s="520"/>
      <c r="I6" s="483"/>
      <c r="J6" s="464" t="s">
        <v>759</v>
      </c>
      <c r="K6" s="500"/>
      <c r="L6" s="519"/>
      <c r="M6" s="519"/>
      <c r="N6" s="519"/>
      <c r="O6" s="518"/>
      <c r="P6" s="500"/>
      <c r="Q6" s="500"/>
      <c r="R6" s="500"/>
      <c r="S6" s="500"/>
      <c r="T6" s="500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7"/>
      <c r="DU6" s="516"/>
      <c r="DV6" s="516"/>
      <c r="DW6" s="516"/>
    </row>
    <row r="7" spans="1:136" ht="18" x14ac:dyDescent="0.35">
      <c r="A7" s="513"/>
      <c r="C7" s="514"/>
      <c r="D7" s="513"/>
      <c r="E7" s="513"/>
      <c r="F7" s="513"/>
      <c r="G7" s="513"/>
      <c r="H7" s="513"/>
      <c r="I7" s="513"/>
      <c r="J7" s="513"/>
      <c r="K7" s="513"/>
      <c r="L7" s="513"/>
      <c r="M7" s="513"/>
    </row>
    <row r="8" spans="1:136" s="511" customFormat="1" ht="17.649999999999999" customHeight="1" x14ac:dyDescent="0.3">
      <c r="A8" s="800" t="s">
        <v>758</v>
      </c>
      <c r="B8" s="801" t="s">
        <v>757</v>
      </c>
      <c r="C8" s="803" t="s">
        <v>756</v>
      </c>
      <c r="D8" s="800" t="s">
        <v>6</v>
      </c>
      <c r="E8" s="800" t="s">
        <v>755</v>
      </c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/>
      <c r="Q8" s="800" t="s">
        <v>754</v>
      </c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/>
      <c r="AC8" s="800" t="s">
        <v>7</v>
      </c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/>
      <c r="AO8" s="800" t="s">
        <v>753</v>
      </c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/>
      <c r="BA8" s="800" t="s">
        <v>9</v>
      </c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/>
      <c r="BM8" s="800" t="s">
        <v>10</v>
      </c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/>
      <c r="BY8" s="800" t="s">
        <v>752</v>
      </c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/>
      <c r="CK8" s="800" t="s">
        <v>751</v>
      </c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/>
      <c r="CW8" s="800" t="s">
        <v>750</v>
      </c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/>
      <c r="DI8" s="800" t="s">
        <v>749</v>
      </c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0"/>
      <c r="DU8" s="803" t="s">
        <v>748</v>
      </c>
      <c r="DV8" s="801" t="s">
        <v>747</v>
      </c>
      <c r="DW8" s="801" t="s">
        <v>747</v>
      </c>
      <c r="DX8" s="800" t="s">
        <v>746</v>
      </c>
    </row>
    <row r="9" spans="1:136" s="510" customFormat="1" ht="13.5" customHeight="1" x14ac:dyDescent="0.3">
      <c r="A9" s="800"/>
      <c r="B9" s="802"/>
      <c r="C9" s="803"/>
      <c r="D9" s="800"/>
      <c r="E9" s="512">
        <v>1</v>
      </c>
      <c r="F9" s="512">
        <v>2</v>
      </c>
      <c r="G9" s="512">
        <v>3</v>
      </c>
      <c r="H9" s="512">
        <v>4</v>
      </c>
      <c r="I9" s="512">
        <v>5</v>
      </c>
      <c r="J9" s="512">
        <v>6</v>
      </c>
      <c r="K9" s="512">
        <v>7</v>
      </c>
      <c r="L9" s="512">
        <v>8</v>
      </c>
      <c r="M9" s="512">
        <v>9</v>
      </c>
      <c r="N9" s="512">
        <v>10</v>
      </c>
      <c r="O9" s="512">
        <v>11</v>
      </c>
      <c r="P9" s="512">
        <v>12</v>
      </c>
      <c r="Q9" s="512">
        <v>1</v>
      </c>
      <c r="R9" s="512">
        <v>2</v>
      </c>
      <c r="S9" s="512">
        <v>3</v>
      </c>
      <c r="T9" s="512">
        <v>4</v>
      </c>
      <c r="U9" s="512">
        <v>5</v>
      </c>
      <c r="V9" s="512">
        <v>6</v>
      </c>
      <c r="W9" s="512">
        <v>7</v>
      </c>
      <c r="X9" s="512">
        <v>8</v>
      </c>
      <c r="Y9" s="512">
        <v>9</v>
      </c>
      <c r="Z9" s="512">
        <v>10</v>
      </c>
      <c r="AA9" s="512">
        <v>11</v>
      </c>
      <c r="AB9" s="512">
        <v>12</v>
      </c>
      <c r="AC9" s="512">
        <v>1</v>
      </c>
      <c r="AD9" s="512">
        <v>2</v>
      </c>
      <c r="AE9" s="512">
        <v>3</v>
      </c>
      <c r="AF9" s="512">
        <v>4</v>
      </c>
      <c r="AG9" s="512">
        <v>5</v>
      </c>
      <c r="AH9" s="512">
        <v>6</v>
      </c>
      <c r="AI9" s="512">
        <v>7</v>
      </c>
      <c r="AJ9" s="512">
        <v>8</v>
      </c>
      <c r="AK9" s="512">
        <v>9</v>
      </c>
      <c r="AL9" s="512">
        <v>10</v>
      </c>
      <c r="AM9" s="512">
        <v>11</v>
      </c>
      <c r="AN9" s="512">
        <v>12</v>
      </c>
      <c r="AO9" s="512">
        <v>1</v>
      </c>
      <c r="AP9" s="512">
        <v>2</v>
      </c>
      <c r="AQ9" s="512">
        <v>3</v>
      </c>
      <c r="AR9" s="512">
        <v>4</v>
      </c>
      <c r="AS9" s="512">
        <v>5</v>
      </c>
      <c r="AT9" s="512">
        <v>6</v>
      </c>
      <c r="AU9" s="512">
        <v>7</v>
      </c>
      <c r="AV9" s="512">
        <v>8</v>
      </c>
      <c r="AW9" s="512">
        <v>9</v>
      </c>
      <c r="AX9" s="512">
        <v>10</v>
      </c>
      <c r="AY9" s="512">
        <v>11</v>
      </c>
      <c r="AZ9" s="512">
        <v>12</v>
      </c>
      <c r="BA9" s="512">
        <v>1</v>
      </c>
      <c r="BB9" s="512">
        <v>2</v>
      </c>
      <c r="BC9" s="512">
        <v>3</v>
      </c>
      <c r="BD9" s="512">
        <v>4</v>
      </c>
      <c r="BE9" s="512">
        <v>5</v>
      </c>
      <c r="BF9" s="512">
        <v>6</v>
      </c>
      <c r="BG9" s="512">
        <v>7</v>
      </c>
      <c r="BH9" s="512">
        <v>8</v>
      </c>
      <c r="BI9" s="512">
        <v>9</v>
      </c>
      <c r="BJ9" s="512">
        <v>10</v>
      </c>
      <c r="BK9" s="512">
        <v>11</v>
      </c>
      <c r="BL9" s="512">
        <v>12</v>
      </c>
      <c r="BM9" s="512">
        <v>1</v>
      </c>
      <c r="BN9" s="512">
        <v>2</v>
      </c>
      <c r="BO9" s="512">
        <v>3</v>
      </c>
      <c r="BP9" s="512">
        <v>4</v>
      </c>
      <c r="BQ9" s="512">
        <v>5</v>
      </c>
      <c r="BR9" s="512">
        <v>6</v>
      </c>
      <c r="BS9" s="512">
        <v>7</v>
      </c>
      <c r="BT9" s="512">
        <v>8</v>
      </c>
      <c r="BU9" s="512">
        <v>9</v>
      </c>
      <c r="BV9" s="512">
        <v>10</v>
      </c>
      <c r="BW9" s="512">
        <v>11</v>
      </c>
      <c r="BX9" s="512">
        <v>12</v>
      </c>
      <c r="BY9" s="512">
        <v>1</v>
      </c>
      <c r="BZ9" s="512">
        <v>2</v>
      </c>
      <c r="CA9" s="512">
        <v>3</v>
      </c>
      <c r="CB9" s="512">
        <v>4</v>
      </c>
      <c r="CC9" s="512">
        <v>5</v>
      </c>
      <c r="CD9" s="512">
        <v>6</v>
      </c>
      <c r="CE9" s="512">
        <v>7</v>
      </c>
      <c r="CF9" s="512">
        <v>8</v>
      </c>
      <c r="CG9" s="512">
        <v>9</v>
      </c>
      <c r="CH9" s="512">
        <v>10</v>
      </c>
      <c r="CI9" s="512">
        <v>11</v>
      </c>
      <c r="CJ9" s="512">
        <v>12</v>
      </c>
      <c r="CK9" s="512">
        <v>1</v>
      </c>
      <c r="CL9" s="512">
        <v>2</v>
      </c>
      <c r="CM9" s="512">
        <v>3</v>
      </c>
      <c r="CN9" s="512">
        <v>4</v>
      </c>
      <c r="CO9" s="512">
        <v>5</v>
      </c>
      <c r="CP9" s="512">
        <v>6</v>
      </c>
      <c r="CQ9" s="512">
        <v>7</v>
      </c>
      <c r="CR9" s="512">
        <v>8</v>
      </c>
      <c r="CS9" s="512">
        <v>9</v>
      </c>
      <c r="CT9" s="512">
        <v>10</v>
      </c>
      <c r="CU9" s="512">
        <v>11</v>
      </c>
      <c r="CV9" s="512">
        <v>12</v>
      </c>
      <c r="CW9" s="512">
        <v>1</v>
      </c>
      <c r="CX9" s="512">
        <v>2</v>
      </c>
      <c r="CY9" s="512">
        <v>3</v>
      </c>
      <c r="CZ9" s="512">
        <v>4</v>
      </c>
      <c r="DA9" s="512">
        <v>5</v>
      </c>
      <c r="DB9" s="512">
        <v>6</v>
      </c>
      <c r="DC9" s="512">
        <v>7</v>
      </c>
      <c r="DD9" s="512">
        <v>8</v>
      </c>
      <c r="DE9" s="512">
        <v>9</v>
      </c>
      <c r="DF9" s="512">
        <v>10</v>
      </c>
      <c r="DG9" s="512">
        <v>11</v>
      </c>
      <c r="DH9" s="512">
        <v>12</v>
      </c>
      <c r="DI9" s="512">
        <v>1</v>
      </c>
      <c r="DJ9" s="512">
        <v>2</v>
      </c>
      <c r="DK9" s="512">
        <v>3</v>
      </c>
      <c r="DL9" s="512">
        <v>4</v>
      </c>
      <c r="DM9" s="512">
        <v>5</v>
      </c>
      <c r="DN9" s="512">
        <v>6</v>
      </c>
      <c r="DO9" s="512">
        <v>7</v>
      </c>
      <c r="DP9" s="512">
        <v>8</v>
      </c>
      <c r="DQ9" s="512">
        <v>9</v>
      </c>
      <c r="DR9" s="512">
        <v>10</v>
      </c>
      <c r="DS9" s="512">
        <v>11</v>
      </c>
      <c r="DT9" s="512">
        <v>12</v>
      </c>
      <c r="DU9" s="803"/>
      <c r="DV9" s="802"/>
      <c r="DW9" s="802"/>
      <c r="DX9" s="800"/>
      <c r="DY9" s="511"/>
      <c r="DZ9" s="511"/>
      <c r="EA9" s="511"/>
      <c r="EB9" s="511"/>
      <c r="EC9" s="511"/>
      <c r="ED9" s="511"/>
      <c r="EE9" s="511"/>
      <c r="EF9" s="511"/>
    </row>
    <row r="10" spans="1:136" s="481" customFormat="1" ht="15.75" x14ac:dyDescent="0.35">
      <c r="A10" s="482" t="s">
        <v>15</v>
      </c>
      <c r="B10" s="474" t="s">
        <v>36</v>
      </c>
      <c r="C10" s="487"/>
      <c r="D10" s="472" t="s">
        <v>16</v>
      </c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3"/>
      <c r="AJ10" s="483"/>
      <c r="AK10" s="483"/>
      <c r="AL10" s="483"/>
      <c r="AM10" s="483"/>
      <c r="AN10" s="483"/>
      <c r="AO10" s="483"/>
      <c r="AP10" s="483"/>
      <c r="AQ10" s="483"/>
      <c r="AR10" s="483"/>
      <c r="AS10" s="483"/>
      <c r="AT10" s="483"/>
      <c r="AU10" s="483"/>
      <c r="AV10" s="483"/>
      <c r="AW10" s="483"/>
      <c r="AX10" s="483"/>
      <c r="AY10" s="483"/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70"/>
      <c r="BZ10" s="495" t="s">
        <v>167</v>
      </c>
      <c r="CA10" s="495" t="s">
        <v>167</v>
      </c>
      <c r="CB10" s="495" t="s">
        <v>167</v>
      </c>
      <c r="CC10" s="496" t="s">
        <v>164</v>
      </c>
      <c r="CD10" s="496" t="s">
        <v>164</v>
      </c>
      <c r="CE10" s="496" t="s">
        <v>164</v>
      </c>
      <c r="CF10" s="484" t="s">
        <v>162</v>
      </c>
      <c r="CG10" s="484" t="s">
        <v>162</v>
      </c>
      <c r="CH10" s="484" t="s">
        <v>162</v>
      </c>
      <c r="CI10" s="470"/>
      <c r="CJ10" s="470"/>
      <c r="CK10" s="470"/>
      <c r="CL10" s="470"/>
      <c r="CM10" s="470"/>
      <c r="CN10" s="470"/>
      <c r="CO10" s="470"/>
      <c r="CP10" s="470"/>
      <c r="CQ10" s="470"/>
      <c r="CR10" s="470"/>
      <c r="CS10" s="470"/>
      <c r="CT10" s="470"/>
      <c r="CU10" s="470"/>
      <c r="CV10" s="470"/>
      <c r="CW10" s="470"/>
      <c r="CX10" s="470"/>
      <c r="CY10" s="470"/>
      <c r="CZ10" s="470"/>
      <c r="DA10" s="470"/>
      <c r="DB10" s="470"/>
      <c r="DC10" s="470"/>
      <c r="DD10" s="470"/>
      <c r="DE10" s="470"/>
      <c r="DF10" s="470"/>
      <c r="DG10" s="470"/>
      <c r="DH10" s="470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83"/>
      <c r="DU10" s="472"/>
      <c r="DV10" s="472"/>
      <c r="DW10" s="472"/>
      <c r="DX10" s="489" t="s">
        <v>745</v>
      </c>
      <c r="DY10" s="479"/>
      <c r="DZ10" s="479"/>
      <c r="EA10" s="479"/>
      <c r="EB10" s="479"/>
      <c r="EC10" s="479"/>
      <c r="ED10" s="479"/>
      <c r="EE10" s="479"/>
      <c r="EF10" s="479"/>
    </row>
    <row r="11" spans="1:136" s="481" customFormat="1" ht="15.75" x14ac:dyDescent="0.35">
      <c r="A11" s="482" t="s">
        <v>61</v>
      </c>
      <c r="B11" s="474" t="s">
        <v>36</v>
      </c>
      <c r="C11" s="487"/>
      <c r="D11" s="472"/>
      <c r="E11" s="483"/>
      <c r="F11" s="483"/>
      <c r="G11" s="483"/>
      <c r="H11" s="483"/>
      <c r="I11" s="483"/>
      <c r="J11" s="483"/>
      <c r="K11" s="483"/>
      <c r="L11" s="483"/>
      <c r="M11" s="470"/>
      <c r="N11" s="470"/>
      <c r="O11" s="470"/>
      <c r="P11" s="470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70"/>
      <c r="CL11" s="470"/>
      <c r="CM11" s="470"/>
      <c r="CN11" s="470"/>
      <c r="CO11" s="470"/>
      <c r="CP11" s="470"/>
      <c r="CQ11" s="470"/>
      <c r="CR11" s="470"/>
      <c r="CS11" s="470"/>
      <c r="CT11" s="470"/>
      <c r="CU11" s="470"/>
      <c r="CV11" s="470"/>
      <c r="CW11" s="470"/>
      <c r="CX11" s="470"/>
      <c r="CY11" s="470"/>
      <c r="CZ11" s="470"/>
      <c r="DA11" s="470"/>
      <c r="DB11" s="470"/>
      <c r="DC11" s="470"/>
      <c r="DD11" s="470"/>
      <c r="DE11" s="470"/>
      <c r="DF11" s="470"/>
      <c r="DG11" s="470"/>
      <c r="DH11" s="470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72"/>
      <c r="DV11" s="472"/>
      <c r="DW11" s="472"/>
      <c r="DX11" s="471" t="s">
        <v>744</v>
      </c>
      <c r="DY11" s="479"/>
      <c r="DZ11" s="479"/>
      <c r="EA11" s="479"/>
      <c r="EB11" s="479"/>
      <c r="EC11" s="479"/>
      <c r="ED11" s="479"/>
      <c r="EE11" s="479"/>
      <c r="EF11" s="479"/>
    </row>
    <row r="12" spans="1:136" s="481" customFormat="1" ht="15.75" x14ac:dyDescent="0.35">
      <c r="A12" s="482" t="s">
        <v>17</v>
      </c>
      <c r="B12" s="474" t="s">
        <v>19</v>
      </c>
      <c r="C12" s="487"/>
      <c r="D12" s="472" t="s">
        <v>18</v>
      </c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6" t="s">
        <v>168</v>
      </c>
      <c r="R12" s="495" t="s">
        <v>167</v>
      </c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86" t="s">
        <v>168</v>
      </c>
      <c r="AD12" s="496" t="s">
        <v>164</v>
      </c>
      <c r="AE12" s="496" t="s">
        <v>164</v>
      </c>
      <c r="AF12" s="496" t="s">
        <v>164</v>
      </c>
      <c r="AG12" s="491" t="s">
        <v>163</v>
      </c>
      <c r="AH12" s="491" t="s">
        <v>163</v>
      </c>
      <c r="AI12" s="491" t="s">
        <v>163</v>
      </c>
      <c r="AJ12" s="490" t="s">
        <v>161</v>
      </c>
      <c r="AK12" s="492" t="s">
        <v>160</v>
      </c>
      <c r="AL12" s="470"/>
      <c r="AM12" s="470"/>
      <c r="AN12" s="470"/>
      <c r="AO12" s="483"/>
      <c r="AP12" s="483"/>
      <c r="AQ12" s="483"/>
      <c r="AR12" s="483"/>
      <c r="AS12" s="483"/>
      <c r="AT12" s="483"/>
      <c r="AU12" s="483"/>
      <c r="AV12" s="483"/>
      <c r="AW12" s="483"/>
      <c r="AX12" s="483"/>
      <c r="AY12" s="483"/>
      <c r="AZ12" s="483"/>
      <c r="BA12" s="483"/>
      <c r="BB12" s="483"/>
      <c r="BC12" s="483"/>
      <c r="BD12" s="483"/>
      <c r="BE12" s="483"/>
      <c r="BF12" s="483"/>
      <c r="BG12" s="483"/>
      <c r="BH12" s="483"/>
      <c r="BI12" s="483"/>
      <c r="BJ12" s="483"/>
      <c r="BK12" s="483"/>
      <c r="BL12" s="483"/>
      <c r="BM12" s="483"/>
      <c r="BN12" s="483"/>
      <c r="BO12" s="483"/>
      <c r="BP12" s="483"/>
      <c r="BQ12" s="483"/>
      <c r="BR12" s="483"/>
      <c r="BS12" s="483"/>
      <c r="BT12" s="483"/>
      <c r="BU12" s="483"/>
      <c r="BV12" s="483"/>
      <c r="BW12" s="483"/>
      <c r="BX12" s="483"/>
      <c r="BY12" s="483"/>
      <c r="BZ12" s="483"/>
      <c r="CA12" s="483"/>
      <c r="CB12" s="483"/>
      <c r="CC12" s="483"/>
      <c r="CD12" s="483"/>
      <c r="CE12" s="483"/>
      <c r="CF12" s="483"/>
      <c r="CG12" s="483"/>
      <c r="CH12" s="483"/>
      <c r="CI12" s="483"/>
      <c r="CJ12" s="483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83"/>
      <c r="DJ12" s="483"/>
      <c r="DK12" s="483"/>
      <c r="DL12" s="483"/>
      <c r="DM12" s="483"/>
      <c r="DN12" s="483"/>
      <c r="DO12" s="483"/>
      <c r="DP12" s="483"/>
      <c r="DQ12" s="483"/>
      <c r="DR12" s="483"/>
      <c r="DS12" s="483"/>
      <c r="DT12" s="483"/>
      <c r="DU12" s="472"/>
      <c r="DV12" s="472"/>
      <c r="DW12" s="472"/>
      <c r="DX12" s="471"/>
      <c r="DY12" s="479"/>
      <c r="DZ12" s="479"/>
      <c r="EA12" s="479"/>
      <c r="EB12" s="479"/>
      <c r="EC12" s="479"/>
      <c r="ED12" s="479"/>
      <c r="EE12" s="479"/>
      <c r="EF12" s="479"/>
    </row>
    <row r="13" spans="1:136" s="481" customFormat="1" ht="15.75" x14ac:dyDescent="0.35">
      <c r="A13" s="482" t="s">
        <v>743</v>
      </c>
      <c r="B13" s="474" t="s">
        <v>36</v>
      </c>
      <c r="C13" s="487"/>
      <c r="D13" s="472"/>
      <c r="E13" s="483"/>
      <c r="F13" s="483"/>
      <c r="G13" s="483"/>
      <c r="H13" s="483"/>
      <c r="I13" s="483"/>
      <c r="J13" s="483"/>
      <c r="K13" s="483"/>
      <c r="L13" s="483"/>
      <c r="M13" s="483"/>
      <c r="N13" s="483"/>
      <c r="O13" s="483"/>
      <c r="P13" s="483"/>
      <c r="Q13" s="470"/>
      <c r="R13" s="470"/>
      <c r="S13" s="497" t="s">
        <v>166</v>
      </c>
      <c r="T13" s="470"/>
      <c r="U13" s="470"/>
      <c r="V13" s="470"/>
      <c r="W13" s="470"/>
      <c r="X13" s="470"/>
      <c r="Y13" s="470"/>
      <c r="Z13" s="470"/>
      <c r="AA13" s="470"/>
      <c r="AB13" s="470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3"/>
      <c r="AP13" s="483"/>
      <c r="AQ13" s="483"/>
      <c r="AR13" s="483"/>
      <c r="AS13" s="483"/>
      <c r="AT13" s="483"/>
      <c r="AU13" s="483"/>
      <c r="AV13" s="483"/>
      <c r="AW13" s="483"/>
      <c r="AX13" s="483"/>
      <c r="AY13" s="483"/>
      <c r="AZ13" s="483"/>
      <c r="BA13" s="483"/>
      <c r="BB13" s="483"/>
      <c r="BC13" s="483"/>
      <c r="BD13" s="483"/>
      <c r="BE13" s="483"/>
      <c r="BF13" s="483"/>
      <c r="BG13" s="483"/>
      <c r="BH13" s="483"/>
      <c r="BI13" s="483"/>
      <c r="BJ13" s="483"/>
      <c r="BK13" s="483"/>
      <c r="BL13" s="483"/>
      <c r="BM13" s="483"/>
      <c r="BN13" s="483"/>
      <c r="BO13" s="483"/>
      <c r="BP13" s="483"/>
      <c r="BQ13" s="483"/>
      <c r="BR13" s="483"/>
      <c r="BS13" s="483"/>
      <c r="BT13" s="483"/>
      <c r="BU13" s="483"/>
      <c r="BV13" s="483"/>
      <c r="BW13" s="483"/>
      <c r="BX13" s="483"/>
      <c r="BY13" s="483"/>
      <c r="BZ13" s="483"/>
      <c r="CA13" s="483"/>
      <c r="CB13" s="483"/>
      <c r="CC13" s="483"/>
      <c r="CD13" s="483"/>
      <c r="CE13" s="483"/>
      <c r="CF13" s="483"/>
      <c r="CG13" s="483"/>
      <c r="CH13" s="483"/>
      <c r="CI13" s="483"/>
      <c r="CJ13" s="483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83"/>
      <c r="DJ13" s="483"/>
      <c r="DK13" s="483"/>
      <c r="DL13" s="483"/>
      <c r="DM13" s="483"/>
      <c r="DN13" s="483"/>
      <c r="DO13" s="483"/>
      <c r="DP13" s="483"/>
      <c r="DQ13" s="483"/>
      <c r="DR13" s="483"/>
      <c r="DS13" s="483"/>
      <c r="DT13" s="483"/>
      <c r="DU13" s="472"/>
      <c r="DV13" s="472"/>
      <c r="DW13" s="472"/>
      <c r="DX13" s="489" t="s">
        <v>741</v>
      </c>
      <c r="DY13" s="479"/>
      <c r="DZ13" s="479"/>
      <c r="EA13" s="479"/>
      <c r="EB13" s="479"/>
      <c r="EC13" s="479"/>
      <c r="ED13" s="479"/>
      <c r="EE13" s="479"/>
      <c r="EF13" s="479"/>
    </row>
    <row r="14" spans="1:136" s="481" customFormat="1" ht="15.75" x14ac:dyDescent="0.35">
      <c r="A14" s="482" t="s">
        <v>559</v>
      </c>
      <c r="B14" s="474" t="s">
        <v>672</v>
      </c>
      <c r="C14" s="487"/>
      <c r="D14" s="472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3"/>
      <c r="AJ14" s="483"/>
      <c r="AK14" s="483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3"/>
      <c r="AX14" s="483"/>
      <c r="AY14" s="483"/>
      <c r="AZ14" s="483"/>
      <c r="BA14" s="483"/>
      <c r="BB14" s="483"/>
      <c r="BC14" s="483"/>
      <c r="BD14" s="483"/>
      <c r="BE14" s="483"/>
      <c r="BF14" s="483"/>
      <c r="BG14" s="483"/>
      <c r="BH14" s="483"/>
      <c r="BI14" s="483"/>
      <c r="BJ14" s="483"/>
      <c r="BK14" s="483"/>
      <c r="BL14" s="483"/>
      <c r="BM14" s="483"/>
      <c r="BN14" s="483"/>
      <c r="BO14" s="483"/>
      <c r="BP14" s="483"/>
      <c r="BQ14" s="483"/>
      <c r="BR14" s="483"/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70"/>
      <c r="CL14" s="470"/>
      <c r="CM14" s="470"/>
      <c r="CN14" s="470"/>
      <c r="CO14" s="470"/>
      <c r="CP14" s="470"/>
      <c r="CQ14" s="470"/>
      <c r="CR14" s="470"/>
      <c r="CS14" s="470"/>
      <c r="CT14" s="470"/>
      <c r="CU14" s="470"/>
      <c r="CV14" s="470"/>
      <c r="CW14" s="470"/>
      <c r="CX14" s="470"/>
      <c r="CY14" s="470"/>
      <c r="CZ14" s="470"/>
      <c r="DA14" s="470"/>
      <c r="DB14" s="470"/>
      <c r="DC14" s="470"/>
      <c r="DD14" s="470"/>
      <c r="DE14" s="470"/>
      <c r="DF14" s="470"/>
      <c r="DG14" s="470"/>
      <c r="DH14" s="470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3"/>
      <c r="DU14" s="472"/>
      <c r="DV14" s="509" t="s">
        <v>166</v>
      </c>
      <c r="DW14" s="509"/>
      <c r="DX14" s="471" t="s">
        <v>742</v>
      </c>
      <c r="DY14" s="479"/>
      <c r="DZ14" s="479"/>
      <c r="EA14" s="479"/>
      <c r="EB14" s="479"/>
      <c r="EC14" s="479"/>
      <c r="ED14" s="479"/>
      <c r="EE14" s="479"/>
      <c r="EF14" s="479"/>
    </row>
    <row r="15" spans="1:136" s="481" customFormat="1" ht="15.75" x14ac:dyDescent="0.35">
      <c r="A15" s="482" t="s">
        <v>467</v>
      </c>
      <c r="B15" s="474" t="s">
        <v>36</v>
      </c>
      <c r="C15" s="487"/>
      <c r="D15" s="472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70"/>
      <c r="R15" s="470"/>
      <c r="S15" s="470"/>
      <c r="T15" s="470"/>
      <c r="U15" s="496" t="s">
        <v>164</v>
      </c>
      <c r="V15" s="470"/>
      <c r="W15" s="470"/>
      <c r="X15" s="470"/>
      <c r="Y15" s="470"/>
      <c r="Z15" s="470"/>
      <c r="AA15" s="470"/>
      <c r="AB15" s="470"/>
      <c r="AC15" s="483"/>
      <c r="AD15" s="483"/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70"/>
      <c r="CL15" s="470"/>
      <c r="CM15" s="470"/>
      <c r="CN15" s="470"/>
      <c r="CO15" s="470"/>
      <c r="CP15" s="470"/>
      <c r="CQ15" s="470"/>
      <c r="CR15" s="470"/>
      <c r="CS15" s="470"/>
      <c r="CT15" s="470"/>
      <c r="CU15" s="470"/>
      <c r="CV15" s="470"/>
      <c r="CW15" s="470"/>
      <c r="CX15" s="470"/>
      <c r="CY15" s="470"/>
      <c r="CZ15" s="470"/>
      <c r="DA15" s="470"/>
      <c r="DB15" s="470"/>
      <c r="DC15" s="470"/>
      <c r="DD15" s="470"/>
      <c r="DE15" s="470"/>
      <c r="DF15" s="470"/>
      <c r="DG15" s="470"/>
      <c r="DH15" s="470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72"/>
      <c r="DV15" s="472"/>
      <c r="DW15" s="472"/>
      <c r="DX15" s="489" t="s">
        <v>741</v>
      </c>
      <c r="DY15" s="479"/>
      <c r="DZ15" s="479"/>
      <c r="EA15" s="479"/>
      <c r="EB15" s="479"/>
      <c r="EC15" s="479"/>
      <c r="ED15" s="479"/>
      <c r="EE15" s="479"/>
      <c r="EF15" s="479"/>
    </row>
    <row r="16" spans="1:136" s="481" customFormat="1" ht="15.75" x14ac:dyDescent="0.35">
      <c r="A16" s="482" t="s">
        <v>740</v>
      </c>
      <c r="B16" s="474" t="s">
        <v>36</v>
      </c>
      <c r="C16" s="487"/>
      <c r="D16" s="472" t="s">
        <v>16</v>
      </c>
      <c r="E16" s="483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3"/>
      <c r="AJ16" s="483"/>
      <c r="AK16" s="483"/>
      <c r="AL16" s="483"/>
      <c r="AM16" s="483"/>
      <c r="AN16" s="483"/>
      <c r="AO16" s="486" t="s">
        <v>168</v>
      </c>
      <c r="AP16" s="486" t="s">
        <v>168</v>
      </c>
      <c r="AQ16" s="486" t="s">
        <v>168</v>
      </c>
      <c r="AR16" s="485" t="s">
        <v>165</v>
      </c>
      <c r="AS16" s="485" t="s">
        <v>165</v>
      </c>
      <c r="AT16" s="485" t="s">
        <v>165</v>
      </c>
      <c r="AU16" s="484" t="s">
        <v>162</v>
      </c>
      <c r="AV16" s="484" t="s">
        <v>162</v>
      </c>
      <c r="AW16" s="484" t="s">
        <v>162</v>
      </c>
      <c r="AX16" s="470"/>
      <c r="AY16" s="470"/>
      <c r="AZ16" s="470"/>
      <c r="BA16" s="483"/>
      <c r="BB16" s="483"/>
      <c r="BC16" s="483"/>
      <c r="BD16" s="483"/>
      <c r="BE16" s="483"/>
      <c r="BF16" s="483"/>
      <c r="BG16" s="483"/>
      <c r="BH16" s="483"/>
      <c r="BI16" s="483"/>
      <c r="BJ16" s="483"/>
      <c r="BK16" s="483"/>
      <c r="BL16" s="483"/>
      <c r="BM16" s="483"/>
      <c r="BN16" s="483"/>
      <c r="BO16" s="483"/>
      <c r="BP16" s="483"/>
      <c r="BQ16" s="483"/>
      <c r="BR16" s="483"/>
      <c r="BS16" s="483"/>
      <c r="BT16" s="483"/>
      <c r="BU16" s="483"/>
      <c r="BV16" s="483"/>
      <c r="BW16" s="483"/>
      <c r="BX16" s="483"/>
      <c r="BY16" s="483"/>
      <c r="BZ16" s="483"/>
      <c r="CA16" s="483"/>
      <c r="CB16" s="483"/>
      <c r="CC16" s="483"/>
      <c r="CD16" s="483"/>
      <c r="CE16" s="483"/>
      <c r="CF16" s="483"/>
      <c r="CG16" s="483"/>
      <c r="CH16" s="483"/>
      <c r="CI16" s="483"/>
      <c r="CJ16" s="483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83"/>
      <c r="DJ16" s="483"/>
      <c r="DK16" s="483"/>
      <c r="DL16" s="483"/>
      <c r="DM16" s="483"/>
      <c r="DN16" s="483"/>
      <c r="DO16" s="483"/>
      <c r="DP16" s="483"/>
      <c r="DQ16" s="483"/>
      <c r="DR16" s="483"/>
      <c r="DS16" s="483"/>
      <c r="DT16" s="483"/>
      <c r="DU16" s="472"/>
      <c r="DV16" s="472"/>
      <c r="DW16" s="472"/>
      <c r="DX16" s="471"/>
      <c r="DY16" s="479"/>
      <c r="DZ16" s="479"/>
      <c r="EA16" s="479"/>
      <c r="EB16" s="479"/>
      <c r="EC16" s="479"/>
      <c r="ED16" s="479"/>
      <c r="EE16" s="479"/>
      <c r="EF16" s="479"/>
    </row>
    <row r="17" spans="1:136" s="481" customFormat="1" ht="15.75" x14ac:dyDescent="0.35">
      <c r="A17" s="482" t="s">
        <v>739</v>
      </c>
      <c r="B17" s="474" t="s">
        <v>36</v>
      </c>
      <c r="C17" s="487"/>
      <c r="D17" s="472" t="s">
        <v>16</v>
      </c>
      <c r="E17" s="483"/>
      <c r="F17" s="483"/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3"/>
      <c r="T17" s="483"/>
      <c r="U17" s="483"/>
      <c r="V17" s="483"/>
      <c r="W17" s="483"/>
      <c r="X17" s="483"/>
      <c r="Y17" s="483"/>
      <c r="Z17" s="483"/>
      <c r="AA17" s="483"/>
      <c r="AB17" s="483"/>
      <c r="AC17" s="483"/>
      <c r="AD17" s="483"/>
      <c r="AE17" s="483"/>
      <c r="AF17" s="483"/>
      <c r="AG17" s="483"/>
      <c r="AH17" s="483"/>
      <c r="AI17" s="483"/>
      <c r="AJ17" s="483"/>
      <c r="AK17" s="483"/>
      <c r="AL17" s="483"/>
      <c r="AM17" s="483"/>
      <c r="AN17" s="483"/>
      <c r="AO17" s="486" t="s">
        <v>168</v>
      </c>
      <c r="AP17" s="486" t="s">
        <v>168</v>
      </c>
      <c r="AQ17" s="486" t="s">
        <v>168</v>
      </c>
      <c r="AR17" s="485" t="s">
        <v>165</v>
      </c>
      <c r="AS17" s="485" t="s">
        <v>165</v>
      </c>
      <c r="AT17" s="485" t="s">
        <v>165</v>
      </c>
      <c r="AU17" s="484" t="s">
        <v>162</v>
      </c>
      <c r="AV17" s="484" t="s">
        <v>162</v>
      </c>
      <c r="AW17" s="484" t="s">
        <v>162</v>
      </c>
      <c r="AX17" s="470"/>
      <c r="AY17" s="470"/>
      <c r="AZ17" s="470"/>
      <c r="BA17" s="483"/>
      <c r="BB17" s="483"/>
      <c r="BC17" s="483"/>
      <c r="BD17" s="483"/>
      <c r="BE17" s="483"/>
      <c r="BF17" s="483"/>
      <c r="BG17" s="483"/>
      <c r="BH17" s="483"/>
      <c r="BI17" s="483"/>
      <c r="BJ17" s="483"/>
      <c r="BK17" s="483"/>
      <c r="BL17" s="483"/>
      <c r="BM17" s="483"/>
      <c r="BN17" s="483"/>
      <c r="BO17" s="483"/>
      <c r="BP17" s="483"/>
      <c r="BQ17" s="483"/>
      <c r="BR17" s="483"/>
      <c r="BS17" s="483"/>
      <c r="BT17" s="483"/>
      <c r="BU17" s="483"/>
      <c r="BV17" s="483"/>
      <c r="BW17" s="483"/>
      <c r="BX17" s="483"/>
      <c r="BY17" s="483"/>
      <c r="BZ17" s="483"/>
      <c r="CA17" s="483"/>
      <c r="CB17" s="483"/>
      <c r="CC17" s="483"/>
      <c r="CD17" s="483"/>
      <c r="CE17" s="483"/>
      <c r="CF17" s="483"/>
      <c r="CG17" s="483"/>
      <c r="CH17" s="483"/>
      <c r="CI17" s="483"/>
      <c r="CJ17" s="483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83"/>
      <c r="DJ17" s="483"/>
      <c r="DK17" s="483"/>
      <c r="DL17" s="483"/>
      <c r="DM17" s="483"/>
      <c r="DN17" s="483"/>
      <c r="DO17" s="483"/>
      <c r="DP17" s="483"/>
      <c r="DQ17" s="483"/>
      <c r="DR17" s="483"/>
      <c r="DS17" s="483"/>
      <c r="DT17" s="483"/>
      <c r="DU17" s="472"/>
      <c r="DV17" s="472"/>
      <c r="DW17" s="472"/>
      <c r="DX17" s="471"/>
      <c r="DY17" s="479"/>
      <c r="DZ17" s="479"/>
      <c r="EA17" s="479"/>
      <c r="EB17" s="479"/>
      <c r="EC17" s="479"/>
      <c r="ED17" s="479"/>
      <c r="EE17" s="479"/>
      <c r="EF17" s="479"/>
    </row>
    <row r="18" spans="1:136" s="481" customFormat="1" ht="15.75" x14ac:dyDescent="0.35">
      <c r="A18" s="482" t="s">
        <v>21</v>
      </c>
      <c r="B18" s="474" t="s">
        <v>672</v>
      </c>
      <c r="C18" s="487"/>
      <c r="D18" s="472" t="s">
        <v>16</v>
      </c>
      <c r="E18" s="495" t="s">
        <v>167</v>
      </c>
      <c r="F18" s="495" t="s">
        <v>167</v>
      </c>
      <c r="G18" s="495" t="s">
        <v>167</v>
      </c>
      <c r="H18" s="485" t="s">
        <v>165</v>
      </c>
      <c r="I18" s="485" t="s">
        <v>165</v>
      </c>
      <c r="J18" s="485" t="s">
        <v>165</v>
      </c>
      <c r="K18" s="470"/>
      <c r="L18" s="470"/>
      <c r="M18" s="470"/>
      <c r="N18" s="470"/>
      <c r="O18" s="470"/>
      <c r="P18" s="470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70"/>
      <c r="AD18" s="470"/>
      <c r="AE18" s="470"/>
      <c r="AF18" s="485" t="s">
        <v>165</v>
      </c>
      <c r="AG18" s="485" t="s">
        <v>165</v>
      </c>
      <c r="AH18" s="485" t="s">
        <v>165</v>
      </c>
      <c r="AI18" s="470"/>
      <c r="AJ18" s="470"/>
      <c r="AK18" s="470"/>
      <c r="AL18" s="470"/>
      <c r="AM18" s="470"/>
      <c r="AN18" s="470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95" t="s">
        <v>167</v>
      </c>
      <c r="BB18" s="495" t="s">
        <v>167</v>
      </c>
      <c r="BC18" s="495" t="s">
        <v>167</v>
      </c>
      <c r="BD18" s="485" t="s">
        <v>165</v>
      </c>
      <c r="BE18" s="485" t="s">
        <v>165</v>
      </c>
      <c r="BF18" s="485" t="s">
        <v>165</v>
      </c>
      <c r="BG18" s="470"/>
      <c r="BH18" s="470"/>
      <c r="BI18" s="470"/>
      <c r="BJ18" s="470"/>
      <c r="BK18" s="470"/>
      <c r="BL18" s="470"/>
      <c r="BM18" s="495" t="s">
        <v>167</v>
      </c>
      <c r="BN18" s="495" t="s">
        <v>167</v>
      </c>
      <c r="BO18" s="495" t="s">
        <v>167</v>
      </c>
      <c r="BP18" s="485" t="s">
        <v>165</v>
      </c>
      <c r="BQ18" s="485" t="s">
        <v>165</v>
      </c>
      <c r="BR18" s="485" t="s">
        <v>165</v>
      </c>
      <c r="BS18" s="470"/>
      <c r="BT18" s="470"/>
      <c r="BU18" s="470"/>
      <c r="BV18" s="470"/>
      <c r="BW18" s="470"/>
      <c r="BX18" s="470"/>
      <c r="BY18" s="495" t="s">
        <v>167</v>
      </c>
      <c r="BZ18" s="495" t="s">
        <v>167</v>
      </c>
      <c r="CA18" s="495" t="s">
        <v>167</v>
      </c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83"/>
      <c r="DJ18" s="483"/>
      <c r="DK18" s="483"/>
      <c r="DL18" s="483"/>
      <c r="DM18" s="483"/>
      <c r="DN18" s="483"/>
      <c r="DO18" s="483"/>
      <c r="DP18" s="483"/>
      <c r="DQ18" s="483"/>
      <c r="DR18" s="483"/>
      <c r="DS18" s="483"/>
      <c r="DT18" s="483"/>
      <c r="DU18" s="472"/>
      <c r="DV18" s="472"/>
      <c r="DW18" s="472"/>
      <c r="DX18" s="489" t="s">
        <v>738</v>
      </c>
      <c r="DY18" s="479"/>
      <c r="DZ18" s="479"/>
      <c r="EA18" s="479"/>
      <c r="EB18" s="479"/>
      <c r="EC18" s="479"/>
      <c r="ED18" s="479"/>
      <c r="EE18" s="479"/>
      <c r="EF18" s="479"/>
    </row>
    <row r="19" spans="1:136" s="481" customFormat="1" ht="15.75" x14ac:dyDescent="0.35">
      <c r="A19" s="482" t="s">
        <v>43</v>
      </c>
      <c r="B19" s="474" t="s">
        <v>673</v>
      </c>
      <c r="C19" s="487"/>
      <c r="D19" s="472" t="s">
        <v>16</v>
      </c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3"/>
      <c r="AA19" s="483"/>
      <c r="AB19" s="483"/>
      <c r="AC19" s="470"/>
      <c r="AD19" s="470"/>
      <c r="AE19" s="496" t="s">
        <v>164</v>
      </c>
      <c r="AF19" s="496" t="s">
        <v>164</v>
      </c>
      <c r="AG19" s="491" t="s">
        <v>163</v>
      </c>
      <c r="AH19" s="484" t="s">
        <v>162</v>
      </c>
      <c r="AI19" s="490" t="s">
        <v>161</v>
      </c>
      <c r="AJ19" s="492" t="s">
        <v>160</v>
      </c>
      <c r="AK19" s="470"/>
      <c r="AL19" s="470"/>
      <c r="AM19" s="470"/>
      <c r="AN19" s="470"/>
      <c r="AO19" s="483"/>
      <c r="AP19" s="483"/>
      <c r="AQ19" s="483"/>
      <c r="AR19" s="483"/>
      <c r="AS19" s="483"/>
      <c r="AT19" s="483"/>
      <c r="AU19" s="483"/>
      <c r="AV19" s="483"/>
      <c r="AW19" s="483"/>
      <c r="AX19" s="483"/>
      <c r="AY19" s="483"/>
      <c r="AZ19" s="483"/>
      <c r="BA19" s="483"/>
      <c r="BB19" s="483"/>
      <c r="BC19" s="483"/>
      <c r="BD19" s="483"/>
      <c r="BE19" s="483"/>
      <c r="BF19" s="483"/>
      <c r="BG19" s="483"/>
      <c r="BH19" s="483"/>
      <c r="BI19" s="483"/>
      <c r="BJ19" s="483"/>
      <c r="BK19" s="483"/>
      <c r="BL19" s="483"/>
      <c r="BM19" s="483"/>
      <c r="BN19" s="483"/>
      <c r="BO19" s="483"/>
      <c r="BP19" s="483"/>
      <c r="BQ19" s="483"/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70"/>
      <c r="CL19" s="470"/>
      <c r="CM19" s="470"/>
      <c r="CN19" s="470"/>
      <c r="CO19" s="470"/>
      <c r="CP19" s="470"/>
      <c r="CQ19" s="470"/>
      <c r="CR19" s="470"/>
      <c r="CS19" s="470"/>
      <c r="CT19" s="470"/>
      <c r="CU19" s="470"/>
      <c r="CV19" s="470"/>
      <c r="CW19" s="470"/>
      <c r="CX19" s="470"/>
      <c r="CY19" s="470"/>
      <c r="CZ19" s="470"/>
      <c r="DA19" s="470"/>
      <c r="DB19" s="470"/>
      <c r="DC19" s="470"/>
      <c r="DD19" s="470"/>
      <c r="DE19" s="470"/>
      <c r="DF19" s="470"/>
      <c r="DG19" s="470"/>
      <c r="DH19" s="470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3"/>
      <c r="DU19" s="472"/>
      <c r="DV19" s="472"/>
      <c r="DW19" s="472"/>
      <c r="DX19" s="471"/>
      <c r="DY19" s="479"/>
      <c r="DZ19" s="479"/>
      <c r="EA19" s="479"/>
      <c r="EB19" s="479"/>
      <c r="EC19" s="479"/>
      <c r="ED19" s="479"/>
      <c r="EE19" s="479"/>
      <c r="EF19" s="479"/>
    </row>
    <row r="20" spans="1:136" s="481" customFormat="1" thickBot="1" x14ac:dyDescent="0.4">
      <c r="A20" s="482" t="s">
        <v>22</v>
      </c>
      <c r="B20" s="474" t="s">
        <v>673</v>
      </c>
      <c r="C20" s="487"/>
      <c r="D20" s="472" t="s">
        <v>16</v>
      </c>
      <c r="E20" s="497" t="s">
        <v>166</v>
      </c>
      <c r="F20" s="497" t="s">
        <v>166</v>
      </c>
      <c r="G20" s="497" t="s">
        <v>166</v>
      </c>
      <c r="H20" s="491" t="s">
        <v>163</v>
      </c>
      <c r="I20" s="491" t="s">
        <v>163</v>
      </c>
      <c r="J20" s="491" t="s">
        <v>163</v>
      </c>
      <c r="K20" s="492" t="s">
        <v>160</v>
      </c>
      <c r="L20" s="492" t="s">
        <v>160</v>
      </c>
      <c r="M20" s="492" t="s">
        <v>160</v>
      </c>
      <c r="N20" s="470"/>
      <c r="O20" s="470"/>
      <c r="P20" s="470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97" t="s">
        <v>166</v>
      </c>
      <c r="AD20" s="497" t="s">
        <v>166</v>
      </c>
      <c r="AE20" s="497" t="s">
        <v>166</v>
      </c>
      <c r="AF20" s="491" t="s">
        <v>163</v>
      </c>
      <c r="AG20" s="491" t="s">
        <v>163</v>
      </c>
      <c r="AH20" s="491" t="s">
        <v>163</v>
      </c>
      <c r="AI20" s="492" t="s">
        <v>160</v>
      </c>
      <c r="AJ20" s="492" t="s">
        <v>160</v>
      </c>
      <c r="AK20" s="492" t="s">
        <v>160</v>
      </c>
      <c r="AL20" s="470"/>
      <c r="AM20" s="470"/>
      <c r="AN20" s="470"/>
      <c r="AO20" s="483"/>
      <c r="AP20" s="483"/>
      <c r="AQ20" s="483"/>
      <c r="AR20" s="483"/>
      <c r="AS20" s="483"/>
      <c r="AT20" s="483"/>
      <c r="AU20" s="483"/>
      <c r="AV20" s="483"/>
      <c r="AW20" s="483"/>
      <c r="AX20" s="483"/>
      <c r="AY20" s="483"/>
      <c r="AZ20" s="483"/>
      <c r="BA20" s="497" t="s">
        <v>166</v>
      </c>
      <c r="BB20" s="497" t="s">
        <v>166</v>
      </c>
      <c r="BC20" s="497" t="s">
        <v>166</v>
      </c>
      <c r="BD20" s="491" t="s">
        <v>163</v>
      </c>
      <c r="BE20" s="491" t="s">
        <v>163</v>
      </c>
      <c r="BF20" s="491" t="s">
        <v>163</v>
      </c>
      <c r="BG20" s="492" t="s">
        <v>160</v>
      </c>
      <c r="BH20" s="492" t="s">
        <v>160</v>
      </c>
      <c r="BI20" s="492" t="s">
        <v>160</v>
      </c>
      <c r="BJ20" s="470"/>
      <c r="BK20" s="470"/>
      <c r="BL20" s="470"/>
      <c r="BM20" s="497" t="s">
        <v>166</v>
      </c>
      <c r="BN20" s="497" t="s">
        <v>166</v>
      </c>
      <c r="BO20" s="497" t="s">
        <v>166</v>
      </c>
      <c r="BP20" s="491" t="s">
        <v>163</v>
      </c>
      <c r="BQ20" s="491" t="s">
        <v>163</v>
      </c>
      <c r="BR20" s="491" t="s">
        <v>163</v>
      </c>
      <c r="BS20" s="492" t="s">
        <v>160</v>
      </c>
      <c r="BT20" s="492" t="s">
        <v>160</v>
      </c>
      <c r="BU20" s="492" t="s">
        <v>160</v>
      </c>
      <c r="BV20" s="470"/>
      <c r="BW20" s="470"/>
      <c r="BX20" s="470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70"/>
      <c r="CL20" s="470"/>
      <c r="CM20" s="470"/>
      <c r="CN20" s="470"/>
      <c r="CO20" s="470"/>
      <c r="CP20" s="470"/>
      <c r="CQ20" s="470"/>
      <c r="CR20" s="470"/>
      <c r="CS20" s="470"/>
      <c r="CT20" s="470"/>
      <c r="CU20" s="470"/>
      <c r="CV20" s="470"/>
      <c r="CW20" s="470"/>
      <c r="CX20" s="470"/>
      <c r="CY20" s="470"/>
      <c r="CZ20" s="470"/>
      <c r="DA20" s="470"/>
      <c r="DB20" s="470"/>
      <c r="DC20" s="470"/>
      <c r="DD20" s="470"/>
      <c r="DE20" s="470"/>
      <c r="DF20" s="470"/>
      <c r="DG20" s="470"/>
      <c r="DH20" s="470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509" t="s">
        <v>166</v>
      </c>
      <c r="DV20" s="472"/>
      <c r="DW20" s="472"/>
      <c r="DX20" s="471"/>
      <c r="DY20" s="479"/>
      <c r="DZ20" s="479"/>
      <c r="EA20" s="479"/>
      <c r="EB20" s="479"/>
      <c r="EC20" s="479"/>
      <c r="ED20" s="479"/>
      <c r="EE20" s="479"/>
      <c r="EF20" s="479"/>
    </row>
    <row r="21" spans="1:136" s="481" customFormat="1" ht="15.75" thickBot="1" x14ac:dyDescent="0.35">
      <c r="A21" s="482" t="s">
        <v>23</v>
      </c>
      <c r="B21" s="474" t="s">
        <v>19</v>
      </c>
      <c r="C21" s="487"/>
      <c r="D21" s="472" t="s">
        <v>18</v>
      </c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97" t="s">
        <v>166</v>
      </c>
      <c r="AD21" s="497" t="s">
        <v>166</v>
      </c>
      <c r="AE21" s="497" t="s">
        <v>166</v>
      </c>
      <c r="AF21" s="491" t="s">
        <v>163</v>
      </c>
      <c r="AG21" s="491" t="s">
        <v>163</v>
      </c>
      <c r="AH21" s="491" t="s">
        <v>163</v>
      </c>
      <c r="AI21" s="470"/>
      <c r="AJ21" s="470"/>
      <c r="AK21" s="470"/>
      <c r="AL21" s="470"/>
      <c r="AM21" s="470"/>
      <c r="AN21" s="470"/>
      <c r="AO21" s="483"/>
      <c r="AP21" s="483"/>
      <c r="AQ21" s="483"/>
      <c r="AR21" s="483"/>
      <c r="AS21" s="483"/>
      <c r="AT21" s="483"/>
      <c r="AU21" s="483"/>
      <c r="AV21" s="483"/>
      <c r="AW21" s="483"/>
      <c r="AX21" s="483"/>
      <c r="AY21" s="483"/>
      <c r="AZ21" s="483"/>
      <c r="BA21" s="497" t="s">
        <v>166</v>
      </c>
      <c r="BB21" s="497" t="s">
        <v>166</v>
      </c>
      <c r="BC21" s="497" t="s">
        <v>166</v>
      </c>
      <c r="BD21" s="491" t="s">
        <v>163</v>
      </c>
      <c r="BE21" s="491" t="s">
        <v>163</v>
      </c>
      <c r="BF21" s="491" t="s">
        <v>163</v>
      </c>
      <c r="BG21" s="470"/>
      <c r="BH21" s="470"/>
      <c r="BI21" s="470"/>
      <c r="BJ21" s="470"/>
      <c r="BK21" s="470"/>
      <c r="BL21" s="470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70"/>
      <c r="CL21" s="470"/>
      <c r="CM21" s="470"/>
      <c r="CN21" s="470"/>
      <c r="CO21" s="470"/>
      <c r="CP21" s="470"/>
      <c r="CQ21" s="470"/>
      <c r="CR21" s="470"/>
      <c r="CS21" s="470"/>
      <c r="CT21" s="470"/>
      <c r="CU21" s="470"/>
      <c r="CV21" s="470"/>
      <c r="CW21" s="470"/>
      <c r="CX21" s="470"/>
      <c r="CY21" s="470"/>
      <c r="CZ21" s="470"/>
      <c r="DA21" s="470"/>
      <c r="DB21" s="470"/>
      <c r="DC21" s="470"/>
      <c r="DD21" s="470"/>
      <c r="DE21" s="470"/>
      <c r="DF21" s="470"/>
      <c r="DG21" s="470"/>
      <c r="DH21" s="470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72"/>
      <c r="DV21" s="472"/>
      <c r="DW21" s="472"/>
      <c r="DX21" s="508" t="s">
        <v>737</v>
      </c>
      <c r="DY21" s="479"/>
      <c r="DZ21" s="479"/>
      <c r="EA21" s="479"/>
      <c r="EB21" s="479"/>
      <c r="EC21" s="479"/>
      <c r="ED21" s="479"/>
      <c r="EE21" s="479"/>
      <c r="EF21" s="479"/>
    </row>
    <row r="22" spans="1:136" s="481" customFormat="1" ht="15.75" x14ac:dyDescent="0.35">
      <c r="A22" s="482" t="s">
        <v>736</v>
      </c>
      <c r="B22" s="474" t="s">
        <v>672</v>
      </c>
      <c r="C22" s="487"/>
      <c r="D22" s="472" t="s">
        <v>16</v>
      </c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91" t="s">
        <v>163</v>
      </c>
      <c r="R22" s="491" t="s">
        <v>163</v>
      </c>
      <c r="S22" s="491" t="s">
        <v>163</v>
      </c>
      <c r="T22" s="491" t="s">
        <v>163</v>
      </c>
      <c r="U22" s="491" t="s">
        <v>163</v>
      </c>
      <c r="V22" s="490" t="s">
        <v>161</v>
      </c>
      <c r="W22" s="490" t="s">
        <v>161</v>
      </c>
      <c r="X22" s="470"/>
      <c r="Y22" s="470"/>
      <c r="Z22" s="470"/>
      <c r="AA22" s="470"/>
      <c r="AB22" s="470"/>
      <c r="AC22" s="483"/>
      <c r="AD22" s="483"/>
      <c r="AE22" s="483"/>
      <c r="AF22" s="483"/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3"/>
      <c r="BA22" s="483"/>
      <c r="BB22" s="483"/>
      <c r="BC22" s="483"/>
      <c r="BD22" s="483"/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70"/>
      <c r="CL22" s="470"/>
      <c r="CM22" s="470"/>
      <c r="CN22" s="470"/>
      <c r="CO22" s="470"/>
      <c r="CP22" s="470"/>
      <c r="CQ22" s="470"/>
      <c r="CR22" s="470"/>
      <c r="CS22" s="470"/>
      <c r="CT22" s="470"/>
      <c r="CU22" s="470"/>
      <c r="CV22" s="470"/>
      <c r="CW22" s="470"/>
      <c r="CX22" s="470"/>
      <c r="CY22" s="470"/>
      <c r="CZ22" s="470"/>
      <c r="DA22" s="470"/>
      <c r="DB22" s="470"/>
      <c r="DC22" s="470"/>
      <c r="DD22" s="470"/>
      <c r="DE22" s="470"/>
      <c r="DF22" s="470"/>
      <c r="DG22" s="470"/>
      <c r="DH22" s="470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3"/>
      <c r="DU22" s="472"/>
      <c r="DV22" s="472"/>
      <c r="DW22" s="472"/>
      <c r="DX22" s="489" t="s">
        <v>735</v>
      </c>
      <c r="DY22" s="479"/>
      <c r="DZ22" s="479"/>
      <c r="EA22" s="479"/>
      <c r="EB22" s="479"/>
      <c r="EC22" s="479"/>
      <c r="ED22" s="479"/>
      <c r="EE22" s="479"/>
      <c r="EF22" s="479"/>
    </row>
    <row r="23" spans="1:136" s="481" customFormat="1" ht="15.75" x14ac:dyDescent="0.35">
      <c r="A23" s="482" t="s">
        <v>26</v>
      </c>
      <c r="B23" s="474"/>
      <c r="C23" s="487"/>
      <c r="D23" s="472" t="s">
        <v>16</v>
      </c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0"/>
      <c r="AO23" s="473"/>
      <c r="AP23" s="473"/>
      <c r="AQ23" s="473"/>
      <c r="AR23" s="470"/>
      <c r="AS23" s="470"/>
      <c r="AT23" s="470"/>
      <c r="AU23" s="470"/>
      <c r="AV23" s="470"/>
      <c r="AW23" s="470"/>
      <c r="AX23" s="470"/>
      <c r="AY23" s="470"/>
      <c r="AZ23" s="470"/>
      <c r="BA23" s="483"/>
      <c r="BB23" s="483"/>
      <c r="BC23" s="483"/>
      <c r="BD23" s="483"/>
      <c r="BE23" s="483"/>
      <c r="BF23" s="483"/>
      <c r="BG23" s="483"/>
      <c r="BH23" s="483"/>
      <c r="BI23" s="483"/>
      <c r="BJ23" s="483"/>
      <c r="BK23" s="483"/>
      <c r="BL23" s="483"/>
      <c r="BM23" s="483"/>
      <c r="BN23" s="483"/>
      <c r="BO23" s="483"/>
      <c r="BP23" s="483"/>
      <c r="BQ23" s="483"/>
      <c r="BR23" s="483"/>
      <c r="BS23" s="483"/>
      <c r="BT23" s="483"/>
      <c r="BU23" s="483"/>
      <c r="BV23" s="483"/>
      <c r="BW23" s="483"/>
      <c r="BX23" s="483"/>
      <c r="BY23" s="483"/>
      <c r="BZ23" s="483"/>
      <c r="CA23" s="483"/>
      <c r="CB23" s="483"/>
      <c r="CC23" s="483"/>
      <c r="CD23" s="483"/>
      <c r="CE23" s="483"/>
      <c r="CF23" s="483"/>
      <c r="CG23" s="483"/>
      <c r="CH23" s="483"/>
      <c r="CI23" s="483"/>
      <c r="CJ23" s="483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83"/>
      <c r="DJ23" s="483"/>
      <c r="DK23" s="483"/>
      <c r="DL23" s="483"/>
      <c r="DM23" s="483"/>
      <c r="DN23" s="483"/>
      <c r="DO23" s="483"/>
      <c r="DP23" s="483"/>
      <c r="DQ23" s="483"/>
      <c r="DR23" s="483"/>
      <c r="DS23" s="483"/>
      <c r="DT23" s="483"/>
      <c r="DU23" s="472"/>
      <c r="DV23" s="472"/>
      <c r="DW23" s="472"/>
      <c r="DX23" s="489" t="s">
        <v>734</v>
      </c>
      <c r="DY23" s="479"/>
      <c r="DZ23" s="479"/>
      <c r="EA23" s="479"/>
      <c r="EB23" s="479"/>
      <c r="EC23" s="479"/>
      <c r="ED23" s="479"/>
      <c r="EE23" s="479"/>
      <c r="EF23" s="479"/>
    </row>
    <row r="24" spans="1:136" s="481" customFormat="1" ht="15.75" x14ac:dyDescent="0.35">
      <c r="A24" s="482" t="s">
        <v>53</v>
      </c>
      <c r="B24" s="474" t="s">
        <v>19</v>
      </c>
      <c r="C24" s="487"/>
      <c r="D24" s="472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90" t="s">
        <v>161</v>
      </c>
      <c r="AD24" s="490" t="s">
        <v>161</v>
      </c>
      <c r="AE24" s="490" t="s">
        <v>161</v>
      </c>
      <c r="AF24" s="490" t="s">
        <v>161</v>
      </c>
      <c r="AG24" s="490" t="s">
        <v>161</v>
      </c>
      <c r="AH24" s="490" t="s">
        <v>161</v>
      </c>
      <c r="AI24" s="470"/>
      <c r="AJ24" s="470"/>
      <c r="AK24" s="470"/>
      <c r="AL24" s="470"/>
      <c r="AM24" s="470"/>
      <c r="AN24" s="470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70"/>
      <c r="CL24" s="470"/>
      <c r="CM24" s="470"/>
      <c r="CN24" s="470"/>
      <c r="CO24" s="470"/>
      <c r="CP24" s="470"/>
      <c r="CQ24" s="470"/>
      <c r="CR24" s="470"/>
      <c r="CS24" s="470"/>
      <c r="CT24" s="470"/>
      <c r="CU24" s="470"/>
      <c r="CV24" s="470"/>
      <c r="CW24" s="470"/>
      <c r="CX24" s="470"/>
      <c r="CY24" s="470"/>
      <c r="CZ24" s="470"/>
      <c r="DA24" s="470"/>
      <c r="DB24" s="470"/>
      <c r="DC24" s="470"/>
      <c r="DD24" s="470"/>
      <c r="DE24" s="470"/>
      <c r="DF24" s="470"/>
      <c r="DG24" s="470"/>
      <c r="DH24" s="470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83"/>
      <c r="DU24" s="472"/>
      <c r="DV24" s="472"/>
      <c r="DW24" s="472"/>
      <c r="DX24" s="488" t="s">
        <v>733</v>
      </c>
      <c r="DY24" s="479"/>
      <c r="DZ24" s="479"/>
      <c r="EA24" s="479"/>
      <c r="EB24" s="479"/>
      <c r="EC24" s="479"/>
      <c r="ED24" s="479"/>
      <c r="EE24" s="479"/>
      <c r="EF24" s="479"/>
    </row>
    <row r="25" spans="1:136" s="481" customFormat="1" ht="15.75" x14ac:dyDescent="0.35">
      <c r="A25" s="482" t="s">
        <v>27</v>
      </c>
      <c r="B25" s="474" t="s">
        <v>19</v>
      </c>
      <c r="C25" s="487"/>
      <c r="D25" s="472" t="s">
        <v>18</v>
      </c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3"/>
      <c r="AJ25" s="483"/>
      <c r="AK25" s="483"/>
      <c r="AL25" s="483"/>
      <c r="AM25" s="483"/>
      <c r="AN25" s="483"/>
      <c r="AO25" s="483"/>
      <c r="AP25" s="483"/>
      <c r="AQ25" s="483"/>
      <c r="AR25" s="483"/>
      <c r="AS25" s="483"/>
      <c r="AT25" s="483"/>
      <c r="AU25" s="483"/>
      <c r="AV25" s="483"/>
      <c r="AW25" s="483"/>
      <c r="AX25" s="483"/>
      <c r="AY25" s="483"/>
      <c r="AZ25" s="483"/>
      <c r="BA25" s="491" t="s">
        <v>163</v>
      </c>
      <c r="BB25" s="491" t="s">
        <v>163</v>
      </c>
      <c r="BC25" s="491" t="s">
        <v>163</v>
      </c>
      <c r="BD25" s="491" t="s">
        <v>163</v>
      </c>
      <c r="BE25" s="491" t="s">
        <v>163</v>
      </c>
      <c r="BF25" s="491" t="s">
        <v>163</v>
      </c>
      <c r="BG25" s="470"/>
      <c r="BH25" s="470"/>
      <c r="BI25" s="470"/>
      <c r="BJ25" s="470"/>
      <c r="BK25" s="470"/>
      <c r="BL25" s="470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70"/>
      <c r="CL25" s="470"/>
      <c r="CM25" s="470"/>
      <c r="CN25" s="470"/>
      <c r="CO25" s="470"/>
      <c r="CP25" s="470"/>
      <c r="CQ25" s="470"/>
      <c r="CR25" s="470"/>
      <c r="CS25" s="470"/>
      <c r="CT25" s="470"/>
      <c r="CU25" s="470"/>
      <c r="CV25" s="470"/>
      <c r="CW25" s="470"/>
      <c r="CX25" s="470"/>
      <c r="CY25" s="470"/>
      <c r="CZ25" s="470"/>
      <c r="DA25" s="470"/>
      <c r="DB25" s="470"/>
      <c r="DC25" s="470"/>
      <c r="DD25" s="470"/>
      <c r="DE25" s="470"/>
      <c r="DF25" s="470"/>
      <c r="DG25" s="470"/>
      <c r="DH25" s="470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507" t="s">
        <v>165</v>
      </c>
      <c r="DV25" s="472"/>
      <c r="DW25" s="472"/>
      <c r="DX25" s="471"/>
      <c r="DY25" s="479"/>
      <c r="DZ25" s="479"/>
      <c r="EA25" s="479"/>
      <c r="EB25" s="479"/>
      <c r="EC25" s="479"/>
      <c r="ED25" s="479"/>
      <c r="EE25" s="479"/>
      <c r="EF25" s="479"/>
    </row>
    <row r="26" spans="1:136" s="481" customFormat="1" ht="15.75" x14ac:dyDescent="0.35">
      <c r="A26" s="482" t="s">
        <v>28</v>
      </c>
      <c r="B26" s="474" t="s">
        <v>672</v>
      </c>
      <c r="C26" s="487"/>
      <c r="D26" s="472" t="s">
        <v>16</v>
      </c>
      <c r="E26" s="470"/>
      <c r="F26" s="495" t="s">
        <v>167</v>
      </c>
      <c r="G26" s="497" t="s">
        <v>166</v>
      </c>
      <c r="H26" s="485" t="s">
        <v>165</v>
      </c>
      <c r="I26" s="496" t="s">
        <v>164</v>
      </c>
      <c r="J26" s="491" t="s">
        <v>163</v>
      </c>
      <c r="K26" s="484" t="s">
        <v>162</v>
      </c>
      <c r="L26" s="470"/>
      <c r="M26" s="492" t="s">
        <v>160</v>
      </c>
      <c r="N26" s="470"/>
      <c r="O26" s="470"/>
      <c r="P26" s="470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70"/>
      <c r="CL26" s="470"/>
      <c r="CM26" s="470"/>
      <c r="CN26" s="470"/>
      <c r="CO26" s="470"/>
      <c r="CP26" s="470"/>
      <c r="CQ26" s="470"/>
      <c r="CR26" s="470"/>
      <c r="CS26" s="470"/>
      <c r="CT26" s="470"/>
      <c r="CU26" s="470"/>
      <c r="CV26" s="470"/>
      <c r="CW26" s="470"/>
      <c r="CX26" s="470"/>
      <c r="CY26" s="470"/>
      <c r="CZ26" s="470"/>
      <c r="DA26" s="470"/>
      <c r="DB26" s="470"/>
      <c r="DC26" s="470"/>
      <c r="DD26" s="470"/>
      <c r="DE26" s="470"/>
      <c r="DF26" s="470"/>
      <c r="DG26" s="470"/>
      <c r="DH26" s="470"/>
      <c r="DI26" s="497" t="s">
        <v>166</v>
      </c>
      <c r="DJ26" s="497" t="s">
        <v>166</v>
      </c>
      <c r="DK26" s="497" t="s">
        <v>166</v>
      </c>
      <c r="DL26" s="497" t="s">
        <v>166</v>
      </c>
      <c r="DM26" s="470"/>
      <c r="DN26" s="470"/>
      <c r="DO26" s="470"/>
      <c r="DP26" s="470"/>
      <c r="DQ26" s="470"/>
      <c r="DR26" s="470"/>
      <c r="DS26" s="470"/>
      <c r="DT26" s="470"/>
      <c r="DU26" s="472"/>
      <c r="DV26" s="472"/>
      <c r="DW26" s="472"/>
      <c r="DX26" s="488" t="s">
        <v>732</v>
      </c>
      <c r="DY26" s="479"/>
      <c r="DZ26" s="479"/>
      <c r="EA26" s="479"/>
      <c r="EB26" s="479"/>
      <c r="EC26" s="479"/>
      <c r="ED26" s="479"/>
      <c r="EE26" s="479"/>
      <c r="EF26" s="479"/>
    </row>
    <row r="27" spans="1:136" s="481" customFormat="1" thickBot="1" x14ac:dyDescent="0.4">
      <c r="A27" s="482" t="s">
        <v>29</v>
      </c>
      <c r="B27" s="474" t="s">
        <v>19</v>
      </c>
      <c r="C27" s="487"/>
      <c r="D27" s="472" t="s">
        <v>16</v>
      </c>
      <c r="E27" s="495" t="s">
        <v>167</v>
      </c>
      <c r="F27" s="491" t="s">
        <v>163</v>
      </c>
      <c r="G27" s="491" t="s">
        <v>163</v>
      </c>
      <c r="H27" s="491" t="s">
        <v>163</v>
      </c>
      <c r="I27" s="470"/>
      <c r="J27" s="470"/>
      <c r="K27" s="470"/>
      <c r="L27" s="470"/>
      <c r="M27" s="470"/>
      <c r="N27" s="470"/>
      <c r="O27" s="470"/>
      <c r="P27" s="470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3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3"/>
      <c r="BA27" s="483"/>
      <c r="BB27" s="483"/>
      <c r="BC27" s="483"/>
      <c r="BD27" s="483"/>
      <c r="BE27" s="483"/>
      <c r="BF27" s="483"/>
      <c r="BG27" s="483"/>
      <c r="BH27" s="483"/>
      <c r="BI27" s="483"/>
      <c r="BJ27" s="483"/>
      <c r="BK27" s="483"/>
      <c r="BL27" s="483"/>
      <c r="BM27" s="483"/>
      <c r="BN27" s="483"/>
      <c r="BO27" s="483"/>
      <c r="BP27" s="483"/>
      <c r="BQ27" s="483"/>
      <c r="BR27" s="483"/>
      <c r="BS27" s="483"/>
      <c r="BT27" s="483"/>
      <c r="BU27" s="483"/>
      <c r="BV27" s="483"/>
      <c r="BW27" s="483"/>
      <c r="BX27" s="483"/>
      <c r="BY27" s="483"/>
      <c r="BZ27" s="483"/>
      <c r="CA27" s="483"/>
      <c r="CB27" s="483"/>
      <c r="CC27" s="483"/>
      <c r="CD27" s="483"/>
      <c r="CE27" s="483"/>
      <c r="CF27" s="483"/>
      <c r="CG27" s="483"/>
      <c r="CH27" s="483"/>
      <c r="CI27" s="483"/>
      <c r="CJ27" s="483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83"/>
      <c r="DJ27" s="483"/>
      <c r="DK27" s="483"/>
      <c r="DL27" s="483"/>
      <c r="DM27" s="483"/>
      <c r="DN27" s="483"/>
      <c r="DO27" s="483"/>
      <c r="DP27" s="483"/>
      <c r="DQ27" s="483"/>
      <c r="DR27" s="483"/>
      <c r="DS27" s="483"/>
      <c r="DT27" s="483"/>
      <c r="DU27" s="472"/>
      <c r="DV27" s="472"/>
      <c r="DW27" s="472"/>
      <c r="DX27" s="471"/>
      <c r="DY27" s="479"/>
      <c r="DZ27" s="479"/>
      <c r="EA27" s="479"/>
      <c r="EB27" s="479"/>
      <c r="EC27" s="479"/>
      <c r="ED27" s="479"/>
      <c r="EE27" s="479"/>
      <c r="EF27" s="479"/>
    </row>
    <row r="28" spans="1:136" s="481" customFormat="1" thickBot="1" x14ac:dyDescent="0.4">
      <c r="A28" s="506" t="s">
        <v>731</v>
      </c>
      <c r="B28" s="474" t="s">
        <v>32</v>
      </c>
      <c r="C28" s="487"/>
      <c r="D28" s="472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505"/>
      <c r="T28" s="483"/>
      <c r="U28" s="483"/>
      <c r="V28" s="483"/>
      <c r="W28" s="483"/>
      <c r="X28" s="483"/>
      <c r="Y28" s="483"/>
      <c r="Z28" s="483"/>
      <c r="AA28" s="483"/>
      <c r="AB28" s="483"/>
      <c r="AC28" s="483"/>
      <c r="AD28" s="483"/>
      <c r="AE28" s="483"/>
      <c r="AF28" s="483"/>
      <c r="AG28" s="483"/>
      <c r="AH28" s="483"/>
      <c r="AI28" s="483"/>
      <c r="AJ28" s="483"/>
      <c r="AK28" s="483"/>
      <c r="AL28" s="483"/>
      <c r="AM28" s="483"/>
      <c r="AN28" s="483"/>
      <c r="AO28" s="483"/>
      <c r="AP28" s="483"/>
      <c r="AQ28" s="483"/>
      <c r="AR28" s="483"/>
      <c r="AS28" s="483"/>
      <c r="AT28" s="483"/>
      <c r="AU28" s="483"/>
      <c r="AV28" s="483"/>
      <c r="AW28" s="483"/>
      <c r="AX28" s="483"/>
      <c r="AY28" s="483"/>
      <c r="AZ28" s="483"/>
      <c r="BA28" s="483"/>
      <c r="BB28" s="483"/>
      <c r="BC28" s="483"/>
      <c r="BD28" s="483"/>
      <c r="BE28" s="483"/>
      <c r="BF28" s="483"/>
      <c r="BG28" s="483"/>
      <c r="BH28" s="483"/>
      <c r="BI28" s="483"/>
      <c r="BJ28" s="483"/>
      <c r="BK28" s="483"/>
      <c r="BL28" s="483"/>
      <c r="BM28" s="483"/>
      <c r="BN28" s="483"/>
      <c r="BO28" s="483"/>
      <c r="BP28" s="483"/>
      <c r="BQ28" s="483"/>
      <c r="BR28" s="483"/>
      <c r="BS28" s="483"/>
      <c r="BT28" s="483"/>
      <c r="BU28" s="483"/>
      <c r="BV28" s="483"/>
      <c r="BW28" s="483"/>
      <c r="BX28" s="483"/>
      <c r="BY28" s="483"/>
      <c r="BZ28" s="483"/>
      <c r="CA28" s="483"/>
      <c r="CB28" s="483"/>
      <c r="CC28" s="483"/>
      <c r="CD28" s="483"/>
      <c r="CE28" s="483"/>
      <c r="CF28" s="483"/>
      <c r="CG28" s="483"/>
      <c r="CH28" s="483"/>
      <c r="CI28" s="483"/>
      <c r="CJ28" s="483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83"/>
      <c r="DJ28" s="483"/>
      <c r="DK28" s="483"/>
      <c r="DL28" s="483"/>
      <c r="DM28" s="483"/>
      <c r="DN28" s="483"/>
      <c r="DO28" s="483"/>
      <c r="DP28" s="483"/>
      <c r="DQ28" s="483"/>
      <c r="DR28" s="483"/>
      <c r="DS28" s="483"/>
      <c r="DT28" s="483"/>
      <c r="DU28" s="472"/>
      <c r="DV28" s="492" t="s">
        <v>160</v>
      </c>
      <c r="DX28" s="498" t="s">
        <v>730</v>
      </c>
      <c r="DY28" s="479"/>
      <c r="DZ28" s="479"/>
      <c r="EA28" s="479"/>
      <c r="EB28" s="479"/>
      <c r="EC28" s="479"/>
      <c r="ED28" s="479"/>
      <c r="EE28" s="479"/>
      <c r="EF28" s="479"/>
    </row>
    <row r="29" spans="1:136" s="481" customFormat="1" ht="15.75" x14ac:dyDescent="0.35">
      <c r="A29" s="482" t="s">
        <v>729</v>
      </c>
      <c r="B29" s="474" t="s">
        <v>673</v>
      </c>
      <c r="C29" s="487"/>
      <c r="D29" s="472" t="s">
        <v>16</v>
      </c>
      <c r="E29" s="483"/>
      <c r="F29" s="483"/>
      <c r="G29" s="483"/>
      <c r="H29" s="483"/>
      <c r="I29" s="483"/>
      <c r="J29" s="483"/>
      <c r="K29" s="483"/>
      <c r="L29" s="483"/>
      <c r="M29" s="483"/>
      <c r="N29" s="483"/>
      <c r="O29" s="483"/>
      <c r="P29" s="483"/>
      <c r="Q29" s="470"/>
      <c r="R29" s="470"/>
      <c r="S29" s="497" t="s">
        <v>166</v>
      </c>
      <c r="T29" s="470"/>
      <c r="U29" s="470"/>
      <c r="V29" s="470"/>
      <c r="W29" s="470"/>
      <c r="X29" s="470"/>
      <c r="Y29" s="470"/>
      <c r="Z29" s="470"/>
      <c r="AA29" s="470"/>
      <c r="AB29" s="470"/>
      <c r="AC29" s="483"/>
      <c r="AD29" s="483"/>
      <c r="AE29" s="483"/>
      <c r="AF29" s="483"/>
      <c r="AG29" s="483"/>
      <c r="AH29" s="483"/>
      <c r="AI29" s="483"/>
      <c r="AJ29" s="483"/>
      <c r="AK29" s="483"/>
      <c r="AL29" s="483"/>
      <c r="AM29" s="483"/>
      <c r="AN29" s="483"/>
      <c r="AO29" s="483"/>
      <c r="AP29" s="483"/>
      <c r="AQ29" s="483"/>
      <c r="AR29" s="483"/>
      <c r="AS29" s="483"/>
      <c r="AT29" s="483"/>
      <c r="AU29" s="483"/>
      <c r="AV29" s="483"/>
      <c r="AW29" s="483"/>
      <c r="AX29" s="483"/>
      <c r="AY29" s="483"/>
      <c r="AZ29" s="483"/>
      <c r="BA29" s="483"/>
      <c r="BB29" s="483"/>
      <c r="BC29" s="483"/>
      <c r="BD29" s="483"/>
      <c r="BE29" s="483"/>
      <c r="BF29" s="483"/>
      <c r="BG29" s="483"/>
      <c r="BH29" s="483"/>
      <c r="BI29" s="483"/>
      <c r="BJ29" s="483"/>
      <c r="BK29" s="483"/>
      <c r="BL29" s="483"/>
      <c r="BM29" s="483"/>
      <c r="BN29" s="483"/>
      <c r="BO29" s="483"/>
      <c r="BP29" s="483"/>
      <c r="BQ29" s="483"/>
      <c r="BR29" s="483"/>
      <c r="BS29" s="483"/>
      <c r="BT29" s="483"/>
      <c r="BU29" s="483"/>
      <c r="BV29" s="483"/>
      <c r="BW29" s="483"/>
      <c r="BX29" s="483"/>
      <c r="BY29" s="483"/>
      <c r="BZ29" s="483"/>
      <c r="CA29" s="483"/>
      <c r="CB29" s="483"/>
      <c r="CC29" s="483"/>
      <c r="CD29" s="483"/>
      <c r="CE29" s="483"/>
      <c r="CF29" s="483"/>
      <c r="CG29" s="483"/>
      <c r="CH29" s="483"/>
      <c r="CI29" s="483"/>
      <c r="CJ29" s="483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83"/>
      <c r="DJ29" s="483"/>
      <c r="DK29" s="483"/>
      <c r="DL29" s="483"/>
      <c r="DM29" s="483"/>
      <c r="DN29" s="483"/>
      <c r="DO29" s="483"/>
      <c r="DP29" s="483"/>
      <c r="DQ29" s="483"/>
      <c r="DR29" s="483"/>
      <c r="DS29" s="483"/>
      <c r="DT29" s="483"/>
      <c r="DU29" s="472"/>
      <c r="DV29" s="504"/>
      <c r="DW29" s="504"/>
      <c r="DX29" s="488" t="s">
        <v>728</v>
      </c>
      <c r="DY29" s="479"/>
      <c r="DZ29" s="479"/>
      <c r="EA29" s="479"/>
      <c r="EB29" s="479"/>
      <c r="EC29" s="479"/>
      <c r="ED29" s="479"/>
      <c r="EE29" s="479"/>
      <c r="EF29" s="479"/>
    </row>
    <row r="30" spans="1:136" s="481" customFormat="1" ht="15.75" x14ac:dyDescent="0.35">
      <c r="A30" s="482" t="s">
        <v>727</v>
      </c>
      <c r="B30" s="474" t="s">
        <v>36</v>
      </c>
      <c r="C30" s="487"/>
      <c r="D30" s="472" t="s">
        <v>16</v>
      </c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3"/>
      <c r="AJ30" s="483"/>
      <c r="AK30" s="483"/>
      <c r="AL30" s="483"/>
      <c r="AM30" s="483"/>
      <c r="AN30" s="483"/>
      <c r="AO30" s="486" t="s">
        <v>168</v>
      </c>
      <c r="AP30" s="486" t="s">
        <v>168</v>
      </c>
      <c r="AQ30" s="486" t="s">
        <v>168</v>
      </c>
      <c r="AR30" s="485" t="s">
        <v>165</v>
      </c>
      <c r="AS30" s="485" t="s">
        <v>165</v>
      </c>
      <c r="AT30" s="485" t="s">
        <v>165</v>
      </c>
      <c r="AU30" s="484" t="s">
        <v>162</v>
      </c>
      <c r="AV30" s="484" t="s">
        <v>162</v>
      </c>
      <c r="AW30" s="484" t="s">
        <v>162</v>
      </c>
      <c r="AX30" s="470"/>
      <c r="AY30" s="470"/>
      <c r="AZ30" s="470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70"/>
      <c r="CL30" s="470"/>
      <c r="CM30" s="470"/>
      <c r="CN30" s="470"/>
      <c r="CO30" s="470"/>
      <c r="CP30" s="470"/>
      <c r="CQ30" s="470"/>
      <c r="CR30" s="470"/>
      <c r="CS30" s="470"/>
      <c r="CT30" s="470"/>
      <c r="CU30" s="470"/>
      <c r="CV30" s="470"/>
      <c r="CW30" s="470"/>
      <c r="CX30" s="470"/>
      <c r="CY30" s="470"/>
      <c r="CZ30" s="470"/>
      <c r="DA30" s="470"/>
      <c r="DB30" s="470"/>
      <c r="DC30" s="470"/>
      <c r="DD30" s="470"/>
      <c r="DE30" s="470"/>
      <c r="DF30" s="470"/>
      <c r="DG30" s="470"/>
      <c r="DH30" s="470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3"/>
      <c r="DU30" s="472"/>
      <c r="DV30" s="472"/>
      <c r="DW30" s="472"/>
      <c r="DX30" s="471"/>
      <c r="DY30" s="479"/>
      <c r="DZ30" s="479"/>
      <c r="EA30" s="479"/>
      <c r="EB30" s="479"/>
      <c r="EC30" s="479"/>
      <c r="ED30" s="479"/>
      <c r="EE30" s="479"/>
      <c r="EF30" s="479"/>
    </row>
    <row r="31" spans="1:136" s="481" customFormat="1" ht="15.75" x14ac:dyDescent="0.35">
      <c r="A31" s="482" t="s">
        <v>726</v>
      </c>
      <c r="B31" s="474" t="s">
        <v>36</v>
      </c>
      <c r="C31" s="487"/>
      <c r="D31" s="472" t="s">
        <v>16</v>
      </c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86" t="s">
        <v>168</v>
      </c>
      <c r="AP31" s="486" t="s">
        <v>168</v>
      </c>
      <c r="AQ31" s="486" t="s">
        <v>168</v>
      </c>
      <c r="AR31" s="485" t="s">
        <v>165</v>
      </c>
      <c r="AS31" s="485" t="s">
        <v>165</v>
      </c>
      <c r="AT31" s="485" t="s">
        <v>165</v>
      </c>
      <c r="AU31" s="484" t="s">
        <v>162</v>
      </c>
      <c r="AV31" s="484" t="s">
        <v>162</v>
      </c>
      <c r="AW31" s="484" t="s">
        <v>162</v>
      </c>
      <c r="AX31" s="470"/>
      <c r="AY31" s="470"/>
      <c r="AZ31" s="470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70"/>
      <c r="CL31" s="470"/>
      <c r="CM31" s="470"/>
      <c r="CN31" s="470"/>
      <c r="CO31" s="470"/>
      <c r="CP31" s="470"/>
      <c r="CQ31" s="470"/>
      <c r="CR31" s="470"/>
      <c r="CS31" s="470"/>
      <c r="CT31" s="470"/>
      <c r="CU31" s="470"/>
      <c r="CV31" s="470"/>
      <c r="CW31" s="470"/>
      <c r="CX31" s="470"/>
      <c r="CY31" s="470"/>
      <c r="CZ31" s="470"/>
      <c r="DA31" s="470"/>
      <c r="DB31" s="470"/>
      <c r="DC31" s="470"/>
      <c r="DD31" s="470"/>
      <c r="DE31" s="470"/>
      <c r="DF31" s="470"/>
      <c r="DG31" s="470"/>
      <c r="DH31" s="470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72"/>
      <c r="DV31" s="472"/>
      <c r="DW31" s="472"/>
      <c r="DX31" s="471"/>
      <c r="DY31" s="479"/>
      <c r="DZ31" s="479"/>
      <c r="EA31" s="479"/>
      <c r="EB31" s="479"/>
      <c r="EC31" s="479"/>
      <c r="ED31" s="479"/>
      <c r="EE31" s="479"/>
      <c r="EF31" s="479"/>
    </row>
    <row r="32" spans="1:136" s="481" customFormat="1" ht="15.75" x14ac:dyDescent="0.35">
      <c r="A32" s="482" t="s">
        <v>725</v>
      </c>
      <c r="B32" s="474" t="s">
        <v>19</v>
      </c>
      <c r="C32" s="487"/>
      <c r="D32" s="472" t="s">
        <v>16</v>
      </c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486" t="s">
        <v>168</v>
      </c>
      <c r="AP32" s="486" t="s">
        <v>168</v>
      </c>
      <c r="AQ32" s="486" t="s">
        <v>168</v>
      </c>
      <c r="AR32" s="485" t="s">
        <v>165</v>
      </c>
      <c r="AS32" s="485" t="s">
        <v>165</v>
      </c>
      <c r="AT32" s="485" t="s">
        <v>165</v>
      </c>
      <c r="AU32" s="484" t="s">
        <v>162</v>
      </c>
      <c r="AV32" s="484" t="s">
        <v>162</v>
      </c>
      <c r="AW32" s="484" t="s">
        <v>162</v>
      </c>
      <c r="AX32" s="470"/>
      <c r="AY32" s="470"/>
      <c r="AZ32" s="470"/>
      <c r="BA32" s="483"/>
      <c r="BB32" s="483"/>
      <c r="BC32" s="483"/>
      <c r="BD32" s="483"/>
      <c r="BE32" s="483"/>
      <c r="BF32" s="483"/>
      <c r="BG32" s="483"/>
      <c r="BH32" s="483"/>
      <c r="BI32" s="483"/>
      <c r="BJ32" s="483"/>
      <c r="BK32" s="483"/>
      <c r="BL32" s="483"/>
      <c r="BM32" s="483"/>
      <c r="BN32" s="483"/>
      <c r="BO32" s="483"/>
      <c r="BP32" s="483"/>
      <c r="BQ32" s="483"/>
      <c r="BR32" s="483"/>
      <c r="BS32" s="483"/>
      <c r="BT32" s="483"/>
      <c r="BU32" s="483"/>
      <c r="BV32" s="483"/>
      <c r="BW32" s="483"/>
      <c r="BX32" s="483"/>
      <c r="BY32" s="483"/>
      <c r="BZ32" s="483"/>
      <c r="CA32" s="483"/>
      <c r="CB32" s="483"/>
      <c r="CC32" s="483"/>
      <c r="CD32" s="483"/>
      <c r="CE32" s="483"/>
      <c r="CF32" s="483"/>
      <c r="CG32" s="483"/>
      <c r="CH32" s="483"/>
      <c r="CI32" s="483"/>
      <c r="CJ32" s="483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83"/>
      <c r="DJ32" s="483"/>
      <c r="DK32" s="483"/>
      <c r="DL32" s="483"/>
      <c r="DM32" s="483"/>
      <c r="DN32" s="483"/>
      <c r="DO32" s="483"/>
      <c r="DP32" s="483"/>
      <c r="DQ32" s="483"/>
      <c r="DR32" s="483"/>
      <c r="DS32" s="483"/>
      <c r="DT32" s="483"/>
      <c r="DU32" s="472"/>
      <c r="DV32" s="472"/>
      <c r="DW32" s="472"/>
      <c r="DX32" s="471"/>
      <c r="DY32" s="479"/>
      <c r="DZ32" s="479"/>
      <c r="EA32" s="479"/>
      <c r="EB32" s="479"/>
      <c r="EC32" s="479"/>
      <c r="ED32" s="479"/>
      <c r="EE32" s="479"/>
      <c r="EF32" s="479"/>
    </row>
    <row r="33" spans="1:136" s="481" customFormat="1" ht="15.75" x14ac:dyDescent="0.35">
      <c r="A33" s="482" t="s">
        <v>31</v>
      </c>
      <c r="B33" s="474" t="s">
        <v>32</v>
      </c>
      <c r="C33" s="487"/>
      <c r="D33" s="472" t="s">
        <v>16</v>
      </c>
      <c r="E33" s="483"/>
      <c r="F33" s="483"/>
      <c r="G33" s="483"/>
      <c r="H33" s="483"/>
      <c r="I33" s="483"/>
      <c r="J33" s="483"/>
      <c r="K33" s="483"/>
      <c r="L33" s="490" t="s">
        <v>161</v>
      </c>
      <c r="M33" s="503" t="s">
        <v>159</v>
      </c>
      <c r="N33" s="503" t="s">
        <v>159</v>
      </c>
      <c r="O33" s="470"/>
      <c r="P33" s="470"/>
      <c r="Q33" s="483"/>
      <c r="R33" s="483"/>
      <c r="S33" s="483"/>
      <c r="T33" s="483"/>
      <c r="U33" s="483"/>
      <c r="V33" s="483"/>
      <c r="W33" s="484" t="s">
        <v>162</v>
      </c>
      <c r="X33" s="490" t="s">
        <v>161</v>
      </c>
      <c r="Y33" s="503" t="s">
        <v>159</v>
      </c>
      <c r="Z33" s="470"/>
      <c r="AA33" s="470"/>
      <c r="AB33" s="470"/>
      <c r="AC33" s="483"/>
      <c r="AD33" s="483"/>
      <c r="AE33" s="483"/>
      <c r="AF33" s="483"/>
      <c r="AG33" s="483"/>
      <c r="AH33" s="483"/>
      <c r="AI33" s="483"/>
      <c r="AJ33" s="490" t="s">
        <v>161</v>
      </c>
      <c r="AK33" s="503" t="s">
        <v>159</v>
      </c>
      <c r="AL33" s="503" t="s">
        <v>159</v>
      </c>
      <c r="AM33" s="470"/>
      <c r="AN33" s="470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90" t="s">
        <v>161</v>
      </c>
      <c r="BI33" s="503" t="s">
        <v>159</v>
      </c>
      <c r="BJ33" s="503" t="s">
        <v>159</v>
      </c>
      <c r="BK33" s="470"/>
      <c r="BL33" s="470"/>
      <c r="BM33" s="483"/>
      <c r="BN33" s="483"/>
      <c r="BO33" s="483"/>
      <c r="BP33" s="483"/>
      <c r="BQ33" s="483"/>
      <c r="BR33" s="483"/>
      <c r="BS33" s="483"/>
      <c r="BT33" s="490" t="s">
        <v>161</v>
      </c>
      <c r="BU33" s="503" t="s">
        <v>159</v>
      </c>
      <c r="BV33" s="503" t="s">
        <v>159</v>
      </c>
      <c r="BW33" s="470"/>
      <c r="BX33" s="470"/>
      <c r="BY33" s="483"/>
      <c r="BZ33" s="483"/>
      <c r="CA33" s="483"/>
      <c r="CB33" s="483"/>
      <c r="CC33" s="483"/>
      <c r="CD33" s="483"/>
      <c r="CE33" s="470"/>
      <c r="CF33" s="470"/>
      <c r="CG33" s="470"/>
      <c r="CH33" s="470"/>
      <c r="CI33" s="470"/>
      <c r="CJ33" s="470"/>
      <c r="CK33" s="470"/>
      <c r="CL33" s="470"/>
      <c r="CM33" s="470"/>
      <c r="CN33" s="470"/>
      <c r="CO33" s="470"/>
      <c r="CP33" s="470"/>
      <c r="CQ33" s="470"/>
      <c r="CR33" s="470"/>
      <c r="CS33" s="470"/>
      <c r="CT33" s="470"/>
      <c r="CU33" s="470"/>
      <c r="CV33" s="470"/>
      <c r="CW33" s="470"/>
      <c r="CX33" s="470"/>
      <c r="CY33" s="470"/>
      <c r="CZ33" s="470"/>
      <c r="DA33" s="470"/>
      <c r="DB33" s="470"/>
      <c r="DC33" s="470"/>
      <c r="DD33" s="470"/>
      <c r="DE33" s="470"/>
      <c r="DF33" s="470"/>
      <c r="DG33" s="470"/>
      <c r="DH33" s="470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72"/>
      <c r="DV33" s="502" t="s">
        <v>162</v>
      </c>
      <c r="DW33" s="501" t="s">
        <v>160</v>
      </c>
      <c r="DX33" s="498" t="s">
        <v>724</v>
      </c>
      <c r="DY33" s="479"/>
      <c r="DZ33" s="479"/>
      <c r="EA33" s="479"/>
      <c r="EB33" s="479"/>
      <c r="EC33" s="479"/>
      <c r="ED33" s="479"/>
      <c r="EE33" s="479"/>
      <c r="EF33" s="479"/>
    </row>
    <row r="34" spans="1:136" s="481" customFormat="1" ht="15.75" x14ac:dyDescent="0.35">
      <c r="A34" s="482" t="s">
        <v>723</v>
      </c>
      <c r="B34" s="474" t="s">
        <v>36</v>
      </c>
      <c r="C34" s="487"/>
      <c r="D34" s="472" t="s">
        <v>16</v>
      </c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6" t="s">
        <v>168</v>
      </c>
      <c r="AP34" s="486" t="s">
        <v>168</v>
      </c>
      <c r="AQ34" s="486" t="s">
        <v>168</v>
      </c>
      <c r="AR34" s="485" t="s">
        <v>165</v>
      </c>
      <c r="AS34" s="485" t="s">
        <v>165</v>
      </c>
      <c r="AT34" s="485" t="s">
        <v>165</v>
      </c>
      <c r="AU34" s="484" t="s">
        <v>162</v>
      </c>
      <c r="AV34" s="484" t="s">
        <v>162</v>
      </c>
      <c r="AW34" s="484" t="s">
        <v>162</v>
      </c>
      <c r="AX34" s="470"/>
      <c r="AY34" s="470"/>
      <c r="AZ34" s="470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70"/>
      <c r="CL34" s="470"/>
      <c r="CM34" s="470"/>
      <c r="CN34" s="470"/>
      <c r="CO34" s="470"/>
      <c r="CP34" s="470"/>
      <c r="CQ34" s="470"/>
      <c r="CR34" s="470"/>
      <c r="CS34" s="470"/>
      <c r="CT34" s="470"/>
      <c r="CU34" s="470"/>
      <c r="CV34" s="470"/>
      <c r="CW34" s="470"/>
      <c r="CX34" s="470"/>
      <c r="CY34" s="470"/>
      <c r="CZ34" s="470"/>
      <c r="DA34" s="470"/>
      <c r="DB34" s="470"/>
      <c r="DC34" s="470"/>
      <c r="DD34" s="470"/>
      <c r="DE34" s="470"/>
      <c r="DF34" s="470"/>
      <c r="DG34" s="470"/>
      <c r="DH34" s="470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3"/>
      <c r="DU34" s="472"/>
      <c r="DV34" s="472"/>
      <c r="DW34" s="472"/>
      <c r="DX34" s="471"/>
      <c r="DY34" s="479"/>
      <c r="DZ34" s="479"/>
      <c r="EA34" s="479"/>
      <c r="EB34" s="479"/>
      <c r="EC34" s="479"/>
      <c r="ED34" s="479"/>
      <c r="EE34" s="479"/>
      <c r="EF34" s="479"/>
    </row>
    <row r="35" spans="1:136" s="481" customFormat="1" ht="15.75" x14ac:dyDescent="0.35">
      <c r="A35" s="482" t="s">
        <v>34</v>
      </c>
      <c r="B35" s="474" t="s">
        <v>19</v>
      </c>
      <c r="C35" s="487"/>
      <c r="D35" s="472" t="s">
        <v>16</v>
      </c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70"/>
      <c r="AD35" s="470"/>
      <c r="AE35" s="496" t="s">
        <v>164</v>
      </c>
      <c r="AF35" s="496" t="s">
        <v>164</v>
      </c>
      <c r="AG35" s="496" t="s">
        <v>164</v>
      </c>
      <c r="AH35" s="492" t="s">
        <v>160</v>
      </c>
      <c r="AI35" s="492" t="s">
        <v>160</v>
      </c>
      <c r="AJ35" s="492" t="s">
        <v>160</v>
      </c>
      <c r="AK35" s="500"/>
      <c r="AL35" s="470"/>
      <c r="AM35" s="470"/>
      <c r="AN35" s="470"/>
      <c r="AO35" s="483"/>
      <c r="AP35" s="483"/>
      <c r="AQ35" s="483"/>
      <c r="AR35" s="483"/>
      <c r="AS35" s="483"/>
      <c r="AT35" s="483"/>
      <c r="AU35" s="483"/>
      <c r="AV35" s="483"/>
      <c r="AW35" s="483"/>
      <c r="AX35" s="483"/>
      <c r="AY35" s="483"/>
      <c r="AZ35" s="483"/>
      <c r="BA35" s="470"/>
      <c r="BB35" s="496" t="s">
        <v>164</v>
      </c>
      <c r="BC35" s="470"/>
      <c r="BD35" s="484" t="s">
        <v>162</v>
      </c>
      <c r="BE35" s="484" t="s">
        <v>162</v>
      </c>
      <c r="BF35" s="484" t="s">
        <v>162</v>
      </c>
      <c r="BG35" s="470"/>
      <c r="BH35" s="470"/>
      <c r="BI35" s="470"/>
      <c r="BJ35" s="470"/>
      <c r="BK35" s="470"/>
      <c r="BL35" s="470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3"/>
      <c r="CA35" s="483"/>
      <c r="CB35" s="483"/>
      <c r="CC35" s="483"/>
      <c r="CD35" s="483"/>
      <c r="CE35" s="483"/>
      <c r="CF35" s="483"/>
      <c r="CG35" s="483"/>
      <c r="CH35" s="483"/>
      <c r="CI35" s="483"/>
      <c r="CJ35" s="483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83"/>
      <c r="DJ35" s="483"/>
      <c r="DK35" s="483"/>
      <c r="DL35" s="483"/>
      <c r="DM35" s="483"/>
      <c r="DN35" s="483"/>
      <c r="DO35" s="483"/>
      <c r="DP35" s="483"/>
      <c r="DQ35" s="483"/>
      <c r="DR35" s="483"/>
      <c r="DS35" s="483"/>
      <c r="DT35" s="483"/>
      <c r="DU35" s="499" t="s">
        <v>163</v>
      </c>
      <c r="DV35" s="492" t="s">
        <v>160</v>
      </c>
      <c r="DW35" s="472"/>
      <c r="DX35" s="488" t="s">
        <v>722</v>
      </c>
      <c r="DY35" s="479"/>
      <c r="DZ35" s="479"/>
      <c r="EA35" s="479"/>
      <c r="EB35" s="479"/>
      <c r="EC35" s="479"/>
      <c r="ED35" s="479"/>
      <c r="EE35" s="479"/>
      <c r="EF35" s="479"/>
    </row>
    <row r="36" spans="1:136" s="481" customFormat="1" ht="15.75" x14ac:dyDescent="0.35">
      <c r="A36" s="482" t="s">
        <v>33</v>
      </c>
      <c r="B36" s="474" t="s">
        <v>36</v>
      </c>
      <c r="C36" s="487"/>
      <c r="D36" s="472" t="s">
        <v>16</v>
      </c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70"/>
      <c r="AD36" s="495" t="s">
        <v>167</v>
      </c>
      <c r="AE36" s="497" t="s">
        <v>166</v>
      </c>
      <c r="AF36" s="485" t="s">
        <v>165</v>
      </c>
      <c r="AG36" s="496" t="s">
        <v>164</v>
      </c>
      <c r="AH36" s="491" t="s">
        <v>163</v>
      </c>
      <c r="AI36" s="484" t="s">
        <v>162</v>
      </c>
      <c r="AJ36" s="470"/>
      <c r="AK36" s="470"/>
      <c r="AL36" s="470"/>
      <c r="AM36" s="470"/>
      <c r="AN36" s="470"/>
      <c r="AO36" s="486" t="s">
        <v>168</v>
      </c>
      <c r="AP36" s="486" t="s">
        <v>168</v>
      </c>
      <c r="AQ36" s="486" t="s">
        <v>168</v>
      </c>
      <c r="AR36" s="470"/>
      <c r="AS36" s="470"/>
      <c r="AT36" s="470"/>
      <c r="AU36" s="470"/>
      <c r="AV36" s="470"/>
      <c r="AW36" s="470"/>
      <c r="AX36" s="470"/>
      <c r="AY36" s="470"/>
      <c r="AZ36" s="470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92" t="s">
        <v>160</v>
      </c>
      <c r="CH36" s="483"/>
      <c r="CI36" s="483"/>
      <c r="CJ36" s="483"/>
      <c r="CK36" s="470"/>
      <c r="CL36" s="470"/>
      <c r="CM36" s="470"/>
      <c r="CN36" s="470"/>
      <c r="CO36" s="470"/>
      <c r="CP36" s="470"/>
      <c r="CQ36" s="470"/>
      <c r="CR36" s="470"/>
      <c r="CS36" s="492" t="s">
        <v>160</v>
      </c>
      <c r="CT36" s="470"/>
      <c r="CU36" s="470"/>
      <c r="CV36" s="470"/>
      <c r="CW36" s="470"/>
      <c r="CX36" s="470"/>
      <c r="CY36" s="470"/>
      <c r="CZ36" s="470"/>
      <c r="DA36" s="470"/>
      <c r="DB36" s="470"/>
      <c r="DC36" s="470"/>
      <c r="DD36" s="470"/>
      <c r="DE36" s="470"/>
      <c r="DF36" s="470"/>
      <c r="DG36" s="470"/>
      <c r="DH36" s="470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72"/>
      <c r="DV36" s="472"/>
      <c r="DW36" s="472"/>
      <c r="DX36" s="498" t="s">
        <v>721</v>
      </c>
      <c r="DY36" s="479"/>
      <c r="DZ36" s="479"/>
      <c r="EA36" s="479"/>
      <c r="EB36" s="479"/>
      <c r="EC36" s="479"/>
      <c r="ED36" s="479"/>
      <c r="EE36" s="479"/>
      <c r="EF36" s="479"/>
    </row>
    <row r="37" spans="1:136" s="481" customFormat="1" ht="15.75" x14ac:dyDescent="0.35">
      <c r="A37" s="482" t="s">
        <v>35</v>
      </c>
      <c r="B37" s="474" t="s">
        <v>673</v>
      </c>
      <c r="C37" s="487"/>
      <c r="D37" s="472" t="s">
        <v>16</v>
      </c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485" t="s">
        <v>165</v>
      </c>
      <c r="AP37" s="485" t="s">
        <v>165</v>
      </c>
      <c r="AQ37" s="485" t="s">
        <v>165</v>
      </c>
      <c r="AR37" s="492" t="s">
        <v>160</v>
      </c>
      <c r="AS37" s="492" t="s">
        <v>160</v>
      </c>
      <c r="AT37" s="492" t="s">
        <v>160</v>
      </c>
      <c r="AU37" s="470"/>
      <c r="AV37" s="470"/>
      <c r="AW37" s="470"/>
      <c r="AX37" s="470"/>
      <c r="AY37" s="470"/>
      <c r="AZ37" s="470"/>
      <c r="BA37" s="495" t="s">
        <v>167</v>
      </c>
      <c r="BB37" s="485" t="s">
        <v>165</v>
      </c>
      <c r="BC37" s="485" t="s">
        <v>165</v>
      </c>
      <c r="BD37" s="485" t="s">
        <v>165</v>
      </c>
      <c r="BE37" s="492" t="s">
        <v>160</v>
      </c>
      <c r="BF37" s="492" t="s">
        <v>160</v>
      </c>
      <c r="BG37" s="492" t="s">
        <v>160</v>
      </c>
      <c r="BH37" s="470"/>
      <c r="BI37" s="470"/>
      <c r="BJ37" s="470"/>
      <c r="BK37" s="470"/>
      <c r="BL37" s="470"/>
      <c r="BM37" s="483"/>
      <c r="BN37" s="483"/>
      <c r="BO37" s="483"/>
      <c r="BP37" s="483"/>
      <c r="BQ37" s="483"/>
      <c r="BR37" s="483"/>
      <c r="BS37" s="483"/>
      <c r="BT37" s="483"/>
      <c r="BU37" s="483"/>
      <c r="BV37" s="483"/>
      <c r="BW37" s="483"/>
      <c r="BX37" s="483"/>
      <c r="BY37" s="483"/>
      <c r="BZ37" s="483"/>
      <c r="CA37" s="483"/>
      <c r="CB37" s="483"/>
      <c r="CC37" s="483"/>
      <c r="CD37" s="483"/>
      <c r="CE37" s="483"/>
      <c r="CF37" s="483"/>
      <c r="CG37" s="483"/>
      <c r="CH37" s="483"/>
      <c r="CI37" s="483"/>
      <c r="CJ37" s="483"/>
      <c r="CK37" s="470"/>
      <c r="CL37" s="470"/>
      <c r="CM37" s="470"/>
      <c r="CN37" s="470"/>
      <c r="CO37" s="470"/>
      <c r="CP37" s="470"/>
      <c r="CQ37" s="470"/>
      <c r="CR37" s="470"/>
      <c r="CS37" s="492" t="s">
        <v>160</v>
      </c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83"/>
      <c r="DJ37" s="483"/>
      <c r="DK37" s="483"/>
      <c r="DL37" s="483"/>
      <c r="DM37" s="483"/>
      <c r="DN37" s="483"/>
      <c r="DO37" s="483"/>
      <c r="DP37" s="483"/>
      <c r="DQ37" s="483"/>
      <c r="DR37" s="483"/>
      <c r="DS37" s="483"/>
      <c r="DT37" s="483"/>
      <c r="DU37" s="472"/>
      <c r="DV37" s="472"/>
      <c r="DW37" s="472"/>
      <c r="DX37" s="488" t="s">
        <v>720</v>
      </c>
      <c r="DY37" s="479"/>
      <c r="DZ37" s="479"/>
      <c r="EA37" s="479"/>
      <c r="EB37" s="479"/>
      <c r="EC37" s="479"/>
      <c r="ED37" s="479"/>
      <c r="EE37" s="479"/>
      <c r="EF37" s="479"/>
    </row>
    <row r="38" spans="1:136" s="481" customFormat="1" ht="15.75" x14ac:dyDescent="0.35">
      <c r="A38" s="482" t="s">
        <v>37</v>
      </c>
      <c r="B38" s="474" t="s">
        <v>19</v>
      </c>
      <c r="C38" s="487"/>
      <c r="D38" s="472" t="s">
        <v>18</v>
      </c>
      <c r="E38" s="470"/>
      <c r="F38" s="497" t="s">
        <v>166</v>
      </c>
      <c r="G38" s="497" t="s">
        <v>166</v>
      </c>
      <c r="H38" s="497" t="s">
        <v>166</v>
      </c>
      <c r="I38" s="496" t="s">
        <v>164</v>
      </c>
      <c r="J38" s="496" t="s">
        <v>164</v>
      </c>
      <c r="K38" s="496" t="s">
        <v>164</v>
      </c>
      <c r="L38" s="490" t="s">
        <v>161</v>
      </c>
      <c r="M38" s="490" t="s">
        <v>161</v>
      </c>
      <c r="N38" s="490" t="s">
        <v>161</v>
      </c>
      <c r="O38" s="470"/>
      <c r="P38" s="470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70"/>
      <c r="AD38" s="497" t="s">
        <v>166</v>
      </c>
      <c r="AE38" s="497" t="s">
        <v>166</v>
      </c>
      <c r="AF38" s="497" t="s">
        <v>166</v>
      </c>
      <c r="AG38" s="496" t="s">
        <v>164</v>
      </c>
      <c r="AH38" s="496" t="s">
        <v>164</v>
      </c>
      <c r="AI38" s="496" t="s">
        <v>164</v>
      </c>
      <c r="AJ38" s="490" t="s">
        <v>161</v>
      </c>
      <c r="AK38" s="490" t="s">
        <v>161</v>
      </c>
      <c r="AL38" s="490" t="s">
        <v>161</v>
      </c>
      <c r="AM38" s="470"/>
      <c r="AN38" s="470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70"/>
      <c r="BB38" s="497" t="s">
        <v>166</v>
      </c>
      <c r="BC38" s="497" t="s">
        <v>166</v>
      </c>
      <c r="BD38" s="497" t="s">
        <v>166</v>
      </c>
      <c r="BE38" s="496" t="s">
        <v>164</v>
      </c>
      <c r="BF38" s="496" t="s">
        <v>164</v>
      </c>
      <c r="BG38" s="496" t="s">
        <v>164</v>
      </c>
      <c r="BH38" s="490" t="s">
        <v>161</v>
      </c>
      <c r="BI38" s="490" t="s">
        <v>161</v>
      </c>
      <c r="BJ38" s="490" t="s">
        <v>161</v>
      </c>
      <c r="BK38" s="470"/>
      <c r="BL38" s="470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70"/>
      <c r="CL38" s="470"/>
      <c r="CM38" s="470"/>
      <c r="CN38" s="470"/>
      <c r="CO38" s="470"/>
      <c r="CP38" s="470"/>
      <c r="CQ38" s="470"/>
      <c r="CR38" s="470"/>
      <c r="CS38" s="470"/>
      <c r="CT38" s="470"/>
      <c r="CU38" s="470"/>
      <c r="CV38" s="470"/>
      <c r="CW38" s="470"/>
      <c r="CX38" s="470"/>
      <c r="CY38" s="470"/>
      <c r="CZ38" s="470"/>
      <c r="DA38" s="470"/>
      <c r="DB38" s="470"/>
      <c r="DC38" s="470"/>
      <c r="DD38" s="470"/>
      <c r="DE38" s="470"/>
      <c r="DF38" s="470"/>
      <c r="DG38" s="470"/>
      <c r="DH38" s="470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83"/>
      <c r="DU38" s="472"/>
      <c r="DV38" s="472"/>
      <c r="DW38" s="472"/>
      <c r="DX38" s="471"/>
      <c r="DY38" s="479"/>
      <c r="DZ38" s="479"/>
      <c r="EA38" s="479"/>
      <c r="EB38" s="479"/>
      <c r="EC38" s="479"/>
      <c r="ED38" s="479"/>
      <c r="EE38" s="479"/>
      <c r="EF38" s="479"/>
    </row>
    <row r="39" spans="1:136" s="481" customFormat="1" ht="15.75" x14ac:dyDescent="0.35">
      <c r="A39" s="482" t="s">
        <v>719</v>
      </c>
      <c r="B39" s="474" t="s">
        <v>36</v>
      </c>
      <c r="C39" s="487"/>
      <c r="D39" s="472" t="s">
        <v>16</v>
      </c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3"/>
      <c r="AO39" s="486" t="s">
        <v>168</v>
      </c>
      <c r="AP39" s="486" t="s">
        <v>168</v>
      </c>
      <c r="AQ39" s="486" t="s">
        <v>168</v>
      </c>
      <c r="AR39" s="485" t="s">
        <v>165</v>
      </c>
      <c r="AS39" s="485" t="s">
        <v>165</v>
      </c>
      <c r="AT39" s="485" t="s">
        <v>165</v>
      </c>
      <c r="AU39" s="484" t="s">
        <v>162</v>
      </c>
      <c r="AV39" s="484" t="s">
        <v>162</v>
      </c>
      <c r="AW39" s="484" t="s">
        <v>162</v>
      </c>
      <c r="AX39" s="470"/>
      <c r="AY39" s="470"/>
      <c r="AZ39" s="470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70"/>
      <c r="CL39" s="470"/>
      <c r="CM39" s="470"/>
      <c r="CN39" s="470"/>
      <c r="CO39" s="470"/>
      <c r="CP39" s="470"/>
      <c r="CQ39" s="470"/>
      <c r="CR39" s="470"/>
      <c r="CS39" s="470"/>
      <c r="CT39" s="470"/>
      <c r="CU39" s="470"/>
      <c r="CV39" s="470"/>
      <c r="CW39" s="470"/>
      <c r="CX39" s="470"/>
      <c r="CY39" s="470"/>
      <c r="CZ39" s="470"/>
      <c r="DA39" s="470"/>
      <c r="DB39" s="470"/>
      <c r="DC39" s="470"/>
      <c r="DD39" s="470"/>
      <c r="DE39" s="470"/>
      <c r="DF39" s="470"/>
      <c r="DG39" s="470"/>
      <c r="DH39" s="470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72"/>
      <c r="DV39" s="472"/>
      <c r="DW39" s="472"/>
      <c r="DX39" s="471"/>
      <c r="DY39" s="479"/>
      <c r="DZ39" s="479"/>
      <c r="EA39" s="479"/>
      <c r="EB39" s="479"/>
      <c r="EC39" s="479"/>
      <c r="ED39" s="479"/>
      <c r="EE39" s="479"/>
      <c r="EF39" s="479"/>
    </row>
    <row r="40" spans="1:136" s="481" customFormat="1" ht="15.75" x14ac:dyDescent="0.35">
      <c r="A40" s="482" t="s">
        <v>38</v>
      </c>
      <c r="B40" s="474" t="s">
        <v>36</v>
      </c>
      <c r="C40" s="487"/>
      <c r="D40" s="472" t="s">
        <v>16</v>
      </c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483"/>
      <c r="AK40" s="483"/>
      <c r="AL40" s="483"/>
      <c r="AM40" s="483"/>
      <c r="AN40" s="483"/>
      <c r="AO40" s="495" t="s">
        <v>167</v>
      </c>
      <c r="AP40" s="495" t="s">
        <v>167</v>
      </c>
      <c r="AQ40" s="495" t="s">
        <v>167</v>
      </c>
      <c r="AR40" s="485" t="s">
        <v>165</v>
      </c>
      <c r="AS40" s="485" t="s">
        <v>165</v>
      </c>
      <c r="AT40" s="485" t="s">
        <v>165</v>
      </c>
      <c r="AU40" s="491" t="s">
        <v>163</v>
      </c>
      <c r="AV40" s="491" t="s">
        <v>163</v>
      </c>
      <c r="AW40" s="491" t="s">
        <v>163</v>
      </c>
      <c r="AX40" s="492" t="s">
        <v>160</v>
      </c>
      <c r="AY40" s="492" t="s">
        <v>160</v>
      </c>
      <c r="AZ40" s="492" t="s">
        <v>160</v>
      </c>
      <c r="BA40" s="483"/>
      <c r="BB40" s="483"/>
      <c r="BC40" s="483"/>
      <c r="BD40" s="483"/>
      <c r="BE40" s="483"/>
      <c r="BF40" s="483"/>
      <c r="BG40" s="483"/>
      <c r="BH40" s="483"/>
      <c r="BI40" s="483"/>
      <c r="BJ40" s="483"/>
      <c r="BK40" s="483"/>
      <c r="BL40" s="483"/>
      <c r="BM40" s="483"/>
      <c r="BN40" s="483"/>
      <c r="BO40" s="483"/>
      <c r="BP40" s="483"/>
      <c r="BQ40" s="483"/>
      <c r="BR40" s="483"/>
      <c r="BS40" s="483"/>
      <c r="BT40" s="483"/>
      <c r="BU40" s="483"/>
      <c r="BV40" s="483"/>
      <c r="BW40" s="483"/>
      <c r="BX40" s="483"/>
      <c r="BY40" s="483"/>
      <c r="BZ40" s="483"/>
      <c r="CA40" s="483"/>
      <c r="CB40" s="483"/>
      <c r="CC40" s="483"/>
      <c r="CD40" s="483"/>
      <c r="CE40" s="483"/>
      <c r="CF40" s="483"/>
      <c r="CG40" s="483"/>
      <c r="CH40" s="483"/>
      <c r="CI40" s="483"/>
      <c r="CJ40" s="483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83"/>
      <c r="DJ40" s="483"/>
      <c r="DK40" s="483"/>
      <c r="DL40" s="483"/>
      <c r="DM40" s="483"/>
      <c r="DN40" s="483"/>
      <c r="DO40" s="483"/>
      <c r="DP40" s="483"/>
      <c r="DQ40" s="483"/>
      <c r="DR40" s="483"/>
      <c r="DS40" s="483"/>
      <c r="DT40" s="483"/>
      <c r="DU40" s="472"/>
      <c r="DV40" s="472"/>
      <c r="DW40" s="472"/>
      <c r="DX40" s="471"/>
      <c r="DY40" s="479"/>
      <c r="DZ40" s="479"/>
      <c r="EA40" s="479"/>
      <c r="EB40" s="479"/>
      <c r="EC40" s="479"/>
      <c r="ED40" s="479"/>
      <c r="EE40" s="479"/>
      <c r="EF40" s="479"/>
    </row>
    <row r="41" spans="1:136" s="481" customFormat="1" ht="15.75" x14ac:dyDescent="0.35">
      <c r="A41" s="482" t="s">
        <v>718</v>
      </c>
      <c r="B41" s="474" t="s">
        <v>673</v>
      </c>
      <c r="C41" s="487"/>
      <c r="D41" s="472" t="s">
        <v>16</v>
      </c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483"/>
      <c r="AK41" s="483"/>
      <c r="AL41" s="483"/>
      <c r="AM41" s="483"/>
      <c r="AN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  <c r="BE41" s="483"/>
      <c r="BF41" s="483"/>
      <c r="BG41" s="483"/>
      <c r="BH41" s="483"/>
      <c r="BI41" s="483"/>
      <c r="BJ41" s="483"/>
      <c r="BK41" s="483"/>
      <c r="BL41" s="483"/>
      <c r="BM41" s="483"/>
      <c r="BN41" s="483"/>
      <c r="BO41" s="483"/>
      <c r="BP41" s="483"/>
      <c r="BQ41" s="483"/>
      <c r="BR41" s="483"/>
      <c r="BS41" s="483"/>
      <c r="BT41" s="483"/>
      <c r="BU41" s="483"/>
      <c r="BV41" s="483"/>
      <c r="BW41" s="483"/>
      <c r="BX41" s="483"/>
      <c r="BY41" s="483"/>
      <c r="BZ41" s="483"/>
      <c r="CA41" s="483"/>
      <c r="CB41" s="483"/>
      <c r="CC41" s="483"/>
      <c r="CD41" s="483"/>
      <c r="CE41" s="483"/>
      <c r="CF41" s="483"/>
      <c r="CG41" s="483"/>
      <c r="CH41" s="483"/>
      <c r="CI41" s="483"/>
      <c r="CJ41" s="483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83"/>
      <c r="DJ41" s="483"/>
      <c r="DK41" s="483"/>
      <c r="DL41" s="483"/>
      <c r="DM41" s="483"/>
      <c r="DN41" s="483"/>
      <c r="DO41" s="483"/>
      <c r="DP41" s="483"/>
      <c r="DQ41" s="483"/>
      <c r="DR41" s="483"/>
      <c r="DS41" s="483"/>
      <c r="DT41" s="483"/>
      <c r="DU41" s="472"/>
      <c r="DV41" s="472"/>
      <c r="DW41" s="472"/>
      <c r="DX41" s="488" t="s">
        <v>717</v>
      </c>
      <c r="DY41" s="479"/>
      <c r="DZ41" s="479"/>
      <c r="EA41" s="479"/>
      <c r="EB41" s="479"/>
      <c r="EC41" s="479"/>
      <c r="ED41" s="479"/>
      <c r="EE41" s="479"/>
      <c r="EF41" s="479"/>
    </row>
    <row r="42" spans="1:136" s="481" customFormat="1" ht="15.75" x14ac:dyDescent="0.35">
      <c r="A42" s="482" t="s">
        <v>193</v>
      </c>
      <c r="B42" s="474" t="s">
        <v>36</v>
      </c>
      <c r="C42" s="487"/>
      <c r="D42" s="472" t="s">
        <v>16</v>
      </c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94"/>
      <c r="AP42" s="494"/>
      <c r="AQ42" s="494"/>
      <c r="AR42" s="493"/>
      <c r="AS42" s="493"/>
      <c r="AT42" s="493"/>
      <c r="AU42" s="470"/>
      <c r="AV42" s="492" t="s">
        <v>160</v>
      </c>
      <c r="AW42" s="470"/>
      <c r="AX42" s="491" t="s">
        <v>163</v>
      </c>
      <c r="AY42" s="491" t="s">
        <v>163</v>
      </c>
      <c r="AZ42" s="491" t="s">
        <v>163</v>
      </c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70"/>
      <c r="CL42" s="470"/>
      <c r="CM42" s="470"/>
      <c r="CN42" s="470"/>
      <c r="CO42" s="470"/>
      <c r="CP42" s="470"/>
      <c r="CQ42" s="470"/>
      <c r="CR42" s="470"/>
      <c r="CS42" s="470"/>
      <c r="CT42" s="470"/>
      <c r="CU42" s="470"/>
      <c r="CV42" s="470"/>
      <c r="CW42" s="470"/>
      <c r="CX42" s="470"/>
      <c r="CY42" s="470"/>
      <c r="CZ42" s="470"/>
      <c r="DA42" s="470"/>
      <c r="DB42" s="470"/>
      <c r="DC42" s="470"/>
      <c r="DD42" s="470"/>
      <c r="DE42" s="470"/>
      <c r="DF42" s="470"/>
      <c r="DG42" s="470"/>
      <c r="DH42" s="470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72"/>
      <c r="DV42" s="472"/>
      <c r="DW42" s="472"/>
      <c r="DX42" s="488" t="s">
        <v>716</v>
      </c>
      <c r="DY42" s="479"/>
      <c r="DZ42" s="479"/>
      <c r="EA42" s="479"/>
      <c r="EB42" s="479"/>
      <c r="EC42" s="479"/>
      <c r="ED42" s="479"/>
      <c r="EE42" s="479"/>
      <c r="EF42" s="479"/>
    </row>
    <row r="43" spans="1:136" s="481" customFormat="1" ht="15.75" x14ac:dyDescent="0.35">
      <c r="A43" s="482" t="s">
        <v>715</v>
      </c>
      <c r="B43" s="474" t="s">
        <v>36</v>
      </c>
      <c r="C43" s="487"/>
      <c r="D43" s="472" t="s">
        <v>16</v>
      </c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94"/>
      <c r="AP43" s="494"/>
      <c r="AQ43" s="494"/>
      <c r="AR43" s="493"/>
      <c r="AS43" s="493"/>
      <c r="AT43" s="493"/>
      <c r="AV43" s="492" t="s">
        <v>160</v>
      </c>
      <c r="AX43" s="491" t="s">
        <v>163</v>
      </c>
      <c r="AY43" s="491" t="s">
        <v>163</v>
      </c>
      <c r="AZ43" s="491" t="s">
        <v>163</v>
      </c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70"/>
      <c r="CL43" s="470"/>
      <c r="CM43" s="470"/>
      <c r="CN43" s="470"/>
      <c r="CO43" s="470"/>
      <c r="CP43" s="470"/>
      <c r="CQ43" s="470"/>
      <c r="CR43" s="470"/>
      <c r="CS43" s="470"/>
      <c r="CT43" s="470"/>
      <c r="CU43" s="470"/>
      <c r="CV43" s="470"/>
      <c r="CW43" s="470"/>
      <c r="CX43" s="470"/>
      <c r="CY43" s="470"/>
      <c r="CZ43" s="470"/>
      <c r="DA43" s="470"/>
      <c r="DB43" s="470"/>
      <c r="DC43" s="470"/>
      <c r="DD43" s="470"/>
      <c r="DE43" s="470"/>
      <c r="DF43" s="470"/>
      <c r="DG43" s="470"/>
      <c r="DH43" s="470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72"/>
      <c r="DV43" s="472"/>
      <c r="DW43" s="472"/>
      <c r="DX43" s="488" t="s">
        <v>713</v>
      </c>
      <c r="DY43" s="479"/>
      <c r="DZ43" s="479"/>
      <c r="EA43" s="479"/>
      <c r="EB43" s="479"/>
      <c r="EC43" s="479"/>
      <c r="ED43" s="479"/>
      <c r="EE43" s="479"/>
      <c r="EF43" s="479"/>
    </row>
    <row r="44" spans="1:136" s="481" customFormat="1" ht="15.75" x14ac:dyDescent="0.35">
      <c r="A44" s="482" t="s">
        <v>714</v>
      </c>
      <c r="B44" s="474" t="s">
        <v>36</v>
      </c>
      <c r="C44" s="487"/>
      <c r="D44" s="472" t="s">
        <v>16</v>
      </c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94"/>
      <c r="AP44" s="494"/>
      <c r="AQ44" s="494"/>
      <c r="AR44" s="493"/>
      <c r="AS44" s="493"/>
      <c r="AT44" s="493"/>
      <c r="AV44" s="492" t="s">
        <v>160</v>
      </c>
      <c r="AX44" s="491" t="s">
        <v>163</v>
      </c>
      <c r="AY44" s="491" t="s">
        <v>163</v>
      </c>
      <c r="AZ44" s="491" t="s">
        <v>163</v>
      </c>
      <c r="BA44" s="483"/>
      <c r="BB44" s="483"/>
      <c r="BC44" s="483"/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70"/>
      <c r="CL44" s="470"/>
      <c r="CM44" s="470"/>
      <c r="CN44" s="470"/>
      <c r="CO44" s="470"/>
      <c r="CP44" s="470"/>
      <c r="CQ44" s="470"/>
      <c r="CR44" s="470"/>
      <c r="CS44" s="470"/>
      <c r="CT44" s="470"/>
      <c r="CU44" s="470"/>
      <c r="CV44" s="470"/>
      <c r="CW44" s="470"/>
      <c r="CX44" s="470"/>
      <c r="CY44" s="470"/>
      <c r="CZ44" s="470"/>
      <c r="DA44" s="470"/>
      <c r="DB44" s="470"/>
      <c r="DC44" s="470"/>
      <c r="DD44" s="470"/>
      <c r="DE44" s="470"/>
      <c r="DF44" s="470"/>
      <c r="DG44" s="470"/>
      <c r="DH44" s="470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72"/>
      <c r="DV44" s="472"/>
      <c r="DW44" s="472"/>
      <c r="DX44" s="488" t="s">
        <v>713</v>
      </c>
      <c r="DY44" s="479"/>
      <c r="DZ44" s="479"/>
      <c r="EA44" s="479"/>
      <c r="EB44" s="479"/>
      <c r="EC44" s="479"/>
      <c r="ED44" s="479"/>
      <c r="EE44" s="479"/>
      <c r="EF44" s="479"/>
    </row>
    <row r="45" spans="1:136" s="481" customFormat="1" ht="15.75" x14ac:dyDescent="0.35">
      <c r="A45" s="482" t="s">
        <v>712</v>
      </c>
      <c r="B45" s="474" t="s">
        <v>673</v>
      </c>
      <c r="C45" s="487"/>
      <c r="D45" s="472"/>
      <c r="E45" s="483"/>
      <c r="F45" s="483"/>
      <c r="G45" s="483"/>
      <c r="H45" s="483"/>
      <c r="I45" s="483"/>
      <c r="J45" s="483"/>
      <c r="K45" s="490" t="s">
        <v>161</v>
      </c>
      <c r="L45" s="490" t="s">
        <v>161</v>
      </c>
      <c r="M45" s="490" t="s">
        <v>161</v>
      </c>
      <c r="N45" s="470"/>
      <c r="O45" s="470"/>
      <c r="P45" s="470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90" t="s">
        <v>161</v>
      </c>
      <c r="AJ45" s="490" t="s">
        <v>161</v>
      </c>
      <c r="AK45" s="490" t="s">
        <v>161</v>
      </c>
      <c r="AL45" s="470"/>
      <c r="AM45" s="470"/>
      <c r="AN45" s="470"/>
      <c r="AO45" s="483"/>
      <c r="AP45" s="483"/>
      <c r="AQ45" s="483"/>
      <c r="AR45" s="483"/>
      <c r="AS45" s="483"/>
      <c r="AT45" s="483"/>
      <c r="AU45" s="490" t="s">
        <v>161</v>
      </c>
      <c r="AV45" s="490" t="s">
        <v>161</v>
      </c>
      <c r="AW45" s="490" t="s">
        <v>161</v>
      </c>
      <c r="AX45" s="470"/>
      <c r="AY45" s="470"/>
      <c r="AZ45" s="470"/>
      <c r="BA45" s="483"/>
      <c r="BB45" s="483"/>
      <c r="BC45" s="483"/>
      <c r="BD45" s="483"/>
      <c r="BE45" s="483"/>
      <c r="BF45" s="483"/>
      <c r="BG45" s="490" t="s">
        <v>161</v>
      </c>
      <c r="BH45" s="490" t="s">
        <v>161</v>
      </c>
      <c r="BI45" s="490" t="s">
        <v>161</v>
      </c>
      <c r="BJ45" s="470"/>
      <c r="BK45" s="470"/>
      <c r="BL45" s="470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70"/>
      <c r="CL45" s="470"/>
      <c r="CM45" s="470"/>
      <c r="CN45" s="470"/>
      <c r="CO45" s="470"/>
      <c r="CP45" s="470"/>
      <c r="CQ45" s="470"/>
      <c r="CR45" s="470"/>
      <c r="CS45" s="470"/>
      <c r="CT45" s="470"/>
      <c r="CU45" s="470"/>
      <c r="CV45" s="470"/>
      <c r="CW45" s="470"/>
      <c r="CX45" s="470"/>
      <c r="CY45" s="470"/>
      <c r="CZ45" s="470"/>
      <c r="DA45" s="470"/>
      <c r="DB45" s="470"/>
      <c r="DC45" s="470"/>
      <c r="DD45" s="470"/>
      <c r="DE45" s="470"/>
      <c r="DF45" s="470"/>
      <c r="DG45" s="470"/>
      <c r="DH45" s="470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483"/>
      <c r="DU45" s="472"/>
      <c r="DV45" s="472"/>
      <c r="DW45" s="472"/>
      <c r="DX45" s="471"/>
      <c r="DY45" s="479"/>
      <c r="DZ45" s="479"/>
      <c r="EA45" s="479"/>
      <c r="EB45" s="479"/>
      <c r="EC45" s="479"/>
      <c r="ED45" s="479"/>
      <c r="EE45" s="479"/>
      <c r="EF45" s="479"/>
    </row>
    <row r="46" spans="1:136" s="481" customFormat="1" ht="15.75" x14ac:dyDescent="0.35">
      <c r="A46" s="482" t="s">
        <v>711</v>
      </c>
      <c r="B46" s="474" t="s">
        <v>36</v>
      </c>
      <c r="C46" s="487"/>
      <c r="D46" s="472" t="s">
        <v>16</v>
      </c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6" t="s">
        <v>168</v>
      </c>
      <c r="AP46" s="486" t="s">
        <v>168</v>
      </c>
      <c r="AQ46" s="486" t="s">
        <v>168</v>
      </c>
      <c r="AR46" s="485" t="s">
        <v>165</v>
      </c>
      <c r="AS46" s="485" t="s">
        <v>165</v>
      </c>
      <c r="AT46" s="485" t="s">
        <v>165</v>
      </c>
      <c r="AU46" s="484" t="s">
        <v>162</v>
      </c>
      <c r="AV46" s="484" t="s">
        <v>162</v>
      </c>
      <c r="AW46" s="484" t="s">
        <v>162</v>
      </c>
      <c r="AX46" s="470"/>
      <c r="AY46" s="470"/>
      <c r="AZ46" s="470"/>
      <c r="BA46" s="483"/>
      <c r="BB46" s="483"/>
      <c r="BC46" s="483"/>
      <c r="BD46" s="483"/>
      <c r="BE46" s="483"/>
      <c r="BF46" s="483"/>
      <c r="BG46" s="483"/>
      <c r="BH46" s="483"/>
      <c r="BI46" s="483"/>
      <c r="BJ46" s="483"/>
      <c r="BK46" s="483"/>
      <c r="BL46" s="483"/>
      <c r="BM46" s="483"/>
      <c r="BN46" s="483"/>
      <c r="BO46" s="483"/>
      <c r="BP46" s="483"/>
      <c r="BQ46" s="483"/>
      <c r="BR46" s="483"/>
      <c r="BS46" s="483"/>
      <c r="BT46" s="483"/>
      <c r="BU46" s="483"/>
      <c r="BV46" s="483"/>
      <c r="BW46" s="483"/>
      <c r="BX46" s="483"/>
      <c r="BY46" s="483"/>
      <c r="BZ46" s="483"/>
      <c r="CA46" s="483"/>
      <c r="CB46" s="483"/>
      <c r="CC46" s="483"/>
      <c r="CD46" s="483"/>
      <c r="CE46" s="483"/>
      <c r="CF46" s="483"/>
      <c r="CG46" s="483"/>
      <c r="CH46" s="483"/>
      <c r="CI46" s="483"/>
      <c r="CJ46" s="483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83"/>
      <c r="DJ46" s="483"/>
      <c r="DK46" s="483"/>
      <c r="DL46" s="483"/>
      <c r="DM46" s="483"/>
      <c r="DN46" s="483"/>
      <c r="DO46" s="483"/>
      <c r="DP46" s="483"/>
      <c r="DQ46" s="483"/>
      <c r="DR46" s="483"/>
      <c r="DS46" s="483"/>
      <c r="DT46" s="483"/>
      <c r="DU46" s="472"/>
      <c r="DV46" s="472"/>
      <c r="DW46" s="472"/>
      <c r="DX46" s="471"/>
      <c r="DY46" s="479"/>
      <c r="DZ46" s="479"/>
      <c r="EA46" s="479"/>
      <c r="EB46" s="479"/>
      <c r="EC46" s="479"/>
      <c r="ED46" s="479"/>
      <c r="EE46" s="479"/>
      <c r="EF46" s="479"/>
    </row>
    <row r="47" spans="1:136" s="481" customFormat="1" ht="15.75" x14ac:dyDescent="0.35">
      <c r="A47" s="482" t="s">
        <v>39</v>
      </c>
      <c r="B47" s="474" t="s">
        <v>673</v>
      </c>
      <c r="C47" s="487"/>
      <c r="D47" s="472" t="s">
        <v>16</v>
      </c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6" t="s">
        <v>168</v>
      </c>
      <c r="AD47" s="486" t="s">
        <v>168</v>
      </c>
      <c r="AE47" s="486" t="s">
        <v>168</v>
      </c>
      <c r="AF47" s="485" t="s">
        <v>165</v>
      </c>
      <c r="AG47" s="485" t="s">
        <v>165</v>
      </c>
      <c r="AH47" s="485" t="s">
        <v>165</v>
      </c>
      <c r="AI47" s="484" t="s">
        <v>162</v>
      </c>
      <c r="AJ47" s="484" t="s">
        <v>162</v>
      </c>
      <c r="AK47" s="484" t="s">
        <v>162</v>
      </c>
      <c r="AL47" s="470"/>
      <c r="AM47" s="470"/>
      <c r="AN47" s="470"/>
      <c r="AO47" s="486" t="s">
        <v>168</v>
      </c>
      <c r="AP47" s="486" t="s">
        <v>168</v>
      </c>
      <c r="AQ47" s="486" t="s">
        <v>168</v>
      </c>
      <c r="AR47" s="485" t="s">
        <v>165</v>
      </c>
      <c r="AS47" s="485" t="s">
        <v>165</v>
      </c>
      <c r="AT47" s="485" t="s">
        <v>165</v>
      </c>
      <c r="AU47" s="484" t="s">
        <v>162</v>
      </c>
      <c r="AV47" s="484" t="s">
        <v>162</v>
      </c>
      <c r="AW47" s="484" t="s">
        <v>162</v>
      </c>
      <c r="AX47" s="470"/>
      <c r="AY47" s="470"/>
      <c r="AZ47" s="470"/>
      <c r="BA47" s="486" t="s">
        <v>168</v>
      </c>
      <c r="BB47" s="486" t="s">
        <v>168</v>
      </c>
      <c r="BC47" s="486" t="s">
        <v>168</v>
      </c>
      <c r="BD47" s="485" t="s">
        <v>165</v>
      </c>
      <c r="BE47" s="485" t="s">
        <v>165</v>
      </c>
      <c r="BF47" s="485" t="s">
        <v>165</v>
      </c>
      <c r="BG47" s="484" t="s">
        <v>162</v>
      </c>
      <c r="BH47" s="484" t="s">
        <v>162</v>
      </c>
      <c r="BI47" s="484" t="s">
        <v>162</v>
      </c>
      <c r="BJ47" s="470"/>
      <c r="BK47" s="470"/>
      <c r="BL47" s="470"/>
      <c r="BM47" s="483"/>
      <c r="BN47" s="483"/>
      <c r="BO47" s="483"/>
      <c r="BP47" s="483"/>
      <c r="BQ47" s="483"/>
      <c r="BR47" s="483"/>
      <c r="BS47" s="483"/>
      <c r="BT47" s="483"/>
      <c r="BU47" s="483"/>
      <c r="BV47" s="483"/>
      <c r="BW47" s="483"/>
      <c r="BX47" s="483"/>
      <c r="BY47" s="483"/>
      <c r="BZ47" s="483"/>
      <c r="CA47" s="483"/>
      <c r="CB47" s="483"/>
      <c r="CC47" s="483"/>
      <c r="CD47" s="483"/>
      <c r="CE47" s="483"/>
      <c r="CF47" s="483"/>
      <c r="CG47" s="483"/>
      <c r="CH47" s="483"/>
      <c r="CI47" s="483"/>
      <c r="CJ47" s="483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83"/>
      <c r="DJ47" s="483"/>
      <c r="DK47" s="483"/>
      <c r="DL47" s="483"/>
      <c r="DM47" s="483"/>
      <c r="DN47" s="483"/>
      <c r="DO47" s="483"/>
      <c r="DP47" s="483"/>
      <c r="DQ47" s="483"/>
      <c r="DR47" s="483"/>
      <c r="DS47" s="483"/>
      <c r="DT47" s="483"/>
      <c r="DU47" s="472"/>
      <c r="DV47" s="472"/>
      <c r="DW47" s="472"/>
      <c r="DX47" s="471"/>
      <c r="DY47" s="479"/>
      <c r="DZ47" s="479"/>
      <c r="EA47" s="479"/>
      <c r="EB47" s="479"/>
      <c r="EC47" s="479"/>
      <c r="ED47" s="479"/>
      <c r="EE47" s="479"/>
      <c r="EF47" s="479"/>
    </row>
    <row r="48" spans="1:136" s="481" customFormat="1" ht="15.75" x14ac:dyDescent="0.35">
      <c r="A48" s="482" t="s">
        <v>710</v>
      </c>
      <c r="B48" s="474" t="s">
        <v>672</v>
      </c>
      <c r="C48" s="487"/>
      <c r="D48" s="472" t="s">
        <v>16</v>
      </c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0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  <c r="BE48" s="483"/>
      <c r="BF48" s="483"/>
      <c r="BG48" s="483"/>
      <c r="BH48" s="483"/>
      <c r="BI48" s="483"/>
      <c r="BJ48" s="483"/>
      <c r="BK48" s="483"/>
      <c r="BL48" s="483"/>
      <c r="BM48" s="483"/>
      <c r="BN48" s="483"/>
      <c r="BO48" s="483"/>
      <c r="BP48" s="483"/>
      <c r="BQ48" s="483"/>
      <c r="BR48" s="483"/>
      <c r="BS48" s="483"/>
      <c r="BT48" s="483"/>
      <c r="BU48" s="483"/>
      <c r="BV48" s="483"/>
      <c r="BW48" s="483"/>
      <c r="BX48" s="483"/>
      <c r="BY48" s="483"/>
      <c r="BZ48" s="483"/>
      <c r="CA48" s="483"/>
      <c r="CB48" s="483"/>
      <c r="CC48" s="483"/>
      <c r="CD48" s="483"/>
      <c r="CE48" s="483"/>
      <c r="CF48" s="483"/>
      <c r="CG48" s="483"/>
      <c r="CH48" s="483"/>
      <c r="CI48" s="483"/>
      <c r="CJ48" s="483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83"/>
      <c r="DJ48" s="483"/>
      <c r="DK48" s="483"/>
      <c r="DL48" s="483"/>
      <c r="DM48" s="483"/>
      <c r="DN48" s="483"/>
      <c r="DO48" s="483"/>
      <c r="DP48" s="483"/>
      <c r="DQ48" s="483"/>
      <c r="DR48" s="483"/>
      <c r="DS48" s="483"/>
      <c r="DT48" s="483"/>
      <c r="DU48" s="472"/>
      <c r="DV48" s="472"/>
      <c r="DW48" s="472"/>
      <c r="DX48" s="489" t="s">
        <v>709</v>
      </c>
      <c r="DY48" s="479"/>
      <c r="DZ48" s="479"/>
      <c r="EA48" s="479"/>
      <c r="EB48" s="479"/>
      <c r="EC48" s="479"/>
      <c r="ED48" s="479"/>
      <c r="EE48" s="479"/>
      <c r="EF48" s="479"/>
    </row>
    <row r="49" spans="1:136" s="481" customFormat="1" ht="15.75" x14ac:dyDescent="0.35">
      <c r="A49" s="482" t="s">
        <v>40</v>
      </c>
      <c r="B49" s="474" t="s">
        <v>36</v>
      </c>
      <c r="C49" s="487"/>
      <c r="D49" s="472" t="s">
        <v>16</v>
      </c>
      <c r="E49" s="486" t="s">
        <v>168</v>
      </c>
      <c r="F49" s="486" t="s">
        <v>168</v>
      </c>
      <c r="G49" s="486" t="s">
        <v>168</v>
      </c>
      <c r="H49" s="485" t="s">
        <v>165</v>
      </c>
      <c r="I49" s="485" t="s">
        <v>165</v>
      </c>
      <c r="J49" s="485" t="s">
        <v>165</v>
      </c>
      <c r="K49" s="470"/>
      <c r="L49" s="470"/>
      <c r="M49" s="470"/>
      <c r="N49" s="470"/>
      <c r="O49" s="470"/>
      <c r="P49" s="470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6" t="s">
        <v>168</v>
      </c>
      <c r="AP49" s="486" t="s">
        <v>168</v>
      </c>
      <c r="AQ49" s="486" t="s">
        <v>168</v>
      </c>
      <c r="AR49" s="470"/>
      <c r="AS49" s="470"/>
      <c r="AT49" s="470"/>
      <c r="AU49" s="470"/>
      <c r="AV49" s="470"/>
      <c r="AW49" s="470"/>
      <c r="AX49" s="470"/>
      <c r="AY49" s="470"/>
      <c r="AZ49" s="470"/>
      <c r="BA49" s="483"/>
      <c r="BB49" s="483"/>
      <c r="BC49" s="483"/>
      <c r="BD49" s="483"/>
      <c r="BE49" s="483"/>
      <c r="BF49" s="483"/>
      <c r="BG49" s="483"/>
      <c r="BH49" s="483"/>
      <c r="BI49" s="483"/>
      <c r="BJ49" s="483"/>
      <c r="BK49" s="483"/>
      <c r="BL49" s="483"/>
      <c r="BM49" s="483"/>
      <c r="BN49" s="483"/>
      <c r="BO49" s="483"/>
      <c r="BP49" s="483"/>
      <c r="BQ49" s="483"/>
      <c r="BR49" s="483"/>
      <c r="BS49" s="483"/>
      <c r="BT49" s="483"/>
      <c r="BU49" s="483"/>
      <c r="BV49" s="483"/>
      <c r="BW49" s="483"/>
      <c r="BX49" s="483"/>
      <c r="BY49" s="483"/>
      <c r="BZ49" s="483"/>
      <c r="CA49" s="483"/>
      <c r="CB49" s="483"/>
      <c r="CC49" s="483"/>
      <c r="CD49" s="483"/>
      <c r="CE49" s="483"/>
      <c r="CF49" s="483"/>
      <c r="CG49" s="483"/>
      <c r="CH49" s="483"/>
      <c r="CI49" s="483"/>
      <c r="CJ49" s="483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83"/>
      <c r="DJ49" s="483"/>
      <c r="DK49" s="483"/>
      <c r="DL49" s="483"/>
      <c r="DM49" s="483"/>
      <c r="DN49" s="483"/>
      <c r="DO49" s="483"/>
      <c r="DP49" s="483"/>
      <c r="DQ49" s="483"/>
      <c r="DR49" s="483"/>
      <c r="DS49" s="483"/>
      <c r="DT49" s="483"/>
      <c r="DU49" s="472"/>
      <c r="DV49" s="472"/>
      <c r="DW49" s="472"/>
      <c r="DX49" s="488" t="s">
        <v>708</v>
      </c>
      <c r="DY49" s="479"/>
      <c r="DZ49" s="479"/>
      <c r="EA49" s="479"/>
      <c r="EB49" s="479"/>
      <c r="EC49" s="479"/>
      <c r="ED49" s="479"/>
      <c r="EE49" s="479"/>
      <c r="EF49" s="479"/>
    </row>
    <row r="50" spans="1:136" s="481" customFormat="1" ht="15.75" x14ac:dyDescent="0.35">
      <c r="A50" s="482" t="s">
        <v>707</v>
      </c>
      <c r="B50" s="474" t="s">
        <v>36</v>
      </c>
      <c r="C50" s="487"/>
      <c r="D50" s="472" t="s">
        <v>16</v>
      </c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3"/>
      <c r="AJ50" s="483"/>
      <c r="AK50" s="483"/>
      <c r="AL50" s="483"/>
      <c r="AM50" s="483"/>
      <c r="AN50" s="483"/>
      <c r="AO50" s="486" t="s">
        <v>168</v>
      </c>
      <c r="AP50" s="486" t="s">
        <v>168</v>
      </c>
      <c r="AQ50" s="486" t="s">
        <v>168</v>
      </c>
      <c r="AR50" s="485" t="s">
        <v>165</v>
      </c>
      <c r="AS50" s="485" t="s">
        <v>165</v>
      </c>
      <c r="AT50" s="485" t="s">
        <v>165</v>
      </c>
      <c r="AU50" s="484" t="s">
        <v>162</v>
      </c>
      <c r="AV50" s="484" t="s">
        <v>162</v>
      </c>
      <c r="AW50" s="484" t="s">
        <v>162</v>
      </c>
      <c r="AX50" s="470"/>
      <c r="AY50" s="470"/>
      <c r="AZ50" s="470"/>
      <c r="BA50" s="483"/>
      <c r="BB50" s="483"/>
      <c r="BC50" s="483"/>
      <c r="BD50" s="483"/>
      <c r="BE50" s="483"/>
      <c r="BF50" s="483"/>
      <c r="BG50" s="483"/>
      <c r="BH50" s="483"/>
      <c r="BI50" s="483"/>
      <c r="BJ50" s="483"/>
      <c r="BK50" s="483"/>
      <c r="BL50" s="483"/>
      <c r="BM50" s="483"/>
      <c r="BN50" s="483"/>
      <c r="BO50" s="483"/>
      <c r="BP50" s="483"/>
      <c r="BQ50" s="483"/>
      <c r="BR50" s="483"/>
      <c r="BS50" s="483"/>
      <c r="BT50" s="483"/>
      <c r="BU50" s="483"/>
      <c r="BV50" s="483"/>
      <c r="BW50" s="483"/>
      <c r="BX50" s="483"/>
      <c r="BY50" s="483"/>
      <c r="BZ50" s="483"/>
      <c r="CA50" s="483"/>
      <c r="CB50" s="483"/>
      <c r="CC50" s="483"/>
      <c r="CD50" s="483"/>
      <c r="CE50" s="483"/>
      <c r="CF50" s="483"/>
      <c r="CG50" s="483"/>
      <c r="CH50" s="483"/>
      <c r="CI50" s="483"/>
      <c r="CJ50" s="483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83"/>
      <c r="DJ50" s="483"/>
      <c r="DK50" s="483"/>
      <c r="DL50" s="483"/>
      <c r="DM50" s="483"/>
      <c r="DN50" s="483"/>
      <c r="DO50" s="483"/>
      <c r="DP50" s="483"/>
      <c r="DQ50" s="483"/>
      <c r="DR50" s="483"/>
      <c r="DS50" s="483"/>
      <c r="DT50" s="483"/>
      <c r="DU50" s="472"/>
      <c r="DV50" s="472"/>
      <c r="DW50" s="472"/>
      <c r="DX50" s="471"/>
      <c r="DY50" s="479"/>
      <c r="DZ50" s="479"/>
      <c r="EA50" s="479"/>
      <c r="EB50" s="479"/>
      <c r="EC50" s="479"/>
      <c r="ED50" s="479"/>
      <c r="EE50" s="479"/>
      <c r="EF50" s="479"/>
    </row>
    <row r="51" spans="1:136" s="481" customFormat="1" ht="15.75" x14ac:dyDescent="0.35">
      <c r="A51" s="482"/>
      <c r="B51" s="474"/>
      <c r="C51" s="477"/>
      <c r="D51" s="472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3"/>
      <c r="AP51" s="473"/>
      <c r="AQ51" s="473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0"/>
      <c r="DU51" s="472"/>
      <c r="DV51" s="472"/>
      <c r="DW51" s="472"/>
      <c r="DX51" s="471"/>
      <c r="DY51" s="479"/>
      <c r="DZ51" s="479"/>
      <c r="EA51" s="479"/>
      <c r="EB51" s="479"/>
      <c r="EC51" s="479"/>
      <c r="ED51" s="479"/>
      <c r="EE51" s="479"/>
      <c r="EF51" s="479"/>
    </row>
    <row r="52" spans="1:136" s="481" customFormat="1" ht="15.75" x14ac:dyDescent="0.35">
      <c r="A52" s="470"/>
      <c r="B52" s="474"/>
      <c r="C52" s="477"/>
      <c r="D52" s="472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3"/>
      <c r="AP52" s="473"/>
      <c r="AQ52" s="473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0"/>
      <c r="DU52" s="472"/>
      <c r="DV52" s="472"/>
      <c r="DW52" s="472"/>
      <c r="DX52" s="471"/>
      <c r="DY52" s="479"/>
      <c r="DZ52" s="479"/>
      <c r="EA52" s="479"/>
      <c r="EB52" s="479"/>
      <c r="EC52" s="479"/>
      <c r="ED52" s="479"/>
      <c r="EE52" s="479"/>
      <c r="EF52" s="479"/>
    </row>
    <row r="53" spans="1:136" s="478" customFormat="1" ht="15.75" x14ac:dyDescent="0.35">
      <c r="A53" s="470"/>
      <c r="B53" s="474"/>
      <c r="C53" s="477"/>
      <c r="D53" s="48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3"/>
      <c r="AP53" s="473"/>
      <c r="AQ53" s="473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0"/>
      <c r="DU53" s="472"/>
      <c r="DV53" s="472"/>
      <c r="DW53" s="472"/>
      <c r="DX53" s="471"/>
      <c r="DY53" s="479"/>
      <c r="DZ53" s="479"/>
      <c r="EA53" s="479"/>
      <c r="EB53" s="479"/>
      <c r="EC53" s="479" t="s">
        <v>706</v>
      </c>
      <c r="ED53" s="479"/>
      <c r="EE53" s="479"/>
      <c r="EF53" s="479"/>
    </row>
    <row r="54" spans="1:136" s="476" customFormat="1" ht="14.65" customHeight="1" x14ac:dyDescent="0.35">
      <c r="A54" s="470"/>
      <c r="B54" s="474"/>
      <c r="C54" s="477"/>
      <c r="D54" s="475"/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3"/>
      <c r="AP54" s="473"/>
      <c r="AQ54" s="473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0"/>
      <c r="DU54" s="472"/>
      <c r="DV54" s="472"/>
      <c r="DW54" s="472"/>
      <c r="DX54" s="471"/>
      <c r="DY54" s="464"/>
      <c r="DZ54" s="464"/>
      <c r="EA54" s="464"/>
      <c r="EB54" s="464"/>
      <c r="EC54" s="464"/>
      <c r="ED54" s="464"/>
      <c r="EE54" s="464"/>
      <c r="EF54" s="464"/>
    </row>
    <row r="55" spans="1:136" ht="17.25" x14ac:dyDescent="0.35">
      <c r="A55" s="470"/>
      <c r="B55" s="474"/>
      <c r="C55" s="470"/>
      <c r="D55" s="476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0"/>
      <c r="AO55" s="473"/>
      <c r="AP55" s="473"/>
      <c r="AQ55" s="473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0"/>
      <c r="DU55" s="472"/>
      <c r="DV55" s="472"/>
      <c r="DW55" s="472"/>
      <c r="DX55" s="471"/>
      <c r="DY55" s="476"/>
      <c r="DZ55" s="476"/>
      <c r="EA55" s="476"/>
      <c r="EB55" s="476"/>
      <c r="EC55" s="476"/>
      <c r="ED55" s="476"/>
      <c r="EE55" s="476"/>
      <c r="EF55" s="476"/>
    </row>
    <row r="56" spans="1:136" ht="17.25" x14ac:dyDescent="0.35">
      <c r="A56" s="470"/>
      <c r="B56" s="474"/>
      <c r="C56" s="470"/>
      <c r="D56" s="475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0"/>
      <c r="AO56" s="473"/>
      <c r="AP56" s="473"/>
      <c r="AQ56" s="473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0"/>
      <c r="DU56" s="472"/>
      <c r="DV56" s="472"/>
      <c r="DW56" s="472"/>
      <c r="DX56" s="471"/>
    </row>
    <row r="57" spans="1:136" ht="17.25" x14ac:dyDescent="0.35">
      <c r="A57" s="470"/>
      <c r="B57" s="474"/>
      <c r="C57" s="470"/>
      <c r="D57" s="475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3"/>
      <c r="AP57" s="473"/>
      <c r="AQ57" s="473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0"/>
      <c r="DU57" s="472"/>
      <c r="DV57" s="472"/>
      <c r="DW57" s="472"/>
      <c r="DX57" s="471"/>
    </row>
    <row r="58" spans="1:136" ht="17.25" x14ac:dyDescent="0.35">
      <c r="A58" s="470"/>
      <c r="B58" s="474"/>
      <c r="C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0"/>
      <c r="AO58" s="473"/>
      <c r="AP58" s="473"/>
      <c r="AQ58" s="473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0"/>
      <c r="DU58" s="472"/>
      <c r="DV58" s="472"/>
      <c r="DW58" s="472"/>
      <c r="DX58" s="471"/>
    </row>
    <row r="59" spans="1:136" ht="17.25" x14ac:dyDescent="0.35">
      <c r="A59" s="470"/>
      <c r="B59" s="474"/>
      <c r="C59" s="470"/>
      <c r="D59" s="475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0"/>
      <c r="AO59" s="473"/>
      <c r="AP59" s="473"/>
      <c r="AQ59" s="473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0"/>
      <c r="DU59" s="472"/>
      <c r="DV59" s="472"/>
      <c r="DW59" s="472"/>
      <c r="DX59" s="471"/>
    </row>
    <row r="60" spans="1:136" ht="17.25" x14ac:dyDescent="0.35">
      <c r="A60" s="470"/>
      <c r="B60" s="474"/>
      <c r="C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3"/>
      <c r="AP60" s="473"/>
      <c r="AQ60" s="473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0"/>
      <c r="DU60" s="472"/>
      <c r="DV60" s="472"/>
      <c r="DW60" s="472"/>
      <c r="DX60" s="471"/>
    </row>
    <row r="61" spans="1:136" ht="17.25" x14ac:dyDescent="0.35">
      <c r="A61" s="470"/>
      <c r="B61" s="474"/>
      <c r="C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0"/>
      <c r="AO61" s="473"/>
      <c r="AP61" s="473"/>
      <c r="AQ61" s="473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0"/>
      <c r="DU61" s="472"/>
      <c r="DV61" s="472"/>
      <c r="DW61" s="472"/>
      <c r="DX61" s="471"/>
    </row>
    <row r="62" spans="1:136" ht="17.25" x14ac:dyDescent="0.35">
      <c r="A62" s="470"/>
      <c r="B62" s="474"/>
      <c r="C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3"/>
      <c r="AP62" s="473"/>
      <c r="AQ62" s="473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0"/>
      <c r="DU62" s="472"/>
      <c r="DV62" s="472"/>
      <c r="DW62" s="472"/>
      <c r="DX62" s="471"/>
    </row>
    <row r="63" spans="1:136" ht="17.25" x14ac:dyDescent="0.35">
      <c r="A63" s="470"/>
      <c r="B63" s="474"/>
      <c r="C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3"/>
      <c r="AP63" s="473"/>
      <c r="AQ63" s="473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0"/>
      <c r="DU63" s="472"/>
      <c r="DV63" s="472"/>
      <c r="DW63" s="472"/>
      <c r="DX63" s="471"/>
    </row>
    <row r="64" spans="1:136" ht="17.25" x14ac:dyDescent="0.35">
      <c r="A64" s="470"/>
      <c r="B64" s="474"/>
      <c r="C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3"/>
      <c r="AP64" s="473"/>
      <c r="AQ64" s="473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0"/>
      <c r="DU64" s="472"/>
      <c r="DV64" s="472"/>
      <c r="DW64" s="472"/>
      <c r="DX64" s="471"/>
    </row>
    <row r="65" spans="1:128" ht="17.25" x14ac:dyDescent="0.35">
      <c r="A65" s="470"/>
      <c r="B65" s="474"/>
      <c r="C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0"/>
      <c r="AO65" s="473"/>
      <c r="AP65" s="473"/>
      <c r="AQ65" s="473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0"/>
      <c r="DU65" s="472"/>
      <c r="DV65" s="472"/>
      <c r="DW65" s="472"/>
      <c r="DX65" s="471"/>
    </row>
    <row r="66" spans="1:128" ht="17.25" x14ac:dyDescent="0.35">
      <c r="A66" s="470"/>
      <c r="B66" s="474"/>
      <c r="C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3"/>
      <c r="AP66" s="473"/>
      <c r="AQ66" s="473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0"/>
      <c r="DU66" s="472"/>
      <c r="DV66" s="472"/>
      <c r="DW66" s="472"/>
      <c r="DX66" s="471"/>
    </row>
    <row r="67" spans="1:128" ht="17.25" x14ac:dyDescent="0.35">
      <c r="A67" s="470"/>
      <c r="B67" s="474"/>
      <c r="C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0"/>
      <c r="AO67" s="473"/>
      <c r="AP67" s="473"/>
      <c r="AQ67" s="473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0"/>
      <c r="DU67" s="472"/>
      <c r="DV67" s="472"/>
      <c r="DW67" s="472"/>
      <c r="DX67" s="471"/>
    </row>
    <row r="68" spans="1:128" ht="17.25" x14ac:dyDescent="0.35">
      <c r="A68" s="470"/>
      <c r="B68" s="474"/>
      <c r="C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3"/>
      <c r="AP68" s="473"/>
      <c r="AQ68" s="473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0"/>
      <c r="DU68" s="472"/>
      <c r="DV68" s="472"/>
      <c r="DW68" s="472"/>
      <c r="DX68" s="471"/>
    </row>
    <row r="69" spans="1:128" ht="17.25" x14ac:dyDescent="0.35">
      <c r="A69" s="470"/>
      <c r="B69" s="474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0"/>
      <c r="AO69" s="473"/>
      <c r="AP69" s="473"/>
      <c r="AQ69" s="473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0"/>
      <c r="DU69" s="472"/>
      <c r="DV69" s="472"/>
      <c r="DW69" s="472"/>
      <c r="DX69" s="471"/>
    </row>
    <row r="70" spans="1:128" ht="17.25" x14ac:dyDescent="0.35">
      <c r="A70" s="470"/>
      <c r="B70" s="474"/>
      <c r="C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0"/>
      <c r="AO70" s="473"/>
      <c r="AP70" s="473"/>
      <c r="AQ70" s="473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0"/>
      <c r="DU70" s="472"/>
      <c r="DV70" s="472"/>
      <c r="DW70" s="472"/>
      <c r="DX70" s="471"/>
    </row>
    <row r="71" spans="1:128" ht="17.25" x14ac:dyDescent="0.35">
      <c r="A71" s="470"/>
      <c r="B71" s="474"/>
      <c r="C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0"/>
      <c r="AO71" s="473"/>
      <c r="AP71" s="473"/>
      <c r="AQ71" s="473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0"/>
      <c r="DU71" s="472"/>
      <c r="DV71" s="472"/>
      <c r="DW71" s="472"/>
      <c r="DX71" s="471"/>
    </row>
    <row r="72" spans="1:128" ht="17.25" x14ac:dyDescent="0.35">
      <c r="A72" s="470"/>
      <c r="B72" s="474"/>
      <c r="C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0"/>
      <c r="AO72" s="473"/>
      <c r="AP72" s="473"/>
      <c r="AQ72" s="473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0"/>
      <c r="DU72" s="472"/>
      <c r="DV72" s="472"/>
      <c r="DW72" s="472"/>
      <c r="DX72" s="471"/>
    </row>
    <row r="73" spans="1:128" ht="17.25" x14ac:dyDescent="0.35">
      <c r="A73" s="470"/>
      <c r="B73" s="474"/>
      <c r="C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0"/>
      <c r="AO73" s="473"/>
      <c r="AP73" s="473"/>
      <c r="AQ73" s="473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0"/>
      <c r="DU73" s="472"/>
      <c r="DV73" s="472"/>
      <c r="DW73" s="472"/>
      <c r="DX73" s="471"/>
    </row>
    <row r="74" spans="1:128" ht="17.25" x14ac:dyDescent="0.35">
      <c r="A74" s="470"/>
      <c r="B74" s="474"/>
      <c r="C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3"/>
      <c r="AP74" s="473"/>
      <c r="AQ74" s="473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0"/>
      <c r="DU74" s="472"/>
      <c r="DV74" s="472"/>
      <c r="DW74" s="472"/>
      <c r="DX74" s="471"/>
    </row>
    <row r="75" spans="1:128" ht="17.25" x14ac:dyDescent="0.35">
      <c r="A75" s="470"/>
      <c r="B75" s="474"/>
      <c r="C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0"/>
      <c r="AO75" s="473"/>
      <c r="AP75" s="473"/>
      <c r="AQ75" s="473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0"/>
      <c r="DU75" s="472"/>
      <c r="DV75" s="472"/>
      <c r="DW75" s="472"/>
      <c r="DX75" s="471"/>
    </row>
    <row r="76" spans="1:128" ht="17.25" x14ac:dyDescent="0.35">
      <c r="A76" s="470"/>
      <c r="B76" s="474"/>
      <c r="C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3"/>
      <c r="AP76" s="473"/>
      <c r="AQ76" s="473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0"/>
      <c r="DU76" s="472"/>
      <c r="DV76" s="472"/>
      <c r="DW76" s="472"/>
      <c r="DX76" s="471"/>
    </row>
    <row r="77" spans="1:128" ht="17.25" x14ac:dyDescent="0.35">
      <c r="A77" s="470"/>
      <c r="B77" s="474"/>
      <c r="C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3"/>
      <c r="AP77" s="473"/>
      <c r="AQ77" s="473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0"/>
      <c r="DU77" s="472"/>
      <c r="DV77" s="472"/>
      <c r="DW77" s="472"/>
      <c r="DX77" s="471"/>
    </row>
    <row r="78" spans="1:128" ht="17.25" x14ac:dyDescent="0.35">
      <c r="A78" s="470"/>
      <c r="B78" s="474"/>
      <c r="C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3"/>
      <c r="AP78" s="473"/>
      <c r="AQ78" s="473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0"/>
      <c r="DU78" s="472"/>
      <c r="DV78" s="472"/>
      <c r="DW78" s="472"/>
      <c r="DX78" s="471"/>
    </row>
    <row r="79" spans="1:128" ht="17.25" x14ac:dyDescent="0.35">
      <c r="A79" s="470"/>
      <c r="B79" s="474"/>
      <c r="C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3"/>
      <c r="AP79" s="473"/>
      <c r="AQ79" s="473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0"/>
      <c r="DU79" s="472"/>
      <c r="DV79" s="472"/>
      <c r="DW79" s="472"/>
      <c r="DX79" s="471"/>
    </row>
    <row r="80" spans="1:128" ht="17.25" x14ac:dyDescent="0.35">
      <c r="A80" s="470"/>
      <c r="B80" s="474"/>
      <c r="C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0"/>
      <c r="AO80" s="473"/>
      <c r="AP80" s="473"/>
      <c r="AQ80" s="473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0"/>
      <c r="DU80" s="472"/>
      <c r="DV80" s="472"/>
      <c r="DW80" s="472"/>
      <c r="DX80" s="471"/>
    </row>
    <row r="81" spans="1:128" ht="17.25" x14ac:dyDescent="0.35">
      <c r="A81" s="470"/>
      <c r="B81" s="474"/>
      <c r="C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0"/>
      <c r="AO81" s="473"/>
      <c r="AP81" s="473"/>
      <c r="AQ81" s="473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0"/>
      <c r="DU81" s="472"/>
      <c r="DV81" s="472"/>
      <c r="DW81" s="472"/>
      <c r="DX81" s="471"/>
    </row>
    <row r="82" spans="1:128" ht="17.25" x14ac:dyDescent="0.35">
      <c r="A82" s="470"/>
      <c r="B82" s="474"/>
      <c r="C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0"/>
      <c r="AO82" s="473"/>
      <c r="AP82" s="473"/>
      <c r="AQ82" s="473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0"/>
      <c r="DU82" s="472"/>
      <c r="DV82" s="472"/>
      <c r="DW82" s="472"/>
      <c r="DX82" s="471"/>
    </row>
    <row r="83" spans="1:128" ht="17.25" x14ac:dyDescent="0.35">
      <c r="A83" s="470"/>
      <c r="B83" s="474"/>
      <c r="C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0"/>
      <c r="AO83" s="473"/>
      <c r="AP83" s="473"/>
      <c r="AQ83" s="473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0"/>
      <c r="DU83" s="472"/>
      <c r="DV83" s="472"/>
      <c r="DW83" s="472"/>
      <c r="DX83" s="471"/>
    </row>
    <row r="84" spans="1:128" ht="17.25" x14ac:dyDescent="0.35">
      <c r="A84" s="470"/>
      <c r="B84" s="474"/>
      <c r="C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0"/>
      <c r="AO84" s="473"/>
      <c r="AP84" s="473"/>
      <c r="AQ84" s="473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0"/>
      <c r="DU84" s="472"/>
      <c r="DV84" s="472"/>
      <c r="DW84" s="472"/>
      <c r="DX84" s="471"/>
    </row>
    <row r="85" spans="1:128" ht="17.25" x14ac:dyDescent="0.35">
      <c r="A85" s="470"/>
      <c r="B85" s="474"/>
      <c r="C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0"/>
      <c r="AO85" s="473"/>
      <c r="AP85" s="473"/>
      <c r="AQ85" s="473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0"/>
      <c r="DU85" s="472"/>
      <c r="DV85" s="472"/>
      <c r="DW85" s="472"/>
      <c r="DX85" s="471"/>
    </row>
    <row r="86" spans="1:128" ht="17.25" x14ac:dyDescent="0.35">
      <c r="A86" s="470"/>
      <c r="B86" s="474"/>
      <c r="C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3"/>
      <c r="AP86" s="473"/>
      <c r="AQ86" s="473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0"/>
      <c r="DU86" s="472"/>
      <c r="DV86" s="472"/>
      <c r="DW86" s="472"/>
      <c r="DX86" s="471"/>
    </row>
    <row r="87" spans="1:128" ht="17.25" x14ac:dyDescent="0.35">
      <c r="A87" s="470"/>
      <c r="B87" s="474"/>
      <c r="C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0"/>
      <c r="AO87" s="473"/>
      <c r="AP87" s="473"/>
      <c r="AQ87" s="473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0"/>
      <c r="DU87" s="472"/>
      <c r="DV87" s="472"/>
      <c r="DW87" s="472"/>
      <c r="DX87" s="471"/>
    </row>
    <row r="88" spans="1:128" ht="17.25" x14ac:dyDescent="0.35">
      <c r="A88" s="470"/>
      <c r="B88" s="474"/>
      <c r="C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0"/>
      <c r="AO88" s="473"/>
      <c r="AP88" s="473"/>
      <c r="AQ88" s="473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0"/>
      <c r="DU88" s="472"/>
      <c r="DV88" s="472"/>
      <c r="DW88" s="472"/>
      <c r="DX88" s="471"/>
    </row>
    <row r="89" spans="1:128" ht="17.25" x14ac:dyDescent="0.35">
      <c r="A89" s="470"/>
      <c r="B89" s="474"/>
      <c r="C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0"/>
      <c r="AO89" s="473"/>
      <c r="AP89" s="473"/>
      <c r="AQ89" s="473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0"/>
      <c r="DU89" s="472"/>
      <c r="DV89" s="472"/>
      <c r="DW89" s="472"/>
      <c r="DX89" s="471"/>
    </row>
    <row r="90" spans="1:128" ht="17.25" x14ac:dyDescent="0.35">
      <c r="A90" s="470"/>
      <c r="B90" s="474"/>
      <c r="C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0"/>
      <c r="AO90" s="473"/>
      <c r="AP90" s="473"/>
      <c r="AQ90" s="473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0"/>
      <c r="DU90" s="472"/>
      <c r="DV90" s="472"/>
      <c r="DW90" s="472"/>
      <c r="DX90" s="471"/>
    </row>
    <row r="91" spans="1:128" ht="17.25" x14ac:dyDescent="0.35">
      <c r="A91" s="470"/>
      <c r="B91" s="474"/>
      <c r="C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0"/>
      <c r="AO91" s="473"/>
      <c r="AP91" s="473"/>
      <c r="AQ91" s="473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0"/>
      <c r="DU91" s="472"/>
      <c r="DV91" s="472"/>
      <c r="DW91" s="472"/>
      <c r="DX91" s="471"/>
    </row>
    <row r="92" spans="1:128" ht="17.25" x14ac:dyDescent="0.35">
      <c r="A92" s="470"/>
      <c r="B92" s="474"/>
      <c r="C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0"/>
      <c r="AO92" s="473"/>
      <c r="AP92" s="473"/>
      <c r="AQ92" s="473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0"/>
      <c r="DU92" s="472"/>
      <c r="DV92" s="472"/>
      <c r="DW92" s="472"/>
      <c r="DX92" s="471"/>
    </row>
    <row r="93" spans="1:128" ht="17.25" x14ac:dyDescent="0.35">
      <c r="A93" s="470"/>
      <c r="B93" s="474"/>
      <c r="C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70"/>
      <c r="Z93" s="470"/>
      <c r="AA93" s="470"/>
      <c r="AB93" s="470"/>
      <c r="AC93" s="470"/>
      <c r="AD93" s="470"/>
      <c r="AE93" s="470"/>
      <c r="AF93" s="470"/>
      <c r="AG93" s="470"/>
      <c r="AH93" s="470"/>
      <c r="AI93" s="470"/>
      <c r="AJ93" s="470"/>
      <c r="AK93" s="470"/>
      <c r="AL93" s="470"/>
      <c r="AM93" s="470"/>
      <c r="AN93" s="470"/>
      <c r="AO93" s="473"/>
      <c r="AP93" s="473"/>
      <c r="AQ93" s="473"/>
      <c r="AR93" s="470"/>
      <c r="AS93" s="470"/>
      <c r="AT93" s="470"/>
      <c r="AU93" s="470"/>
      <c r="AV93" s="470"/>
      <c r="AW93" s="470"/>
      <c r="AX93" s="470"/>
      <c r="AY93" s="470"/>
      <c r="AZ93" s="470"/>
      <c r="BA93" s="470"/>
      <c r="BB93" s="470"/>
      <c r="BC93" s="470"/>
      <c r="BD93" s="470"/>
      <c r="BE93" s="470"/>
      <c r="BF93" s="470"/>
      <c r="BG93" s="470"/>
      <c r="BH93" s="470"/>
      <c r="BI93" s="470"/>
      <c r="BJ93" s="470"/>
      <c r="BK93" s="470"/>
      <c r="BL93" s="470"/>
      <c r="BM93" s="470"/>
      <c r="BN93" s="470"/>
      <c r="BO93" s="470"/>
      <c r="BP93" s="470"/>
      <c r="BQ93" s="470"/>
      <c r="BR93" s="470"/>
      <c r="BS93" s="470"/>
      <c r="BT93" s="470"/>
      <c r="BU93" s="470"/>
      <c r="BV93" s="470"/>
      <c r="BW93" s="470"/>
      <c r="BX93" s="470"/>
      <c r="BY93" s="470"/>
      <c r="BZ93" s="470"/>
      <c r="CA93" s="470"/>
      <c r="CB93" s="470"/>
      <c r="CC93" s="470"/>
      <c r="CD93" s="470"/>
      <c r="CE93" s="470"/>
      <c r="CF93" s="470"/>
      <c r="CG93" s="470"/>
      <c r="CH93" s="470"/>
      <c r="CI93" s="470"/>
      <c r="CJ93" s="470"/>
      <c r="CK93" s="470"/>
      <c r="CL93" s="470"/>
      <c r="CM93" s="470"/>
      <c r="CN93" s="470"/>
      <c r="CO93" s="470"/>
      <c r="CP93" s="470"/>
      <c r="CQ93" s="470"/>
      <c r="CR93" s="470"/>
      <c r="CS93" s="470"/>
      <c r="CT93" s="470"/>
      <c r="CU93" s="470"/>
      <c r="CV93" s="470"/>
      <c r="CW93" s="470"/>
      <c r="CX93" s="470"/>
      <c r="CY93" s="470"/>
      <c r="CZ93" s="470"/>
      <c r="DA93" s="470"/>
      <c r="DB93" s="470"/>
      <c r="DC93" s="470"/>
      <c r="DD93" s="470"/>
      <c r="DE93" s="470"/>
      <c r="DF93" s="470"/>
      <c r="DG93" s="470"/>
      <c r="DH93" s="470"/>
      <c r="DI93" s="470"/>
      <c r="DJ93" s="470"/>
      <c r="DK93" s="470"/>
      <c r="DL93" s="470"/>
      <c r="DM93" s="470"/>
      <c r="DN93" s="470"/>
      <c r="DO93" s="470"/>
      <c r="DP93" s="470"/>
      <c r="DQ93" s="470"/>
      <c r="DR93" s="470"/>
      <c r="DS93" s="470"/>
      <c r="DT93" s="470"/>
      <c r="DU93" s="472"/>
      <c r="DV93" s="472"/>
      <c r="DW93" s="472"/>
      <c r="DX93" s="471"/>
    </row>
    <row r="94" spans="1:128" ht="17.25" x14ac:dyDescent="0.35">
      <c r="A94" s="470"/>
      <c r="B94" s="474"/>
      <c r="C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3"/>
      <c r="AP94" s="473"/>
      <c r="AQ94" s="473"/>
      <c r="AR94" s="470"/>
      <c r="AS94" s="470"/>
      <c r="AT94" s="470"/>
      <c r="AU94" s="470"/>
      <c r="AV94" s="470"/>
      <c r="AW94" s="470"/>
      <c r="AX94" s="470"/>
      <c r="AY94" s="470"/>
      <c r="AZ94" s="470"/>
      <c r="BA94" s="470"/>
      <c r="BB94" s="470"/>
      <c r="BC94" s="470"/>
      <c r="BD94" s="470"/>
      <c r="BE94" s="470"/>
      <c r="BF94" s="470"/>
      <c r="BG94" s="470"/>
      <c r="BH94" s="470"/>
      <c r="BI94" s="470"/>
      <c r="BJ94" s="470"/>
      <c r="BK94" s="470"/>
      <c r="BL94" s="470"/>
      <c r="BM94" s="470"/>
      <c r="BN94" s="470"/>
      <c r="BO94" s="470"/>
      <c r="BP94" s="470"/>
      <c r="BQ94" s="470"/>
      <c r="BR94" s="470"/>
      <c r="BS94" s="470"/>
      <c r="BT94" s="470"/>
      <c r="BU94" s="470"/>
      <c r="BV94" s="470"/>
      <c r="BW94" s="470"/>
      <c r="BX94" s="470"/>
      <c r="BY94" s="470"/>
      <c r="BZ94" s="470"/>
      <c r="CA94" s="470"/>
      <c r="CB94" s="470"/>
      <c r="CC94" s="470"/>
      <c r="CD94" s="470"/>
      <c r="CE94" s="470"/>
      <c r="CF94" s="470"/>
      <c r="CG94" s="470"/>
      <c r="CH94" s="470"/>
      <c r="CI94" s="470"/>
      <c r="CJ94" s="470"/>
      <c r="CK94" s="470"/>
      <c r="CL94" s="470"/>
      <c r="CM94" s="470"/>
      <c r="CN94" s="470"/>
      <c r="CO94" s="470"/>
      <c r="CP94" s="470"/>
      <c r="CQ94" s="470"/>
      <c r="CR94" s="470"/>
      <c r="CS94" s="470"/>
      <c r="CT94" s="470"/>
      <c r="CU94" s="470"/>
      <c r="CV94" s="470"/>
      <c r="CW94" s="470"/>
      <c r="CX94" s="470"/>
      <c r="CY94" s="470"/>
      <c r="CZ94" s="470"/>
      <c r="DA94" s="470"/>
      <c r="DB94" s="470"/>
      <c r="DC94" s="470"/>
      <c r="DD94" s="470"/>
      <c r="DE94" s="470"/>
      <c r="DF94" s="470"/>
      <c r="DG94" s="470"/>
      <c r="DH94" s="470"/>
      <c r="DI94" s="470"/>
      <c r="DJ94" s="470"/>
      <c r="DK94" s="470"/>
      <c r="DL94" s="470"/>
      <c r="DM94" s="470"/>
      <c r="DN94" s="470"/>
      <c r="DO94" s="470"/>
      <c r="DP94" s="470"/>
      <c r="DQ94" s="470"/>
      <c r="DR94" s="470"/>
      <c r="DS94" s="470"/>
      <c r="DT94" s="470"/>
      <c r="DU94" s="472"/>
      <c r="DV94" s="472"/>
      <c r="DW94" s="472"/>
      <c r="DX94" s="471"/>
    </row>
    <row r="95" spans="1:128" x14ac:dyDescent="0.3">
      <c r="C95" s="470"/>
    </row>
    <row r="96" spans="1:128" x14ac:dyDescent="0.3">
      <c r="C96" s="470"/>
    </row>
    <row r="97" spans="3:3" x14ac:dyDescent="0.3">
      <c r="C97" s="470"/>
    </row>
  </sheetData>
  <mergeCells count="18">
    <mergeCell ref="DW8:DW9"/>
    <mergeCell ref="DU8:DU9"/>
    <mergeCell ref="DV8:DV9"/>
    <mergeCell ref="DX8:DX9"/>
    <mergeCell ref="DI8:DT8"/>
    <mergeCell ref="CW8:DH8"/>
    <mergeCell ref="B8:B9"/>
    <mergeCell ref="BY8:CJ8"/>
    <mergeCell ref="A8:A9"/>
    <mergeCell ref="Q8:AB8"/>
    <mergeCell ref="AC8:AN8"/>
    <mergeCell ref="AO8:AZ8"/>
    <mergeCell ref="BA8:BL8"/>
    <mergeCell ref="C8:C9"/>
    <mergeCell ref="CK8:CV8"/>
    <mergeCell ref="E8:P8"/>
    <mergeCell ref="D8:D9"/>
    <mergeCell ref="BM8:BX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92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12" sqref="D12"/>
    </sheetView>
  </sheetViews>
  <sheetFormatPr defaultColWidth="8" defaultRowHeight="16.5" x14ac:dyDescent="0.3"/>
  <cols>
    <col min="1" max="1" width="45" style="464" customWidth="1"/>
    <col min="2" max="2" width="7.125" style="464" customWidth="1"/>
    <col min="3" max="3" width="8" style="464" customWidth="1"/>
    <col min="4" max="12" width="2.75" style="464" customWidth="1"/>
    <col min="13" max="13" width="2.75" style="468" customWidth="1"/>
    <col min="14" max="14" width="2.75" style="467" customWidth="1"/>
    <col min="15" max="123" width="2.75" style="466" customWidth="1"/>
    <col min="124" max="124" width="9.125" style="465" customWidth="1"/>
    <col min="125" max="126" width="9.5" style="465" customWidth="1"/>
    <col min="127" max="127" width="78.5" style="464" customWidth="1"/>
    <col min="128" max="16384" width="8" style="464"/>
  </cols>
  <sheetData>
    <row r="1" spans="1:135" ht="27.75" x14ac:dyDescent="0.45">
      <c r="A1" s="525" t="s">
        <v>0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</row>
    <row r="2" spans="1:135" ht="21" x14ac:dyDescent="0.35">
      <c r="A2" s="523" t="s">
        <v>1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</row>
    <row r="3" spans="1:135" ht="18" x14ac:dyDescent="0.35">
      <c r="A3" s="513" t="s">
        <v>764</v>
      </c>
    </row>
    <row r="4" spans="1:135" x14ac:dyDescent="0.3">
      <c r="A4" s="464" t="s">
        <v>763</v>
      </c>
      <c r="E4" s="464" t="s">
        <v>762</v>
      </c>
      <c r="H4" s="486" t="s">
        <v>168</v>
      </c>
      <c r="I4" s="495" t="s">
        <v>167</v>
      </c>
      <c r="J4" s="497" t="s">
        <v>166</v>
      </c>
      <c r="K4" s="485" t="s">
        <v>165</v>
      </c>
      <c r="L4" s="496" t="s">
        <v>164</v>
      </c>
      <c r="M4" s="491" t="s">
        <v>163</v>
      </c>
      <c r="N4" s="484" t="s">
        <v>162</v>
      </c>
      <c r="O4" s="490" t="s">
        <v>161</v>
      </c>
      <c r="P4" s="492" t="s">
        <v>160</v>
      </c>
      <c r="Q4" s="503" t="s">
        <v>159</v>
      </c>
      <c r="R4" s="522" t="s">
        <v>158</v>
      </c>
      <c r="S4" s="521" t="s">
        <v>157</v>
      </c>
      <c r="T4" s="464" t="s">
        <v>761</v>
      </c>
    </row>
    <row r="5" spans="1:135" x14ac:dyDescent="0.3">
      <c r="A5" s="464" t="s">
        <v>760</v>
      </c>
      <c r="H5" s="500"/>
      <c r="I5" s="500"/>
      <c r="J5" s="500"/>
      <c r="K5" s="519"/>
      <c r="L5" s="519"/>
      <c r="M5" s="519"/>
      <c r="N5" s="518"/>
      <c r="O5" s="500"/>
      <c r="P5" s="500"/>
      <c r="Q5" s="500"/>
      <c r="R5" s="500"/>
      <c r="S5" s="500"/>
      <c r="T5" s="517"/>
      <c r="U5" s="517"/>
    </row>
    <row r="6" spans="1:135" s="515" customFormat="1" x14ac:dyDescent="0.3">
      <c r="H6" s="483"/>
      <c r="I6" s="464" t="s">
        <v>759</v>
      </c>
      <c r="J6" s="500"/>
      <c r="K6" s="519"/>
      <c r="L6" s="519"/>
      <c r="M6" s="519"/>
      <c r="N6" s="518"/>
      <c r="O6" s="500"/>
      <c r="P6" s="500"/>
      <c r="Q6" s="500"/>
      <c r="R6" s="500"/>
      <c r="S6" s="500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6"/>
      <c r="DU6" s="516"/>
      <c r="DV6" s="516"/>
    </row>
    <row r="7" spans="1:135" ht="18" x14ac:dyDescent="0.35">
      <c r="A7" s="513"/>
      <c r="C7" s="513"/>
      <c r="D7" s="513"/>
      <c r="E7" s="513"/>
      <c r="F7" s="513"/>
      <c r="G7" s="513"/>
      <c r="H7" s="513"/>
      <c r="I7" s="513"/>
      <c r="J7" s="513"/>
      <c r="K7" s="513"/>
      <c r="L7" s="513"/>
    </row>
    <row r="8" spans="1:135" s="511" customFormat="1" ht="17.649999999999999" customHeight="1" x14ac:dyDescent="0.3">
      <c r="A8" s="800" t="s">
        <v>758</v>
      </c>
      <c r="B8" s="801" t="s">
        <v>757</v>
      </c>
      <c r="C8" s="800" t="s">
        <v>6</v>
      </c>
      <c r="D8" s="800" t="s">
        <v>755</v>
      </c>
      <c r="E8" s="800"/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 t="s">
        <v>754</v>
      </c>
      <c r="Q8" s="800"/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 t="s">
        <v>7</v>
      </c>
      <c r="AC8" s="800"/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 t="s">
        <v>753</v>
      </c>
      <c r="AO8" s="800"/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 t="s">
        <v>9</v>
      </c>
      <c r="BA8" s="800"/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 t="s">
        <v>10</v>
      </c>
      <c r="BM8" s="800"/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 t="s">
        <v>752</v>
      </c>
      <c r="BY8" s="800"/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 t="s">
        <v>751</v>
      </c>
      <c r="CK8" s="800"/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 t="s">
        <v>750</v>
      </c>
      <c r="CW8" s="800"/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 t="s">
        <v>749</v>
      </c>
      <c r="DI8" s="800"/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3" t="s">
        <v>748</v>
      </c>
      <c r="DU8" s="801" t="s">
        <v>747</v>
      </c>
      <c r="DV8" s="801" t="s">
        <v>747</v>
      </c>
      <c r="DW8" s="800" t="s">
        <v>746</v>
      </c>
    </row>
    <row r="9" spans="1:135" s="510" customFormat="1" ht="13.5" customHeight="1" x14ac:dyDescent="0.3">
      <c r="A9" s="828"/>
      <c r="B9" s="829"/>
      <c r="C9" s="828"/>
      <c r="D9" s="597">
        <v>1</v>
      </c>
      <c r="E9" s="597">
        <v>2</v>
      </c>
      <c r="F9" s="597">
        <v>3</v>
      </c>
      <c r="G9" s="597">
        <v>4</v>
      </c>
      <c r="H9" s="597">
        <v>5</v>
      </c>
      <c r="I9" s="597">
        <v>6</v>
      </c>
      <c r="J9" s="597">
        <v>7</v>
      </c>
      <c r="K9" s="597">
        <v>8</v>
      </c>
      <c r="L9" s="597">
        <v>9</v>
      </c>
      <c r="M9" s="597">
        <v>10</v>
      </c>
      <c r="N9" s="597">
        <v>11</v>
      </c>
      <c r="O9" s="512">
        <v>12</v>
      </c>
      <c r="P9" s="512">
        <v>1</v>
      </c>
      <c r="Q9" s="512">
        <v>2</v>
      </c>
      <c r="R9" s="512">
        <v>3</v>
      </c>
      <c r="S9" s="512">
        <v>4</v>
      </c>
      <c r="T9" s="512">
        <v>5</v>
      </c>
      <c r="U9" s="512">
        <v>6</v>
      </c>
      <c r="V9" s="512">
        <v>7</v>
      </c>
      <c r="W9" s="512">
        <v>8</v>
      </c>
      <c r="X9" s="512">
        <v>9</v>
      </c>
      <c r="Y9" s="512">
        <v>10</v>
      </c>
      <c r="Z9" s="512">
        <v>11</v>
      </c>
      <c r="AA9" s="512">
        <v>12</v>
      </c>
      <c r="AB9" s="512">
        <v>1</v>
      </c>
      <c r="AC9" s="512">
        <v>2</v>
      </c>
      <c r="AD9" s="512">
        <v>3</v>
      </c>
      <c r="AE9" s="512">
        <v>4</v>
      </c>
      <c r="AF9" s="512">
        <v>5</v>
      </c>
      <c r="AG9" s="512">
        <v>6</v>
      </c>
      <c r="AH9" s="512">
        <v>7</v>
      </c>
      <c r="AI9" s="512">
        <v>8</v>
      </c>
      <c r="AJ9" s="512">
        <v>9</v>
      </c>
      <c r="AK9" s="512">
        <v>10</v>
      </c>
      <c r="AL9" s="512">
        <v>11</v>
      </c>
      <c r="AM9" s="512">
        <v>12</v>
      </c>
      <c r="AN9" s="512">
        <v>1</v>
      </c>
      <c r="AO9" s="512">
        <v>2</v>
      </c>
      <c r="AP9" s="512">
        <v>3</v>
      </c>
      <c r="AQ9" s="512">
        <v>4</v>
      </c>
      <c r="AR9" s="512">
        <v>5</v>
      </c>
      <c r="AS9" s="512">
        <v>6</v>
      </c>
      <c r="AT9" s="512">
        <v>7</v>
      </c>
      <c r="AU9" s="512">
        <v>8</v>
      </c>
      <c r="AV9" s="512">
        <v>9</v>
      </c>
      <c r="AW9" s="512">
        <v>10</v>
      </c>
      <c r="AX9" s="512">
        <v>11</v>
      </c>
      <c r="AY9" s="512">
        <v>12</v>
      </c>
      <c r="AZ9" s="512">
        <v>1</v>
      </c>
      <c r="BA9" s="512">
        <v>2</v>
      </c>
      <c r="BB9" s="512">
        <v>3</v>
      </c>
      <c r="BC9" s="512">
        <v>4</v>
      </c>
      <c r="BD9" s="512">
        <v>5</v>
      </c>
      <c r="BE9" s="512">
        <v>6</v>
      </c>
      <c r="BF9" s="512">
        <v>7</v>
      </c>
      <c r="BG9" s="512">
        <v>8</v>
      </c>
      <c r="BH9" s="512">
        <v>9</v>
      </c>
      <c r="BI9" s="512">
        <v>10</v>
      </c>
      <c r="BJ9" s="512">
        <v>11</v>
      </c>
      <c r="BK9" s="512">
        <v>12</v>
      </c>
      <c r="BL9" s="512">
        <v>1</v>
      </c>
      <c r="BM9" s="512">
        <v>2</v>
      </c>
      <c r="BN9" s="512">
        <v>3</v>
      </c>
      <c r="BO9" s="512">
        <v>4</v>
      </c>
      <c r="BP9" s="512">
        <v>5</v>
      </c>
      <c r="BQ9" s="512">
        <v>6</v>
      </c>
      <c r="BR9" s="512">
        <v>7</v>
      </c>
      <c r="BS9" s="512">
        <v>8</v>
      </c>
      <c r="BT9" s="512">
        <v>9</v>
      </c>
      <c r="BU9" s="512">
        <v>10</v>
      </c>
      <c r="BV9" s="512">
        <v>11</v>
      </c>
      <c r="BW9" s="512">
        <v>12</v>
      </c>
      <c r="BX9" s="512">
        <v>1</v>
      </c>
      <c r="BY9" s="512">
        <v>2</v>
      </c>
      <c r="BZ9" s="512">
        <v>3</v>
      </c>
      <c r="CA9" s="512">
        <v>4</v>
      </c>
      <c r="CB9" s="512">
        <v>5</v>
      </c>
      <c r="CC9" s="512">
        <v>6</v>
      </c>
      <c r="CD9" s="512">
        <v>7</v>
      </c>
      <c r="CE9" s="512">
        <v>8</v>
      </c>
      <c r="CF9" s="512">
        <v>9</v>
      </c>
      <c r="CG9" s="512">
        <v>10</v>
      </c>
      <c r="CH9" s="512">
        <v>11</v>
      </c>
      <c r="CI9" s="512">
        <v>12</v>
      </c>
      <c r="CJ9" s="512">
        <v>1</v>
      </c>
      <c r="CK9" s="512">
        <v>2</v>
      </c>
      <c r="CL9" s="512">
        <v>3</v>
      </c>
      <c r="CM9" s="512">
        <v>4</v>
      </c>
      <c r="CN9" s="512">
        <v>5</v>
      </c>
      <c r="CO9" s="512">
        <v>6</v>
      </c>
      <c r="CP9" s="512">
        <v>7</v>
      </c>
      <c r="CQ9" s="512">
        <v>8</v>
      </c>
      <c r="CR9" s="512">
        <v>9</v>
      </c>
      <c r="CS9" s="512">
        <v>10</v>
      </c>
      <c r="CT9" s="512">
        <v>11</v>
      </c>
      <c r="CU9" s="512">
        <v>12</v>
      </c>
      <c r="CV9" s="512">
        <v>1</v>
      </c>
      <c r="CW9" s="512">
        <v>2</v>
      </c>
      <c r="CX9" s="512">
        <v>3</v>
      </c>
      <c r="CY9" s="512">
        <v>4</v>
      </c>
      <c r="CZ9" s="512">
        <v>5</v>
      </c>
      <c r="DA9" s="512">
        <v>6</v>
      </c>
      <c r="DB9" s="512">
        <v>7</v>
      </c>
      <c r="DC9" s="512">
        <v>8</v>
      </c>
      <c r="DD9" s="512">
        <v>9</v>
      </c>
      <c r="DE9" s="512">
        <v>10</v>
      </c>
      <c r="DF9" s="512">
        <v>11</v>
      </c>
      <c r="DG9" s="512">
        <v>12</v>
      </c>
      <c r="DH9" s="512">
        <v>1</v>
      </c>
      <c r="DI9" s="512">
        <v>2</v>
      </c>
      <c r="DJ9" s="512">
        <v>3</v>
      </c>
      <c r="DK9" s="512">
        <v>4</v>
      </c>
      <c r="DL9" s="512">
        <v>5</v>
      </c>
      <c r="DM9" s="512">
        <v>6</v>
      </c>
      <c r="DN9" s="512">
        <v>7</v>
      </c>
      <c r="DO9" s="512">
        <v>8</v>
      </c>
      <c r="DP9" s="512">
        <v>9</v>
      </c>
      <c r="DQ9" s="512">
        <v>10</v>
      </c>
      <c r="DR9" s="512">
        <v>11</v>
      </c>
      <c r="DS9" s="512">
        <v>12</v>
      </c>
      <c r="DT9" s="803"/>
      <c r="DU9" s="802"/>
      <c r="DV9" s="802"/>
      <c r="DW9" s="800"/>
      <c r="DX9" s="511"/>
      <c r="DY9" s="511"/>
      <c r="DZ9" s="511"/>
      <c r="EA9" s="511"/>
      <c r="EB9" s="511"/>
      <c r="EC9" s="511"/>
      <c r="ED9" s="511"/>
      <c r="EE9" s="511"/>
    </row>
    <row r="10" spans="1:135" s="481" customFormat="1" ht="15.75" x14ac:dyDescent="0.35">
      <c r="A10" s="589" t="s">
        <v>15</v>
      </c>
      <c r="B10" s="598" t="s">
        <v>36</v>
      </c>
      <c r="C10" s="599" t="s">
        <v>16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561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691" t="s">
        <v>168</v>
      </c>
      <c r="AC10" s="691" t="s">
        <v>168</v>
      </c>
      <c r="AD10" s="691" t="s">
        <v>168</v>
      </c>
      <c r="AE10" s="692" t="s">
        <v>165</v>
      </c>
      <c r="AF10" s="692" t="s">
        <v>165</v>
      </c>
      <c r="AG10" s="692" t="s">
        <v>165</v>
      </c>
      <c r="AH10" s="693" t="s">
        <v>162</v>
      </c>
      <c r="AI10" s="693" t="s">
        <v>162</v>
      </c>
      <c r="AJ10" s="693" t="s">
        <v>162</v>
      </c>
      <c r="AK10" s="694" t="s">
        <v>159</v>
      </c>
      <c r="AL10" s="694" t="s">
        <v>159</v>
      </c>
      <c r="AM10" s="694" t="s">
        <v>159</v>
      </c>
      <c r="AN10" s="691" t="s">
        <v>168</v>
      </c>
      <c r="AO10" s="691" t="s">
        <v>168</v>
      </c>
      <c r="AP10" s="691" t="s">
        <v>168</v>
      </c>
      <c r="AQ10" s="692" t="s">
        <v>165</v>
      </c>
      <c r="AR10" s="692" t="s">
        <v>165</v>
      </c>
      <c r="AS10" s="692" t="s">
        <v>165</v>
      </c>
      <c r="AT10" s="693" t="s">
        <v>162</v>
      </c>
      <c r="AU10" s="693" t="s">
        <v>162</v>
      </c>
      <c r="AV10" s="693" t="s">
        <v>162</v>
      </c>
      <c r="AW10" s="694" t="s">
        <v>159</v>
      </c>
      <c r="AX10" s="694" t="s">
        <v>159</v>
      </c>
      <c r="AY10" s="694" t="s">
        <v>159</v>
      </c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72" t="s">
        <v>860</v>
      </c>
      <c r="DU10" s="483"/>
      <c r="DV10" s="483"/>
      <c r="DW10" s="489"/>
      <c r="DX10" s="479"/>
      <c r="DY10" s="479"/>
      <c r="DZ10" s="479"/>
      <c r="EA10" s="479"/>
      <c r="EB10" s="479"/>
      <c r="EC10" s="479"/>
      <c r="ED10" s="479"/>
      <c r="EE10" s="479"/>
    </row>
    <row r="11" spans="1:135" s="481" customFormat="1" ht="15.75" x14ac:dyDescent="0.35">
      <c r="A11" s="589" t="s">
        <v>771</v>
      </c>
      <c r="B11" s="598" t="s">
        <v>36</v>
      </c>
      <c r="C11" s="599" t="s">
        <v>18</v>
      </c>
      <c r="D11" s="600" t="s">
        <v>168</v>
      </c>
      <c r="E11" s="601" t="s">
        <v>167</v>
      </c>
      <c r="F11" s="602" t="s">
        <v>166</v>
      </c>
      <c r="G11" s="603" t="s">
        <v>165</v>
      </c>
      <c r="H11" s="604" t="s">
        <v>164</v>
      </c>
      <c r="I11" s="605" t="s">
        <v>163</v>
      </c>
      <c r="J11" s="483"/>
      <c r="K11" s="483"/>
      <c r="L11" s="483"/>
      <c r="M11" s="483"/>
      <c r="N11" s="483"/>
      <c r="O11" s="561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83"/>
      <c r="CL11" s="483"/>
      <c r="CM11" s="483"/>
      <c r="CN11" s="483"/>
      <c r="CO11" s="483"/>
      <c r="CP11" s="483"/>
      <c r="CQ11" s="483"/>
      <c r="CR11" s="483"/>
      <c r="CS11" s="483"/>
      <c r="CT11" s="483"/>
      <c r="CU11" s="483"/>
      <c r="CV11" s="483"/>
      <c r="CW11" s="483"/>
      <c r="CX11" s="483"/>
      <c r="CY11" s="483"/>
      <c r="CZ11" s="483"/>
      <c r="DA11" s="483"/>
      <c r="DB11" s="483"/>
      <c r="DC11" s="483"/>
      <c r="DD11" s="483"/>
      <c r="DE11" s="483"/>
      <c r="DF11" s="483"/>
      <c r="DG11" s="483"/>
      <c r="DH11" s="483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83"/>
      <c r="DV11" s="483"/>
      <c r="DW11" s="471"/>
      <c r="DX11" s="479"/>
      <c r="DY11" s="479"/>
      <c r="DZ11" s="479"/>
      <c r="EA11" s="479"/>
      <c r="EB11" s="479"/>
      <c r="EC11" s="479"/>
      <c r="ED11" s="479"/>
      <c r="EE11" s="479"/>
    </row>
    <row r="12" spans="1:135" s="481" customFormat="1" ht="15.75" x14ac:dyDescent="0.35">
      <c r="A12" s="590" t="s">
        <v>17</v>
      </c>
      <c r="B12" s="606" t="s">
        <v>74</v>
      </c>
      <c r="C12" s="607" t="s">
        <v>18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572"/>
      <c r="P12" s="500"/>
      <c r="Q12" s="50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500"/>
      <c r="AC12" s="519"/>
      <c r="AD12" s="519"/>
      <c r="AE12" s="519"/>
      <c r="AF12" s="519"/>
      <c r="AG12" s="519"/>
      <c r="AH12" s="519"/>
      <c r="AI12" s="500"/>
      <c r="AJ12" s="50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/>
      <c r="AY12" s="470"/>
      <c r="AZ12" s="470"/>
      <c r="BA12" s="470"/>
      <c r="BB12" s="470"/>
      <c r="BC12" s="470"/>
      <c r="BD12" s="470"/>
      <c r="BE12" s="470"/>
      <c r="BF12" s="470"/>
      <c r="BG12" s="470"/>
      <c r="BH12" s="470"/>
      <c r="BI12" s="470"/>
      <c r="BJ12" s="470"/>
      <c r="BK12" s="470"/>
      <c r="BL12" s="470"/>
      <c r="BM12" s="470"/>
      <c r="BN12" s="470"/>
      <c r="BO12" s="470"/>
      <c r="BP12" s="470"/>
      <c r="BQ12" s="470"/>
      <c r="BR12" s="470"/>
      <c r="BS12" s="470"/>
      <c r="BT12" s="470"/>
      <c r="BU12" s="470"/>
      <c r="BV12" s="470"/>
      <c r="BW12" s="470"/>
      <c r="BX12" s="470"/>
      <c r="BY12" s="470"/>
      <c r="BZ12" s="470"/>
      <c r="CA12" s="470"/>
      <c r="CB12" s="470"/>
      <c r="CC12" s="470"/>
      <c r="CD12" s="470"/>
      <c r="CE12" s="470"/>
      <c r="CF12" s="470"/>
      <c r="CG12" s="470"/>
      <c r="CH12" s="470"/>
      <c r="CI12" s="470"/>
      <c r="CJ12" s="470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70"/>
      <c r="DJ12" s="470"/>
      <c r="DK12" s="470"/>
      <c r="DL12" s="470"/>
      <c r="DM12" s="470"/>
      <c r="DN12" s="470"/>
      <c r="DO12" s="470"/>
      <c r="DP12" s="470"/>
      <c r="DQ12" s="470"/>
      <c r="DR12" s="470"/>
      <c r="DS12" s="470"/>
      <c r="DT12" s="472"/>
      <c r="DU12" s="472"/>
      <c r="DV12" s="472"/>
      <c r="DW12" s="471"/>
      <c r="DX12" s="479"/>
      <c r="DY12" s="479"/>
      <c r="DZ12" s="479"/>
      <c r="EA12" s="479"/>
      <c r="EB12" s="479"/>
      <c r="EC12" s="479"/>
      <c r="ED12" s="479"/>
      <c r="EE12" s="479"/>
    </row>
    <row r="13" spans="1:135" s="481" customFormat="1" ht="15.75" x14ac:dyDescent="0.35">
      <c r="A13" s="590" t="s">
        <v>70</v>
      </c>
      <c r="B13" s="606" t="s">
        <v>135</v>
      </c>
      <c r="C13" s="607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572"/>
      <c r="P13" s="470"/>
      <c r="Q13" s="470"/>
      <c r="R13" s="50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/>
      <c r="AY13" s="470"/>
      <c r="AZ13" s="470"/>
      <c r="BA13" s="470"/>
      <c r="BB13" s="470"/>
      <c r="BC13" s="470"/>
      <c r="BD13" s="470"/>
      <c r="BE13" s="470"/>
      <c r="BF13" s="470"/>
      <c r="BG13" s="470"/>
      <c r="BH13" s="470"/>
      <c r="BI13" s="470"/>
      <c r="BJ13" s="470"/>
      <c r="BK13" s="470"/>
      <c r="BL13" s="470"/>
      <c r="BM13" s="470"/>
      <c r="BN13" s="470"/>
      <c r="BO13" s="470"/>
      <c r="BP13" s="470"/>
      <c r="BQ13" s="470"/>
      <c r="BR13" s="470"/>
      <c r="BS13" s="470"/>
      <c r="BT13" s="470"/>
      <c r="BU13" s="470"/>
      <c r="BV13" s="470"/>
      <c r="BW13" s="470"/>
      <c r="BX13" s="470"/>
      <c r="BY13" s="470"/>
      <c r="BZ13" s="470"/>
      <c r="CA13" s="470"/>
      <c r="CB13" s="470"/>
      <c r="CC13" s="470"/>
      <c r="CD13" s="470"/>
      <c r="CE13" s="470"/>
      <c r="CF13" s="470"/>
      <c r="CG13" s="470"/>
      <c r="CH13" s="470"/>
      <c r="CI13" s="470"/>
      <c r="CJ13" s="470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70"/>
      <c r="DJ13" s="470"/>
      <c r="DK13" s="470"/>
      <c r="DL13" s="470"/>
      <c r="DM13" s="470"/>
      <c r="DN13" s="470"/>
      <c r="DO13" s="470"/>
      <c r="DP13" s="470"/>
      <c r="DQ13" s="470"/>
      <c r="DR13" s="470"/>
      <c r="DS13" s="470"/>
      <c r="DT13" s="472"/>
      <c r="DU13" s="472"/>
      <c r="DV13" s="472"/>
      <c r="DW13" s="489"/>
      <c r="DX13" s="479"/>
      <c r="DY13" s="479"/>
      <c r="DZ13" s="479"/>
      <c r="EA13" s="479"/>
      <c r="EB13" s="479"/>
      <c r="EC13" s="479"/>
      <c r="ED13" s="479"/>
      <c r="EE13" s="479"/>
    </row>
    <row r="14" spans="1:135" s="481" customFormat="1" ht="15.75" x14ac:dyDescent="0.35">
      <c r="A14" s="590" t="s">
        <v>773</v>
      </c>
      <c r="B14" s="598" t="s">
        <v>135</v>
      </c>
      <c r="C14" s="607" t="s">
        <v>18</v>
      </c>
      <c r="D14" s="600" t="s">
        <v>168</v>
      </c>
      <c r="E14" s="600" t="s">
        <v>168</v>
      </c>
      <c r="F14" s="600" t="s">
        <v>168</v>
      </c>
      <c r="G14" s="603" t="s">
        <v>165</v>
      </c>
      <c r="H14" s="603" t="s">
        <v>165</v>
      </c>
      <c r="I14" s="603" t="s">
        <v>165</v>
      </c>
      <c r="J14" s="608" t="s">
        <v>162</v>
      </c>
      <c r="K14" s="483"/>
      <c r="L14" s="483"/>
      <c r="M14" s="483"/>
      <c r="N14" s="483"/>
      <c r="O14" s="561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6" t="s">
        <v>168</v>
      </c>
      <c r="AC14" s="486" t="s">
        <v>168</v>
      </c>
      <c r="AD14" s="486" t="s">
        <v>168</v>
      </c>
      <c r="AE14" s="485" t="s">
        <v>165</v>
      </c>
      <c r="AF14" s="485" t="s">
        <v>165</v>
      </c>
      <c r="AG14" s="485" t="s">
        <v>165</v>
      </c>
      <c r="AH14" s="484" t="s">
        <v>162</v>
      </c>
      <c r="AI14" s="483"/>
      <c r="AJ14" s="483"/>
      <c r="AK14" s="483"/>
      <c r="AL14" s="483"/>
      <c r="AM14" s="483"/>
      <c r="AN14" s="486" t="s">
        <v>168</v>
      </c>
      <c r="AO14" s="486" t="s">
        <v>168</v>
      </c>
      <c r="AP14" s="486" t="s">
        <v>168</v>
      </c>
      <c r="AQ14" s="485" t="s">
        <v>165</v>
      </c>
      <c r="AR14" s="485" t="s">
        <v>165</v>
      </c>
      <c r="AS14" s="485" t="s">
        <v>165</v>
      </c>
      <c r="AT14" s="484" t="s">
        <v>162</v>
      </c>
      <c r="AU14" s="483"/>
      <c r="AV14" s="483"/>
      <c r="AW14" s="483"/>
      <c r="AX14" s="483"/>
      <c r="AY14" s="483"/>
      <c r="AZ14" s="486" t="s">
        <v>168</v>
      </c>
      <c r="BA14" s="486" t="s">
        <v>168</v>
      </c>
      <c r="BB14" s="486" t="s">
        <v>168</v>
      </c>
      <c r="BC14" s="485" t="s">
        <v>165</v>
      </c>
      <c r="BD14" s="485" t="s">
        <v>165</v>
      </c>
      <c r="BE14" s="485" t="s">
        <v>165</v>
      </c>
      <c r="BF14" s="484" t="s">
        <v>162</v>
      </c>
      <c r="BG14" s="483"/>
      <c r="BH14" s="483"/>
      <c r="BI14" s="483"/>
      <c r="BJ14" s="483"/>
      <c r="BK14" s="483"/>
      <c r="BL14" s="486" t="s">
        <v>168</v>
      </c>
      <c r="BM14" s="486" t="s">
        <v>168</v>
      </c>
      <c r="BN14" s="486" t="s">
        <v>168</v>
      </c>
      <c r="BO14" s="485" t="s">
        <v>165</v>
      </c>
      <c r="BP14" s="485" t="s">
        <v>165</v>
      </c>
      <c r="BQ14" s="485" t="s">
        <v>165</v>
      </c>
      <c r="BR14" s="484" t="s">
        <v>162</v>
      </c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83"/>
      <c r="CL14" s="483"/>
      <c r="CM14" s="483"/>
      <c r="CN14" s="483"/>
      <c r="CO14" s="483"/>
      <c r="CP14" s="483"/>
      <c r="CQ14" s="483"/>
      <c r="CR14" s="483"/>
      <c r="CS14" s="483"/>
      <c r="CT14" s="483"/>
      <c r="CU14" s="483"/>
      <c r="CV14" s="483"/>
      <c r="CW14" s="483"/>
      <c r="CX14" s="483"/>
      <c r="CY14" s="483"/>
      <c r="CZ14" s="483"/>
      <c r="DA14" s="483"/>
      <c r="DB14" s="483"/>
      <c r="DC14" s="483"/>
      <c r="DD14" s="483"/>
      <c r="DE14" s="483"/>
      <c r="DF14" s="483"/>
      <c r="DG14" s="483"/>
      <c r="DH14" s="483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5" t="s">
        <v>805</v>
      </c>
      <c r="DU14" s="483"/>
      <c r="DV14" s="483"/>
      <c r="DW14" s="471"/>
      <c r="DX14" s="479"/>
      <c r="DY14" s="479"/>
      <c r="DZ14" s="479"/>
      <c r="EA14" s="479"/>
      <c r="EB14" s="479"/>
      <c r="EC14" s="479"/>
      <c r="ED14" s="479"/>
      <c r="EE14" s="479"/>
    </row>
    <row r="15" spans="1:135" s="481" customFormat="1" ht="15.75" x14ac:dyDescent="0.35">
      <c r="A15" s="591" t="s">
        <v>775</v>
      </c>
      <c r="B15" s="598" t="s">
        <v>135</v>
      </c>
      <c r="C15" s="607" t="s">
        <v>16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561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6" t="s">
        <v>168</v>
      </c>
      <c r="AC15" s="495" t="s">
        <v>167</v>
      </c>
      <c r="AD15" s="497" t="s">
        <v>166</v>
      </c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83"/>
      <c r="CL15" s="483"/>
      <c r="CM15" s="483"/>
      <c r="CN15" s="483"/>
      <c r="CO15" s="483"/>
      <c r="CP15" s="483"/>
      <c r="CQ15" s="483"/>
      <c r="CR15" s="483"/>
      <c r="CS15" s="483"/>
      <c r="CT15" s="483"/>
      <c r="CU15" s="483"/>
      <c r="CV15" s="483"/>
      <c r="CW15" s="483"/>
      <c r="CX15" s="483"/>
      <c r="CY15" s="483"/>
      <c r="CZ15" s="483"/>
      <c r="DA15" s="483"/>
      <c r="DB15" s="483"/>
      <c r="DC15" s="483"/>
      <c r="DD15" s="483"/>
      <c r="DE15" s="483"/>
      <c r="DF15" s="483"/>
      <c r="DG15" s="483"/>
      <c r="DH15" s="483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83"/>
      <c r="DV15" s="483"/>
      <c r="DW15" s="489"/>
      <c r="DX15" s="479"/>
      <c r="DY15" s="479"/>
      <c r="DZ15" s="479"/>
      <c r="EA15" s="479"/>
      <c r="EB15" s="479"/>
      <c r="EC15" s="479"/>
      <c r="ED15" s="479"/>
      <c r="EE15" s="479"/>
    </row>
    <row r="16" spans="1:135" s="481" customFormat="1" ht="15.75" x14ac:dyDescent="0.35">
      <c r="A16" s="591" t="s">
        <v>21</v>
      </c>
      <c r="B16" s="598" t="s">
        <v>136</v>
      </c>
      <c r="C16" s="599" t="s">
        <v>16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572"/>
      <c r="P16" s="572"/>
      <c r="Q16" s="572"/>
      <c r="R16" s="572"/>
      <c r="S16" s="572"/>
      <c r="T16" s="572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500"/>
      <c r="AO16" s="500"/>
      <c r="AP16" s="500"/>
      <c r="AQ16" s="519"/>
      <c r="AR16" s="519"/>
      <c r="AS16" s="519"/>
      <c r="AT16" s="518"/>
      <c r="AU16" s="518"/>
      <c r="AV16" s="518"/>
      <c r="AW16" s="470"/>
      <c r="AX16" s="470"/>
      <c r="AY16" s="470"/>
      <c r="AZ16" s="470"/>
      <c r="BA16" s="470"/>
      <c r="BB16" s="470"/>
      <c r="BC16" s="470"/>
      <c r="BD16" s="470"/>
      <c r="BE16" s="470"/>
      <c r="BF16" s="470"/>
      <c r="BG16" s="470"/>
      <c r="BH16" s="470"/>
      <c r="BI16" s="470"/>
      <c r="BJ16" s="470"/>
      <c r="BK16" s="470"/>
      <c r="BL16" s="470"/>
      <c r="BM16" s="470"/>
      <c r="BN16" s="470"/>
      <c r="BO16" s="470"/>
      <c r="BP16" s="470"/>
      <c r="BQ16" s="470"/>
      <c r="BR16" s="470"/>
      <c r="BS16" s="470"/>
      <c r="BT16" s="470"/>
      <c r="BU16" s="470"/>
      <c r="BV16" s="470"/>
      <c r="BW16" s="470"/>
      <c r="BX16" s="470"/>
      <c r="BY16" s="470"/>
      <c r="BZ16" s="470"/>
      <c r="CA16" s="470"/>
      <c r="CB16" s="470"/>
      <c r="CC16" s="470"/>
      <c r="CD16" s="470"/>
      <c r="CE16" s="470"/>
      <c r="CF16" s="470"/>
      <c r="CG16" s="470"/>
      <c r="CH16" s="470"/>
      <c r="CI16" s="470"/>
      <c r="CJ16" s="470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70"/>
      <c r="DJ16" s="470"/>
      <c r="DK16" s="470"/>
      <c r="DL16" s="470"/>
      <c r="DM16" s="470"/>
      <c r="DN16" s="470"/>
      <c r="DO16" s="470"/>
      <c r="DP16" s="470"/>
      <c r="DQ16" s="470"/>
      <c r="DR16" s="470"/>
      <c r="DS16" s="470"/>
      <c r="DT16" s="472"/>
      <c r="DU16" s="472"/>
      <c r="DV16" s="472"/>
      <c r="DW16" s="471"/>
      <c r="DX16" s="479"/>
      <c r="DY16" s="479"/>
      <c r="DZ16" s="479"/>
      <c r="EA16" s="479"/>
      <c r="EB16" s="479"/>
      <c r="EC16" s="479"/>
      <c r="ED16" s="479"/>
      <c r="EE16" s="479"/>
    </row>
    <row r="17" spans="1:135" s="481" customFormat="1" ht="15.75" x14ac:dyDescent="0.35">
      <c r="A17" s="592" t="s">
        <v>22</v>
      </c>
      <c r="B17" s="598" t="s">
        <v>135</v>
      </c>
      <c r="C17" s="609" t="s">
        <v>16</v>
      </c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572"/>
      <c r="P17" s="572"/>
      <c r="Q17" s="572"/>
      <c r="R17" s="572"/>
      <c r="S17" s="572"/>
      <c r="T17" s="572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500"/>
      <c r="AO17" s="500"/>
      <c r="AP17" s="500"/>
      <c r="AQ17" s="519"/>
      <c r="AR17" s="519"/>
      <c r="AS17" s="519"/>
      <c r="AT17" s="518"/>
      <c r="AU17" s="518"/>
      <c r="AV17" s="518"/>
      <c r="AW17" s="470"/>
      <c r="AX17" s="470"/>
      <c r="AY17" s="470"/>
      <c r="AZ17" s="470"/>
      <c r="BA17" s="470"/>
      <c r="BB17" s="470"/>
      <c r="BC17" s="470"/>
      <c r="BD17" s="470"/>
      <c r="BE17" s="470"/>
      <c r="BF17" s="470"/>
      <c r="BG17" s="470"/>
      <c r="BH17" s="470"/>
      <c r="BI17" s="470"/>
      <c r="BJ17" s="470"/>
      <c r="BK17" s="470"/>
      <c r="BL17" s="470"/>
      <c r="BM17" s="470"/>
      <c r="BN17" s="470"/>
      <c r="BO17" s="470"/>
      <c r="BP17" s="470"/>
      <c r="BQ17" s="470"/>
      <c r="BR17" s="470"/>
      <c r="BS17" s="470"/>
      <c r="BT17" s="470"/>
      <c r="BU17" s="470"/>
      <c r="BV17" s="470"/>
      <c r="BW17" s="470"/>
      <c r="BX17" s="470"/>
      <c r="BY17" s="470"/>
      <c r="BZ17" s="470"/>
      <c r="CA17" s="470"/>
      <c r="CB17" s="470"/>
      <c r="CC17" s="470"/>
      <c r="CD17" s="470"/>
      <c r="CE17" s="470"/>
      <c r="CF17" s="470"/>
      <c r="CG17" s="470"/>
      <c r="CH17" s="470"/>
      <c r="CI17" s="470"/>
      <c r="CJ17" s="470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70"/>
      <c r="DJ17" s="470"/>
      <c r="DK17" s="470"/>
      <c r="DL17" s="470"/>
      <c r="DM17" s="470"/>
      <c r="DN17" s="470"/>
      <c r="DO17" s="470"/>
      <c r="DP17" s="470"/>
      <c r="DQ17" s="470"/>
      <c r="DR17" s="470"/>
      <c r="DS17" s="470"/>
      <c r="DT17" s="472"/>
      <c r="DU17" s="472"/>
      <c r="DV17" s="472"/>
      <c r="DW17" s="471"/>
      <c r="DX17" s="479"/>
      <c r="DY17" s="479"/>
      <c r="DZ17" s="479"/>
      <c r="EA17" s="479"/>
      <c r="EB17" s="479"/>
      <c r="EC17" s="479"/>
      <c r="ED17" s="479"/>
      <c r="EE17" s="479"/>
    </row>
    <row r="18" spans="1:135" s="481" customFormat="1" ht="15.75" x14ac:dyDescent="0.35">
      <c r="A18" s="592" t="s">
        <v>76</v>
      </c>
      <c r="B18" s="598" t="s">
        <v>19</v>
      </c>
      <c r="C18" s="609"/>
      <c r="D18" s="610"/>
      <c r="E18" s="610"/>
      <c r="F18" s="470"/>
      <c r="G18" s="470"/>
      <c r="H18" s="470"/>
      <c r="I18" s="470"/>
      <c r="J18" s="470"/>
      <c r="K18" s="470"/>
      <c r="L18" s="470"/>
      <c r="M18" s="470"/>
      <c r="N18" s="470"/>
      <c r="O18" s="572"/>
      <c r="P18" s="572"/>
      <c r="Q18" s="572"/>
      <c r="R18" s="572"/>
      <c r="S18" s="572"/>
      <c r="T18" s="572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519"/>
      <c r="AF18" s="519"/>
      <c r="AG18" s="519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/>
      <c r="AY18" s="470"/>
      <c r="AZ18" s="500"/>
      <c r="BA18" s="500"/>
      <c r="BB18" s="500"/>
      <c r="BC18" s="519"/>
      <c r="BD18" s="519"/>
      <c r="BE18" s="519"/>
      <c r="BF18" s="470"/>
      <c r="BG18" s="470"/>
      <c r="BH18" s="470"/>
      <c r="BI18" s="470"/>
      <c r="BJ18" s="470"/>
      <c r="BK18" s="470"/>
      <c r="BL18" s="500"/>
      <c r="BM18" s="500"/>
      <c r="BN18" s="500"/>
      <c r="BO18" s="519"/>
      <c r="BP18" s="519"/>
      <c r="BQ18" s="519"/>
      <c r="BR18" s="470"/>
      <c r="BS18" s="470"/>
      <c r="BT18" s="470"/>
      <c r="BU18" s="470"/>
      <c r="BV18" s="470"/>
      <c r="BW18" s="470"/>
      <c r="BX18" s="500"/>
      <c r="BY18" s="500"/>
      <c r="BZ18" s="500"/>
      <c r="CA18" s="470"/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70"/>
      <c r="DJ18" s="470"/>
      <c r="DK18" s="470"/>
      <c r="DL18" s="470"/>
      <c r="DM18" s="470"/>
      <c r="DN18" s="470"/>
      <c r="DO18" s="470"/>
      <c r="DP18" s="470"/>
      <c r="DQ18" s="470"/>
      <c r="DR18" s="470"/>
      <c r="DS18" s="470"/>
      <c r="DT18" s="472"/>
      <c r="DU18" s="472"/>
      <c r="DV18" s="472"/>
      <c r="DW18" s="567"/>
      <c r="DX18" s="479"/>
      <c r="DY18" s="479"/>
      <c r="DZ18" s="479"/>
      <c r="EA18" s="479"/>
      <c r="EB18" s="479"/>
      <c r="EC18" s="479"/>
      <c r="ED18" s="479"/>
      <c r="EE18" s="479"/>
    </row>
    <row r="19" spans="1:135" s="481" customFormat="1" ht="15.75" x14ac:dyDescent="0.35">
      <c r="A19" s="590" t="s">
        <v>778</v>
      </c>
      <c r="B19" s="598" t="s">
        <v>19</v>
      </c>
      <c r="C19" s="607" t="s">
        <v>18</v>
      </c>
      <c r="D19" s="600" t="s">
        <v>168</v>
      </c>
      <c r="E19" s="601" t="s">
        <v>167</v>
      </c>
      <c r="F19" s="602" t="s">
        <v>166</v>
      </c>
      <c r="G19" s="603" t="s">
        <v>165</v>
      </c>
      <c r="H19" s="604" t="s">
        <v>164</v>
      </c>
      <c r="I19" s="605" t="s">
        <v>163</v>
      </c>
      <c r="J19" s="483"/>
      <c r="K19" s="483"/>
      <c r="L19" s="483"/>
      <c r="M19" s="483"/>
      <c r="N19" s="483"/>
      <c r="O19" s="561"/>
      <c r="P19" s="561"/>
      <c r="Q19" s="561"/>
      <c r="R19" s="561"/>
      <c r="S19" s="561"/>
      <c r="T19" s="561"/>
      <c r="U19" s="561"/>
      <c r="V19" s="561"/>
      <c r="W19" s="483"/>
      <c r="X19" s="483"/>
      <c r="Y19" s="483"/>
      <c r="Z19" s="483"/>
      <c r="AA19" s="483"/>
      <c r="AB19" s="600" t="s">
        <v>168</v>
      </c>
      <c r="AC19" s="601" t="s">
        <v>167</v>
      </c>
      <c r="AD19" s="602" t="s">
        <v>166</v>
      </c>
      <c r="AE19" s="603" t="s">
        <v>165</v>
      </c>
      <c r="AF19" s="604" t="s">
        <v>164</v>
      </c>
      <c r="AG19" s="605" t="s">
        <v>163</v>
      </c>
      <c r="AH19" s="483"/>
      <c r="AI19" s="483"/>
      <c r="AJ19" s="483"/>
      <c r="AK19" s="483"/>
      <c r="AL19" s="483"/>
      <c r="AM19" s="483"/>
      <c r="AN19" s="486" t="s">
        <v>168</v>
      </c>
      <c r="AO19" s="495" t="s">
        <v>167</v>
      </c>
      <c r="AP19" s="497" t="s">
        <v>166</v>
      </c>
      <c r="AQ19" s="485" t="s">
        <v>165</v>
      </c>
      <c r="AR19" s="496" t="s">
        <v>164</v>
      </c>
      <c r="AS19" s="491" t="s">
        <v>163</v>
      </c>
      <c r="AT19" s="483"/>
      <c r="AU19" s="483"/>
      <c r="AV19" s="483"/>
      <c r="AW19" s="483"/>
      <c r="AX19" s="483"/>
      <c r="AY19" s="483"/>
      <c r="AZ19" s="486" t="s">
        <v>168</v>
      </c>
      <c r="BA19" s="495" t="s">
        <v>167</v>
      </c>
      <c r="BB19" s="497" t="s">
        <v>166</v>
      </c>
      <c r="BC19" s="485" t="s">
        <v>165</v>
      </c>
      <c r="BD19" s="496" t="s">
        <v>164</v>
      </c>
      <c r="BE19" s="491" t="s">
        <v>163</v>
      </c>
      <c r="BF19" s="483"/>
      <c r="BG19" s="483"/>
      <c r="BH19" s="483"/>
      <c r="BI19" s="483"/>
      <c r="BJ19" s="483"/>
      <c r="BK19" s="483"/>
      <c r="BL19" s="486" t="s">
        <v>168</v>
      </c>
      <c r="BM19" s="495" t="s">
        <v>167</v>
      </c>
      <c r="BN19" s="497" t="s">
        <v>166</v>
      </c>
      <c r="BO19" s="485" t="s">
        <v>165</v>
      </c>
      <c r="BP19" s="496" t="s">
        <v>164</v>
      </c>
      <c r="BQ19" s="491" t="s">
        <v>163</v>
      </c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83"/>
      <c r="CL19" s="483"/>
      <c r="CM19" s="483"/>
      <c r="CN19" s="483"/>
      <c r="CO19" s="483"/>
      <c r="CP19" s="483"/>
      <c r="CQ19" s="483"/>
      <c r="CR19" s="483"/>
      <c r="CS19" s="483"/>
      <c r="CT19" s="483"/>
      <c r="CU19" s="483"/>
      <c r="CV19" s="483"/>
      <c r="CW19" s="483"/>
      <c r="CX19" s="483"/>
      <c r="CY19" s="483"/>
      <c r="CZ19" s="483"/>
      <c r="DA19" s="483"/>
      <c r="DB19" s="483"/>
      <c r="DC19" s="483"/>
      <c r="DD19" s="483"/>
      <c r="DE19" s="483"/>
      <c r="DF19" s="483"/>
      <c r="DG19" s="483"/>
      <c r="DH19" s="483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6" t="s">
        <v>168</v>
      </c>
      <c r="DU19" s="483"/>
      <c r="DV19" s="483"/>
      <c r="DW19" s="568"/>
      <c r="DX19" s="479"/>
      <c r="DY19" s="479"/>
      <c r="DZ19" s="479"/>
      <c r="EA19" s="479"/>
      <c r="EB19" s="479"/>
      <c r="EC19" s="479"/>
      <c r="ED19" s="479"/>
      <c r="EE19" s="479"/>
    </row>
    <row r="20" spans="1:135" s="481" customFormat="1" ht="15.75" x14ac:dyDescent="0.35">
      <c r="A20" s="593" t="s">
        <v>24</v>
      </c>
      <c r="B20" s="598" t="s">
        <v>36</v>
      </c>
      <c r="C20" s="607" t="s">
        <v>52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3"/>
      <c r="AJ20" s="483"/>
      <c r="AK20" s="483"/>
      <c r="AL20" s="483"/>
      <c r="AM20" s="483"/>
      <c r="AN20" s="486" t="s">
        <v>168</v>
      </c>
      <c r="AO20" s="486" t="s">
        <v>168</v>
      </c>
      <c r="AP20" s="486" t="s">
        <v>168</v>
      </c>
      <c r="AQ20" s="485" t="s">
        <v>165</v>
      </c>
      <c r="AR20" s="485" t="s">
        <v>165</v>
      </c>
      <c r="AS20" s="485" t="s">
        <v>165</v>
      </c>
      <c r="AT20" s="484" t="s">
        <v>162</v>
      </c>
      <c r="AU20" s="484" t="s">
        <v>162</v>
      </c>
      <c r="AV20" s="484" t="s">
        <v>162</v>
      </c>
      <c r="AW20" s="503" t="s">
        <v>159</v>
      </c>
      <c r="AX20" s="503" t="s">
        <v>159</v>
      </c>
      <c r="AY20" s="503" t="s">
        <v>159</v>
      </c>
      <c r="AZ20" s="483"/>
      <c r="BA20" s="483"/>
      <c r="BB20" s="483"/>
      <c r="BC20" s="483"/>
      <c r="BD20" s="483"/>
      <c r="BE20" s="483"/>
      <c r="BF20" s="483"/>
      <c r="BG20" s="483"/>
      <c r="BH20" s="483"/>
      <c r="BI20" s="483"/>
      <c r="BJ20" s="483"/>
      <c r="BK20" s="483"/>
      <c r="BL20" s="483"/>
      <c r="BM20" s="483"/>
      <c r="BN20" s="483"/>
      <c r="BO20" s="483"/>
      <c r="BP20" s="483"/>
      <c r="BQ20" s="483"/>
      <c r="BR20" s="483"/>
      <c r="BS20" s="483"/>
      <c r="BT20" s="483"/>
      <c r="BU20" s="483"/>
      <c r="BV20" s="483"/>
      <c r="BW20" s="483"/>
      <c r="BX20" s="483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83"/>
      <c r="CL20" s="483"/>
      <c r="CM20" s="483"/>
      <c r="CN20" s="483"/>
      <c r="CO20" s="483"/>
      <c r="CP20" s="483"/>
      <c r="CQ20" s="483"/>
      <c r="CR20" s="483"/>
      <c r="CS20" s="483"/>
      <c r="CT20" s="483"/>
      <c r="CU20" s="483"/>
      <c r="CV20" s="483"/>
      <c r="CW20" s="483"/>
      <c r="CX20" s="483"/>
      <c r="CY20" s="483"/>
      <c r="CZ20" s="483"/>
      <c r="DA20" s="483"/>
      <c r="DB20" s="483"/>
      <c r="DC20" s="483"/>
      <c r="DD20" s="483"/>
      <c r="DE20" s="483"/>
      <c r="DF20" s="483"/>
      <c r="DG20" s="483"/>
      <c r="DH20" s="483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483"/>
      <c r="DV20" s="483"/>
      <c r="DW20" s="569"/>
      <c r="DX20" s="479"/>
      <c r="DY20" s="479"/>
      <c r="DZ20" s="479"/>
      <c r="EA20" s="479"/>
      <c r="EB20" s="479"/>
      <c r="EC20" s="479"/>
      <c r="ED20" s="479"/>
      <c r="EE20" s="479"/>
    </row>
    <row r="21" spans="1:135" s="481" customFormat="1" ht="15" x14ac:dyDescent="0.3">
      <c r="A21" s="593" t="s">
        <v>25</v>
      </c>
      <c r="B21" s="598" t="s">
        <v>36</v>
      </c>
      <c r="C21" s="607" t="s">
        <v>52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3"/>
      <c r="AK21" s="483"/>
      <c r="AL21" s="483"/>
      <c r="AM21" s="483"/>
      <c r="AN21" s="486" t="s">
        <v>168</v>
      </c>
      <c r="AO21" s="486" t="s">
        <v>168</v>
      </c>
      <c r="AP21" s="486" t="s">
        <v>168</v>
      </c>
      <c r="AQ21" s="485" t="s">
        <v>165</v>
      </c>
      <c r="AR21" s="485" t="s">
        <v>165</v>
      </c>
      <c r="AS21" s="485" t="s">
        <v>165</v>
      </c>
      <c r="AT21" s="484" t="s">
        <v>162</v>
      </c>
      <c r="AU21" s="484" t="s">
        <v>162</v>
      </c>
      <c r="AV21" s="484" t="s">
        <v>162</v>
      </c>
      <c r="AW21" s="503" t="s">
        <v>159</v>
      </c>
      <c r="AX21" s="503" t="s">
        <v>159</v>
      </c>
      <c r="AY21" s="503" t="s">
        <v>159</v>
      </c>
      <c r="AZ21" s="483"/>
      <c r="BA21" s="483"/>
      <c r="BB21" s="483"/>
      <c r="BC21" s="483"/>
      <c r="BD21" s="483"/>
      <c r="BE21" s="483"/>
      <c r="BF21" s="483"/>
      <c r="BG21" s="483"/>
      <c r="BH21" s="483"/>
      <c r="BI21" s="483"/>
      <c r="BJ21" s="483"/>
      <c r="BK21" s="483"/>
      <c r="BL21" s="483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83"/>
      <c r="CL21" s="483"/>
      <c r="CM21" s="483"/>
      <c r="CN21" s="483"/>
      <c r="CO21" s="483"/>
      <c r="CP21" s="483"/>
      <c r="CQ21" s="483"/>
      <c r="CR21" s="483"/>
      <c r="CS21" s="483"/>
      <c r="CT21" s="483"/>
      <c r="CU21" s="483"/>
      <c r="CV21" s="483"/>
      <c r="CW21" s="483"/>
      <c r="CX21" s="483"/>
      <c r="CY21" s="483"/>
      <c r="CZ21" s="483"/>
      <c r="DA21" s="483"/>
      <c r="DB21" s="483"/>
      <c r="DC21" s="483"/>
      <c r="DD21" s="483"/>
      <c r="DE21" s="483"/>
      <c r="DF21" s="483"/>
      <c r="DG21" s="483"/>
      <c r="DH21" s="483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83"/>
      <c r="DV21" s="483"/>
      <c r="DW21" s="566"/>
      <c r="DX21" s="479"/>
      <c r="DY21" s="479"/>
      <c r="DZ21" s="479"/>
      <c r="EA21" s="479"/>
      <c r="EB21" s="479"/>
      <c r="EC21" s="479"/>
      <c r="ED21" s="479"/>
      <c r="EE21" s="479"/>
    </row>
    <row r="22" spans="1:135" s="481" customFormat="1" ht="15.75" x14ac:dyDescent="0.35">
      <c r="A22" s="594" t="s">
        <v>782</v>
      </c>
      <c r="B22" s="598" t="s">
        <v>19</v>
      </c>
      <c r="C22" s="609" t="s">
        <v>18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561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6" t="s">
        <v>168</v>
      </c>
      <c r="AC22" s="486" t="s">
        <v>168</v>
      </c>
      <c r="AD22" s="486" t="s">
        <v>168</v>
      </c>
      <c r="AE22" s="485" t="s">
        <v>165</v>
      </c>
      <c r="AF22" s="485" t="s">
        <v>165</v>
      </c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6" t="s">
        <v>168</v>
      </c>
      <c r="BA22" s="486" t="s">
        <v>168</v>
      </c>
      <c r="BB22" s="486" t="s">
        <v>168</v>
      </c>
      <c r="BC22" s="485" t="s">
        <v>165</v>
      </c>
      <c r="BD22" s="485" t="s">
        <v>165</v>
      </c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83"/>
      <c r="CL22" s="483"/>
      <c r="CM22" s="483"/>
      <c r="CN22" s="483"/>
      <c r="CO22" s="483"/>
      <c r="CP22" s="483"/>
      <c r="CQ22" s="483"/>
      <c r="CR22" s="483"/>
      <c r="CS22" s="483"/>
      <c r="CT22" s="483"/>
      <c r="CU22" s="483"/>
      <c r="CV22" s="483"/>
      <c r="CW22" s="483"/>
      <c r="CX22" s="483"/>
      <c r="CY22" s="483"/>
      <c r="CZ22" s="483"/>
      <c r="DA22" s="483"/>
      <c r="DB22" s="483"/>
      <c r="DC22" s="483"/>
      <c r="DD22" s="483"/>
      <c r="DE22" s="483"/>
      <c r="DF22" s="483"/>
      <c r="DG22" s="483"/>
      <c r="DH22" s="483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5" t="s">
        <v>832</v>
      </c>
      <c r="DU22" s="483"/>
      <c r="DV22" s="483"/>
      <c r="DW22" s="570"/>
      <c r="DX22" s="479"/>
      <c r="DY22" s="479"/>
      <c r="DZ22" s="479"/>
      <c r="EA22" s="479"/>
      <c r="EB22" s="479"/>
      <c r="EC22" s="479"/>
      <c r="ED22" s="479"/>
      <c r="EE22" s="479"/>
    </row>
    <row r="23" spans="1:135" s="481" customFormat="1" ht="15.75" x14ac:dyDescent="0.35">
      <c r="A23" s="591" t="s">
        <v>20</v>
      </c>
      <c r="B23" s="598" t="s">
        <v>136</v>
      </c>
      <c r="C23" s="607" t="s">
        <v>16</v>
      </c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572"/>
      <c r="P23" s="470"/>
      <c r="Q23" s="470"/>
      <c r="R23" s="470"/>
      <c r="S23" s="470"/>
      <c r="T23" s="470"/>
      <c r="U23" s="470"/>
      <c r="V23" s="470"/>
      <c r="W23" s="470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3"/>
      <c r="AO23" s="473"/>
      <c r="AP23" s="473"/>
      <c r="AQ23" s="470"/>
      <c r="AR23" s="470"/>
      <c r="AS23" s="470"/>
      <c r="AT23" s="470"/>
      <c r="AU23" s="470"/>
      <c r="AV23" s="470"/>
      <c r="AW23" s="470"/>
      <c r="AX23" s="470"/>
      <c r="AY23" s="470"/>
      <c r="AZ23" s="470"/>
      <c r="BA23" s="470"/>
      <c r="BB23" s="470"/>
      <c r="BC23" s="470"/>
      <c r="BD23" s="470"/>
      <c r="BE23" s="470"/>
      <c r="BF23" s="470"/>
      <c r="BG23" s="470"/>
      <c r="BH23" s="470"/>
      <c r="BI23" s="470"/>
      <c r="BJ23" s="470"/>
      <c r="BK23" s="470"/>
      <c r="BL23" s="470"/>
      <c r="BM23" s="470"/>
      <c r="BN23" s="470"/>
      <c r="BO23" s="470"/>
      <c r="BP23" s="470"/>
      <c r="BQ23" s="470"/>
      <c r="BR23" s="470"/>
      <c r="BS23" s="470"/>
      <c r="BT23" s="470"/>
      <c r="BU23" s="470"/>
      <c r="BV23" s="470"/>
      <c r="BW23" s="470"/>
      <c r="BX23" s="470"/>
      <c r="BY23" s="470"/>
      <c r="BZ23" s="470"/>
      <c r="CA23" s="470"/>
      <c r="CB23" s="470"/>
      <c r="CC23" s="470"/>
      <c r="CD23" s="470"/>
      <c r="CE23" s="470"/>
      <c r="CF23" s="470"/>
      <c r="CG23" s="470"/>
      <c r="CH23" s="470"/>
      <c r="CI23" s="470"/>
      <c r="CJ23" s="470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70"/>
      <c r="DJ23" s="470"/>
      <c r="DK23" s="470"/>
      <c r="DL23" s="470"/>
      <c r="DM23" s="470"/>
      <c r="DN23" s="470"/>
      <c r="DO23" s="470"/>
      <c r="DP23" s="470"/>
      <c r="DQ23" s="470"/>
      <c r="DR23" s="470"/>
      <c r="DS23" s="470"/>
      <c r="DT23" s="472"/>
      <c r="DU23" s="472"/>
      <c r="DV23" s="565"/>
      <c r="DW23" s="571"/>
      <c r="DX23" s="479"/>
      <c r="DY23" s="479"/>
      <c r="DZ23" s="479"/>
      <c r="EA23" s="479"/>
      <c r="EB23" s="479"/>
      <c r="EC23" s="479"/>
      <c r="ED23" s="479"/>
      <c r="EE23" s="479"/>
    </row>
    <row r="24" spans="1:135" s="481" customFormat="1" ht="15.75" x14ac:dyDescent="0.35">
      <c r="A24" s="590" t="s">
        <v>26</v>
      </c>
      <c r="B24" s="598" t="s">
        <v>36</v>
      </c>
      <c r="C24" s="599" t="s">
        <v>16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691" t="s">
        <v>168</v>
      </c>
      <c r="AC24" s="691" t="s">
        <v>168</v>
      </c>
      <c r="AD24" s="691" t="s">
        <v>168</v>
      </c>
      <c r="AE24" s="692" t="s">
        <v>165</v>
      </c>
      <c r="AF24" s="692" t="s">
        <v>165</v>
      </c>
      <c r="AG24" s="692" t="s">
        <v>165</v>
      </c>
      <c r="AH24" s="693" t="s">
        <v>162</v>
      </c>
      <c r="AI24" s="693" t="s">
        <v>162</v>
      </c>
      <c r="AJ24" s="693" t="s">
        <v>162</v>
      </c>
      <c r="AK24" s="694" t="s">
        <v>159</v>
      </c>
      <c r="AL24" s="694" t="s">
        <v>159</v>
      </c>
      <c r="AM24" s="694" t="s">
        <v>159</v>
      </c>
      <c r="AN24" s="483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83"/>
      <c r="CL24" s="483"/>
      <c r="CM24" s="483"/>
      <c r="CN24" s="483"/>
      <c r="CO24" s="483"/>
      <c r="CP24" s="483"/>
      <c r="CQ24" s="483"/>
      <c r="CR24" s="483"/>
      <c r="CS24" s="483"/>
      <c r="CT24" s="483"/>
      <c r="CU24" s="483"/>
      <c r="CV24" s="483"/>
      <c r="CW24" s="483"/>
      <c r="CX24" s="483"/>
      <c r="CY24" s="483"/>
      <c r="CZ24" s="483"/>
      <c r="DA24" s="483"/>
      <c r="DB24" s="483"/>
      <c r="DC24" s="483"/>
      <c r="DD24" s="483"/>
      <c r="DE24" s="483"/>
      <c r="DF24" s="483"/>
      <c r="DG24" s="483"/>
      <c r="DH24" s="483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70" t="s">
        <v>860</v>
      </c>
      <c r="DU24" s="483"/>
      <c r="DV24" s="483"/>
      <c r="DW24" s="488"/>
      <c r="DX24" s="479"/>
      <c r="DY24" s="479"/>
      <c r="DZ24" s="479"/>
      <c r="EA24" s="479"/>
      <c r="EB24" s="479"/>
      <c r="EC24" s="479"/>
      <c r="ED24" s="479"/>
      <c r="EE24" s="479"/>
    </row>
    <row r="25" spans="1:135" s="481" customFormat="1" ht="15.75" x14ac:dyDescent="0.35">
      <c r="A25" s="590" t="s">
        <v>53</v>
      </c>
      <c r="B25" s="598" t="s">
        <v>19</v>
      </c>
      <c r="C25" s="599" t="s">
        <v>16</v>
      </c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6" t="s">
        <v>168</v>
      </c>
      <c r="AC25" s="486" t="s">
        <v>168</v>
      </c>
      <c r="AD25" s="486" t="s">
        <v>168</v>
      </c>
      <c r="AE25" s="486" t="s">
        <v>168</v>
      </c>
      <c r="AF25" s="486" t="s">
        <v>168</v>
      </c>
      <c r="AG25" s="486" t="s">
        <v>168</v>
      </c>
      <c r="AH25" s="484" t="s">
        <v>162</v>
      </c>
      <c r="AI25" s="484" t="s">
        <v>162</v>
      </c>
      <c r="AJ25" s="484" t="s">
        <v>162</v>
      </c>
      <c r="AK25" s="484" t="s">
        <v>162</v>
      </c>
      <c r="AL25" s="484" t="s">
        <v>162</v>
      </c>
      <c r="AM25" s="484" t="s">
        <v>162</v>
      </c>
      <c r="AN25" s="486" t="s">
        <v>168</v>
      </c>
      <c r="AO25" s="486" t="s">
        <v>168</v>
      </c>
      <c r="AP25" s="486" t="s">
        <v>168</v>
      </c>
      <c r="AQ25" s="486" t="s">
        <v>168</v>
      </c>
      <c r="AR25" s="486" t="s">
        <v>168</v>
      </c>
      <c r="AS25" s="486" t="s">
        <v>168</v>
      </c>
      <c r="AT25" s="484" t="s">
        <v>162</v>
      </c>
      <c r="AU25" s="484" t="s">
        <v>162</v>
      </c>
      <c r="AV25" s="484" t="s">
        <v>162</v>
      </c>
      <c r="AW25" s="484" t="s">
        <v>162</v>
      </c>
      <c r="AX25" s="484" t="s">
        <v>162</v>
      </c>
      <c r="AY25" s="484" t="s">
        <v>162</v>
      </c>
      <c r="AZ25" s="483"/>
      <c r="BA25" s="483"/>
      <c r="BB25" s="483"/>
      <c r="BC25" s="483"/>
      <c r="BD25" s="483"/>
      <c r="BE25" s="483"/>
      <c r="BF25" s="483"/>
      <c r="BG25" s="483"/>
      <c r="BH25" s="483"/>
      <c r="BI25" s="483"/>
      <c r="BJ25" s="483"/>
      <c r="BK25" s="483"/>
      <c r="BL25" s="483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83"/>
      <c r="CL25" s="483"/>
      <c r="CM25" s="483"/>
      <c r="CN25" s="483"/>
      <c r="CO25" s="483"/>
      <c r="CP25" s="483"/>
      <c r="CQ25" s="483"/>
      <c r="CR25" s="483"/>
      <c r="CS25" s="483"/>
      <c r="CT25" s="483"/>
      <c r="CU25" s="483"/>
      <c r="CV25" s="483"/>
      <c r="CW25" s="483"/>
      <c r="CX25" s="483"/>
      <c r="CY25" s="483"/>
      <c r="CZ25" s="483"/>
      <c r="DA25" s="483"/>
      <c r="DB25" s="483"/>
      <c r="DC25" s="483"/>
      <c r="DD25" s="483"/>
      <c r="DE25" s="483"/>
      <c r="DF25" s="483"/>
      <c r="DG25" s="483"/>
      <c r="DH25" s="483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483"/>
      <c r="DV25" s="483"/>
      <c r="DW25" s="471"/>
      <c r="DX25" s="479"/>
      <c r="DY25" s="479"/>
      <c r="DZ25" s="479"/>
      <c r="EA25" s="479"/>
      <c r="EB25" s="479"/>
      <c r="EC25" s="479"/>
      <c r="ED25" s="479"/>
      <c r="EE25" s="479"/>
    </row>
    <row r="26" spans="1:135" s="481" customFormat="1" ht="15.75" x14ac:dyDescent="0.35">
      <c r="A26" s="591" t="s">
        <v>28</v>
      </c>
      <c r="B26" s="598" t="s">
        <v>136</v>
      </c>
      <c r="C26" s="599" t="s">
        <v>16</v>
      </c>
      <c r="D26" s="691" t="s">
        <v>168</v>
      </c>
      <c r="E26" s="691" t="s">
        <v>168</v>
      </c>
      <c r="F26" s="691" t="s">
        <v>168</v>
      </c>
      <c r="G26" s="692" t="s">
        <v>165</v>
      </c>
      <c r="H26" s="692" t="s">
        <v>165</v>
      </c>
      <c r="I26" s="692" t="s">
        <v>165</v>
      </c>
      <c r="J26" s="693" t="s">
        <v>162</v>
      </c>
      <c r="K26" s="693" t="s">
        <v>162</v>
      </c>
      <c r="L26" s="693" t="s">
        <v>162</v>
      </c>
      <c r="M26" s="694" t="s">
        <v>159</v>
      </c>
      <c r="N26" s="694" t="s">
        <v>159</v>
      </c>
      <c r="O26" s="694" t="s">
        <v>159</v>
      </c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83"/>
      <c r="CL26" s="483"/>
      <c r="CM26" s="483"/>
      <c r="CN26" s="483"/>
      <c r="CO26" s="483"/>
      <c r="CP26" s="483"/>
      <c r="CQ26" s="483"/>
      <c r="CR26" s="483"/>
      <c r="CS26" s="483"/>
      <c r="CT26" s="483"/>
      <c r="CU26" s="483"/>
      <c r="CV26" s="483"/>
      <c r="CW26" s="483"/>
      <c r="CX26" s="483"/>
      <c r="CY26" s="483"/>
      <c r="CZ26" s="483"/>
      <c r="DA26" s="483"/>
      <c r="DB26" s="483"/>
      <c r="DC26" s="483"/>
      <c r="DD26" s="483"/>
      <c r="DE26" s="483"/>
      <c r="DF26" s="483"/>
      <c r="DG26" s="483"/>
      <c r="DH26" s="483"/>
      <c r="DI26" s="483"/>
      <c r="DJ26" s="483"/>
      <c r="DK26" s="483"/>
      <c r="DL26" s="483"/>
      <c r="DM26" s="483"/>
      <c r="DN26" s="483"/>
      <c r="DO26" s="483"/>
      <c r="DP26" s="483"/>
      <c r="DQ26" s="483"/>
      <c r="DR26" s="483"/>
      <c r="DS26" s="483"/>
      <c r="DT26" s="483"/>
      <c r="DU26" s="483"/>
      <c r="DV26" s="483"/>
      <c r="DW26" s="488"/>
      <c r="DX26" s="479"/>
      <c r="DY26" s="479"/>
      <c r="DZ26" s="479"/>
      <c r="EA26" s="479"/>
      <c r="EB26" s="479"/>
      <c r="EC26" s="479"/>
      <c r="ED26" s="479"/>
      <c r="EE26" s="479"/>
    </row>
    <row r="27" spans="1:135" s="481" customFormat="1" ht="15.75" x14ac:dyDescent="0.35">
      <c r="A27" s="591" t="s">
        <v>75</v>
      </c>
      <c r="B27" s="598" t="s">
        <v>74</v>
      </c>
      <c r="C27" s="599"/>
      <c r="D27" s="610"/>
      <c r="E27" s="611"/>
      <c r="F27" s="611"/>
      <c r="G27" s="611"/>
      <c r="H27" s="470"/>
      <c r="I27" s="470"/>
      <c r="J27" s="470"/>
      <c r="K27" s="470"/>
      <c r="L27" s="470"/>
      <c r="M27" s="470"/>
      <c r="N27" s="470"/>
      <c r="O27" s="572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  <c r="AJ27" s="470"/>
      <c r="AK27" s="470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0"/>
      <c r="AX27" s="470"/>
      <c r="AY27" s="470"/>
      <c r="AZ27" s="470"/>
      <c r="BA27" s="470"/>
      <c r="BB27" s="470"/>
      <c r="BC27" s="470"/>
      <c r="BD27" s="470"/>
      <c r="BE27" s="470"/>
      <c r="BF27" s="470"/>
      <c r="BG27" s="470"/>
      <c r="BH27" s="470"/>
      <c r="BI27" s="470"/>
      <c r="BJ27" s="470"/>
      <c r="BK27" s="470"/>
      <c r="BL27" s="470"/>
      <c r="BM27" s="470"/>
      <c r="BN27" s="470"/>
      <c r="BO27" s="470"/>
      <c r="BP27" s="470"/>
      <c r="BQ27" s="470"/>
      <c r="BR27" s="470"/>
      <c r="BS27" s="470"/>
      <c r="BT27" s="470"/>
      <c r="BU27" s="470"/>
      <c r="BV27" s="470"/>
      <c r="BW27" s="470"/>
      <c r="BX27" s="470"/>
      <c r="BY27" s="470"/>
      <c r="BZ27" s="470"/>
      <c r="CA27" s="470"/>
      <c r="CB27" s="470"/>
      <c r="CC27" s="470"/>
      <c r="CD27" s="470"/>
      <c r="CE27" s="470"/>
      <c r="CF27" s="470"/>
      <c r="CG27" s="470"/>
      <c r="CH27" s="470"/>
      <c r="CI27" s="470"/>
      <c r="CJ27" s="470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70"/>
      <c r="DJ27" s="470"/>
      <c r="DK27" s="470"/>
      <c r="DL27" s="470"/>
      <c r="DM27" s="470"/>
      <c r="DN27" s="470"/>
      <c r="DO27" s="470"/>
      <c r="DP27" s="470"/>
      <c r="DQ27" s="470"/>
      <c r="DR27" s="470"/>
      <c r="DS27" s="470"/>
      <c r="DT27" s="472"/>
      <c r="DU27" s="472"/>
      <c r="DV27" s="472"/>
      <c r="DW27" s="471"/>
      <c r="DX27" s="479"/>
      <c r="DY27" s="479"/>
      <c r="DZ27" s="479"/>
      <c r="EA27" s="479"/>
      <c r="EB27" s="479"/>
      <c r="EC27" s="479"/>
      <c r="ED27" s="479"/>
      <c r="EE27" s="479"/>
    </row>
    <row r="28" spans="1:135" s="481" customFormat="1" ht="15.75" x14ac:dyDescent="0.35">
      <c r="A28" s="591" t="s">
        <v>71</v>
      </c>
      <c r="B28" s="598" t="s">
        <v>135</v>
      </c>
      <c r="C28" s="599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AE28" s="470"/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0"/>
      <c r="BA28" s="470"/>
      <c r="BB28" s="470"/>
      <c r="BC28" s="470"/>
      <c r="BD28" s="470"/>
      <c r="BE28" s="470"/>
      <c r="BF28" s="470"/>
      <c r="BG28" s="470"/>
      <c r="BH28" s="470"/>
      <c r="BI28" s="470"/>
      <c r="BJ28" s="470"/>
      <c r="BK28" s="470"/>
      <c r="BL28" s="470"/>
      <c r="BM28" s="470"/>
      <c r="BN28" s="470"/>
      <c r="BO28" s="470"/>
      <c r="BP28" s="470"/>
      <c r="BQ28" s="470"/>
      <c r="BR28" s="470"/>
      <c r="BS28" s="470"/>
      <c r="BT28" s="470"/>
      <c r="BU28" s="470"/>
      <c r="BV28" s="470"/>
      <c r="BW28" s="470"/>
      <c r="BX28" s="470"/>
      <c r="BY28" s="470"/>
      <c r="BZ28" s="470"/>
      <c r="CA28" s="470"/>
      <c r="CB28" s="470"/>
      <c r="CC28" s="470"/>
      <c r="CD28" s="470"/>
      <c r="CE28" s="470"/>
      <c r="CF28" s="470"/>
      <c r="CG28" s="470"/>
      <c r="CH28" s="470"/>
      <c r="CI28" s="470"/>
      <c r="CJ28" s="470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70"/>
      <c r="DJ28" s="470"/>
      <c r="DK28" s="470"/>
      <c r="DL28" s="470"/>
      <c r="DM28" s="470"/>
      <c r="DN28" s="470"/>
      <c r="DO28" s="470"/>
      <c r="DP28" s="470"/>
      <c r="DQ28" s="470"/>
      <c r="DR28" s="470"/>
      <c r="DS28" s="470"/>
      <c r="DT28" s="472"/>
      <c r="DU28" s="500"/>
      <c r="DW28" s="498"/>
      <c r="DX28" s="479"/>
      <c r="DY28" s="479"/>
      <c r="DZ28" s="479"/>
      <c r="EA28" s="479"/>
      <c r="EB28" s="479"/>
      <c r="EC28" s="479"/>
      <c r="ED28" s="479"/>
      <c r="EE28" s="479"/>
    </row>
    <row r="29" spans="1:135" s="481" customFormat="1" ht="15.75" x14ac:dyDescent="0.35">
      <c r="A29" s="595" t="s">
        <v>798</v>
      </c>
      <c r="B29" s="598" t="s">
        <v>74</v>
      </c>
      <c r="C29" s="609" t="s">
        <v>16</v>
      </c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572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500"/>
      <c r="AO29" s="500"/>
      <c r="AP29" s="500"/>
      <c r="AQ29" s="519"/>
      <c r="AR29" s="519"/>
      <c r="AS29" s="519"/>
      <c r="AT29" s="518"/>
      <c r="AU29" s="518"/>
      <c r="AV29" s="518"/>
      <c r="AW29" s="470"/>
      <c r="AX29" s="470"/>
      <c r="AY29" s="470"/>
      <c r="AZ29" s="470"/>
      <c r="BA29" s="470"/>
      <c r="BB29" s="470"/>
      <c r="BC29" s="470"/>
      <c r="BD29" s="470"/>
      <c r="BE29" s="470"/>
      <c r="BF29" s="470"/>
      <c r="BG29" s="470"/>
      <c r="BH29" s="470"/>
      <c r="BI29" s="470"/>
      <c r="BJ29" s="470"/>
      <c r="BK29" s="470"/>
      <c r="BL29" s="470"/>
      <c r="BM29" s="470"/>
      <c r="BN29" s="470"/>
      <c r="BO29" s="470"/>
      <c r="BP29" s="470"/>
      <c r="BQ29" s="470"/>
      <c r="BR29" s="470"/>
      <c r="BS29" s="470"/>
      <c r="BT29" s="470"/>
      <c r="BU29" s="470"/>
      <c r="BV29" s="470"/>
      <c r="BW29" s="470"/>
      <c r="BX29" s="470"/>
      <c r="BY29" s="470"/>
      <c r="BZ29" s="470"/>
      <c r="CA29" s="470"/>
      <c r="CB29" s="470"/>
      <c r="CC29" s="470"/>
      <c r="CD29" s="470"/>
      <c r="CE29" s="470"/>
      <c r="CF29" s="470"/>
      <c r="CG29" s="470"/>
      <c r="CH29" s="470"/>
      <c r="CI29" s="470"/>
      <c r="CJ29" s="470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70"/>
      <c r="DJ29" s="470"/>
      <c r="DK29" s="470"/>
      <c r="DL29" s="470"/>
      <c r="DM29" s="470"/>
      <c r="DN29" s="470"/>
      <c r="DO29" s="470"/>
      <c r="DP29" s="470"/>
      <c r="DQ29" s="470"/>
      <c r="DR29" s="470"/>
      <c r="DS29" s="573"/>
      <c r="DT29" s="472"/>
      <c r="DU29" s="472"/>
      <c r="DV29" s="472"/>
      <c r="DW29" s="471"/>
      <c r="DX29" s="479"/>
      <c r="DY29" s="479"/>
      <c r="DZ29" s="479"/>
      <c r="EA29" s="479"/>
      <c r="EB29" s="479"/>
      <c r="EC29" s="479"/>
      <c r="ED29" s="479"/>
      <c r="EE29" s="479"/>
    </row>
    <row r="30" spans="1:135" s="481" customFormat="1" ht="15.75" x14ac:dyDescent="0.35">
      <c r="A30" s="589" t="s">
        <v>769</v>
      </c>
      <c r="B30" s="598" t="s">
        <v>19</v>
      </c>
      <c r="C30" s="599" t="s">
        <v>18</v>
      </c>
      <c r="D30" s="600" t="s">
        <v>168</v>
      </c>
      <c r="E30" s="600" t="s">
        <v>168</v>
      </c>
      <c r="F30" s="600" t="s">
        <v>168</v>
      </c>
      <c r="G30" s="603" t="s">
        <v>165</v>
      </c>
      <c r="H30" s="603" t="s">
        <v>165</v>
      </c>
      <c r="I30" s="603" t="s">
        <v>165</v>
      </c>
      <c r="J30" s="608" t="s">
        <v>162</v>
      </c>
      <c r="K30" s="608" t="s">
        <v>162</v>
      </c>
      <c r="L30" s="608" t="s">
        <v>162</v>
      </c>
      <c r="M30" s="613" t="s">
        <v>159</v>
      </c>
      <c r="N30" s="613" t="s">
        <v>159</v>
      </c>
      <c r="O30" s="503" t="s">
        <v>159</v>
      </c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6" t="s">
        <v>168</v>
      </c>
      <c r="AC30" s="486" t="s">
        <v>168</v>
      </c>
      <c r="AD30" s="486" t="s">
        <v>168</v>
      </c>
      <c r="AE30" s="485" t="s">
        <v>165</v>
      </c>
      <c r="AF30" s="485" t="s">
        <v>165</v>
      </c>
      <c r="AG30" s="485" t="s">
        <v>165</v>
      </c>
      <c r="AH30" s="484" t="s">
        <v>162</v>
      </c>
      <c r="AI30" s="484" t="s">
        <v>162</v>
      </c>
      <c r="AJ30" s="484" t="s">
        <v>162</v>
      </c>
      <c r="AK30" s="503" t="s">
        <v>159</v>
      </c>
      <c r="AL30" s="503" t="s">
        <v>159</v>
      </c>
      <c r="AM30" s="503" t="s">
        <v>159</v>
      </c>
      <c r="AN30" s="483"/>
      <c r="AO30" s="483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83"/>
      <c r="CL30" s="483"/>
      <c r="CM30" s="483"/>
      <c r="CN30" s="483"/>
      <c r="CO30" s="483"/>
      <c r="CP30" s="483"/>
      <c r="CQ30" s="483"/>
      <c r="CR30" s="483"/>
      <c r="CS30" s="483"/>
      <c r="CT30" s="483"/>
      <c r="CU30" s="483"/>
      <c r="CV30" s="483"/>
      <c r="CW30" s="483"/>
      <c r="CX30" s="483"/>
      <c r="CY30" s="483"/>
      <c r="CZ30" s="483"/>
      <c r="DA30" s="483"/>
      <c r="DB30" s="483"/>
      <c r="DC30" s="483"/>
      <c r="DD30" s="483"/>
      <c r="DE30" s="483"/>
      <c r="DF30" s="483"/>
      <c r="DG30" s="483"/>
      <c r="DH30" s="483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6" t="s">
        <v>168</v>
      </c>
      <c r="DU30" s="483"/>
      <c r="DV30" s="483"/>
      <c r="DW30" s="471"/>
      <c r="DX30" s="479"/>
      <c r="DY30" s="479"/>
      <c r="DZ30" s="479"/>
      <c r="EA30" s="479"/>
      <c r="EB30" s="479"/>
      <c r="EC30" s="479"/>
      <c r="ED30" s="479"/>
      <c r="EE30" s="479"/>
    </row>
    <row r="31" spans="1:135" s="481" customFormat="1" ht="15.75" x14ac:dyDescent="0.35">
      <c r="A31" s="590" t="s">
        <v>30</v>
      </c>
      <c r="B31" s="598" t="s">
        <v>36</v>
      </c>
      <c r="C31" s="607" t="s">
        <v>18</v>
      </c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561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6" t="s">
        <v>168</v>
      </c>
      <c r="AO31" s="486" t="s">
        <v>168</v>
      </c>
      <c r="AP31" s="486" t="s">
        <v>168</v>
      </c>
      <c r="AQ31" s="485" t="s">
        <v>165</v>
      </c>
      <c r="AR31" s="485" t="s">
        <v>165</v>
      </c>
      <c r="AS31" s="485" t="s">
        <v>165</v>
      </c>
      <c r="AT31" s="484" t="s">
        <v>162</v>
      </c>
      <c r="AU31" s="484" t="s">
        <v>162</v>
      </c>
      <c r="AV31" s="484" t="s">
        <v>162</v>
      </c>
      <c r="AW31" s="503" t="s">
        <v>159</v>
      </c>
      <c r="AX31" s="483"/>
      <c r="AY31" s="483"/>
      <c r="AZ31" s="483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83"/>
      <c r="CL31" s="483"/>
      <c r="CM31" s="483"/>
      <c r="CN31" s="483"/>
      <c r="CO31" s="483"/>
      <c r="CP31" s="483"/>
      <c r="CQ31" s="483"/>
      <c r="CR31" s="483"/>
      <c r="CS31" s="483"/>
      <c r="CT31" s="483"/>
      <c r="CU31" s="483"/>
      <c r="CV31" s="483"/>
      <c r="CW31" s="483"/>
      <c r="CX31" s="483"/>
      <c r="CY31" s="483"/>
      <c r="CZ31" s="483"/>
      <c r="DA31" s="483"/>
      <c r="DB31" s="483"/>
      <c r="DC31" s="483"/>
      <c r="DD31" s="483"/>
      <c r="DE31" s="483"/>
      <c r="DF31" s="483"/>
      <c r="DG31" s="483"/>
      <c r="DH31" s="483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83"/>
      <c r="DV31" s="483"/>
      <c r="DW31" s="471"/>
      <c r="DX31" s="479"/>
      <c r="DY31" s="479"/>
      <c r="DZ31" s="479"/>
      <c r="EA31" s="479"/>
      <c r="EB31" s="479"/>
      <c r="EC31" s="479"/>
      <c r="ED31" s="479"/>
      <c r="EE31" s="479"/>
    </row>
    <row r="32" spans="1:135" s="481" customFormat="1" ht="15.75" x14ac:dyDescent="0.35">
      <c r="A32" s="590" t="s">
        <v>31</v>
      </c>
      <c r="B32" s="598" t="s">
        <v>74</v>
      </c>
      <c r="C32" s="599" t="s">
        <v>16</v>
      </c>
      <c r="D32" s="470"/>
      <c r="E32" s="470"/>
      <c r="F32" s="470"/>
      <c r="G32" s="470"/>
      <c r="H32" s="470"/>
      <c r="I32" s="470"/>
      <c r="J32" s="470"/>
      <c r="K32" s="610"/>
      <c r="L32" s="610"/>
      <c r="M32" s="610"/>
      <c r="N32" s="470"/>
      <c r="O32" s="572"/>
      <c r="P32" s="470"/>
      <c r="Q32" s="470"/>
      <c r="R32" s="470"/>
      <c r="S32" s="470"/>
      <c r="T32" s="470"/>
      <c r="U32" s="470"/>
      <c r="V32" s="518"/>
      <c r="W32" s="500"/>
      <c r="X32" s="50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500"/>
      <c r="AJ32" s="500"/>
      <c r="AK32" s="50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0"/>
      <c r="BA32" s="470"/>
      <c r="BB32" s="470"/>
      <c r="BC32" s="470"/>
      <c r="BD32" s="470"/>
      <c r="BE32" s="470"/>
      <c r="BF32" s="470"/>
      <c r="BG32" s="500"/>
      <c r="BH32" s="500"/>
      <c r="BI32" s="500"/>
      <c r="BJ32" s="470"/>
      <c r="BK32" s="470"/>
      <c r="BL32" s="470"/>
      <c r="BM32" s="470"/>
      <c r="BN32" s="470"/>
      <c r="BO32" s="470"/>
      <c r="BP32" s="470"/>
      <c r="BQ32" s="470"/>
      <c r="BR32" s="470"/>
      <c r="BS32" s="500"/>
      <c r="BT32" s="500"/>
      <c r="BU32" s="500"/>
      <c r="BV32" s="470"/>
      <c r="BW32" s="470"/>
      <c r="BX32" s="470"/>
      <c r="BY32" s="470"/>
      <c r="BZ32" s="470"/>
      <c r="CA32" s="470"/>
      <c r="CB32" s="470"/>
      <c r="CC32" s="470"/>
      <c r="CD32" s="470"/>
      <c r="CE32" s="470"/>
      <c r="CF32" s="470"/>
      <c r="CG32" s="470"/>
      <c r="CH32" s="470"/>
      <c r="CI32" s="470"/>
      <c r="CJ32" s="470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70"/>
      <c r="DJ32" s="470"/>
      <c r="DK32" s="470"/>
      <c r="DL32" s="470"/>
      <c r="DM32" s="470"/>
      <c r="DN32" s="470"/>
      <c r="DO32" s="470"/>
      <c r="DP32" s="470"/>
      <c r="DQ32" s="470"/>
      <c r="DR32" s="470"/>
      <c r="DS32" s="470"/>
      <c r="DT32" s="472"/>
      <c r="DU32" s="575"/>
      <c r="DV32" s="576"/>
      <c r="DW32" s="498"/>
      <c r="DX32" s="479"/>
      <c r="DY32" s="479"/>
      <c r="DZ32" s="479"/>
      <c r="EA32" s="479"/>
      <c r="EB32" s="479"/>
      <c r="EC32" s="479"/>
      <c r="ED32" s="479"/>
      <c r="EE32" s="479"/>
    </row>
    <row r="33" spans="1:135" s="481" customFormat="1" ht="15.75" x14ac:dyDescent="0.35">
      <c r="A33" s="590" t="s">
        <v>31</v>
      </c>
      <c r="B33" s="598" t="s">
        <v>74</v>
      </c>
      <c r="C33" s="599" t="s">
        <v>18</v>
      </c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561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  <c r="AI33" s="483"/>
      <c r="AJ33" s="483"/>
      <c r="AK33" s="483"/>
      <c r="AL33" s="483"/>
      <c r="AM33" s="483"/>
      <c r="AN33" s="483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83"/>
      <c r="BI33" s="483"/>
      <c r="BJ33" s="483"/>
      <c r="BK33" s="483"/>
      <c r="BL33" s="483"/>
      <c r="BM33" s="483"/>
      <c r="BN33" s="483"/>
      <c r="BO33" s="483"/>
      <c r="BP33" s="483"/>
      <c r="BQ33" s="483"/>
      <c r="BR33" s="483"/>
      <c r="BS33" s="483"/>
      <c r="BT33" s="483"/>
      <c r="BU33" s="483"/>
      <c r="BV33" s="483"/>
      <c r="BW33" s="483"/>
      <c r="BX33" s="483"/>
      <c r="BY33" s="483"/>
      <c r="BZ33" s="483"/>
      <c r="CA33" s="483"/>
      <c r="CB33" s="483"/>
      <c r="CC33" s="483"/>
      <c r="CD33" s="483"/>
      <c r="CE33" s="483"/>
      <c r="CF33" s="483"/>
      <c r="CG33" s="483"/>
      <c r="CH33" s="483"/>
      <c r="CI33" s="483"/>
      <c r="CJ33" s="483"/>
      <c r="CK33" s="483"/>
      <c r="CL33" s="483"/>
      <c r="CM33" s="483"/>
      <c r="CN33" s="483"/>
      <c r="CO33" s="483"/>
      <c r="CP33" s="483"/>
      <c r="CQ33" s="483"/>
      <c r="CR33" s="483"/>
      <c r="CS33" s="483"/>
      <c r="CT33" s="483"/>
      <c r="CU33" s="483"/>
      <c r="CV33" s="483"/>
      <c r="CW33" s="483"/>
      <c r="CX33" s="483"/>
      <c r="CY33" s="483"/>
      <c r="CZ33" s="483"/>
      <c r="DA33" s="483"/>
      <c r="DB33" s="483"/>
      <c r="DC33" s="483"/>
      <c r="DD33" s="483"/>
      <c r="DE33" s="483"/>
      <c r="DF33" s="483"/>
      <c r="DG33" s="483"/>
      <c r="DH33" s="483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83"/>
      <c r="DV33" s="483"/>
      <c r="DW33" s="471"/>
      <c r="DX33" s="479"/>
      <c r="DY33" s="479"/>
      <c r="DZ33" s="479"/>
      <c r="EA33" s="479"/>
      <c r="EB33" s="479"/>
      <c r="EC33" s="479"/>
      <c r="ED33" s="479"/>
      <c r="EE33" s="479"/>
    </row>
    <row r="34" spans="1:135" s="481" customFormat="1" ht="15.75" x14ac:dyDescent="0.35">
      <c r="A34" s="596" t="s">
        <v>786</v>
      </c>
      <c r="B34" s="598" t="s">
        <v>19</v>
      </c>
      <c r="C34" s="609" t="s">
        <v>16</v>
      </c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561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6" t="s">
        <v>168</v>
      </c>
      <c r="AC34" s="486" t="s">
        <v>168</v>
      </c>
      <c r="AD34" s="486" t="s">
        <v>168</v>
      </c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3"/>
      <c r="AP34" s="483"/>
      <c r="AQ34" s="483"/>
      <c r="AR34" s="483"/>
      <c r="AS34" s="483"/>
      <c r="AT34" s="483"/>
      <c r="AU34" s="483"/>
      <c r="AV34" s="483"/>
      <c r="AW34" s="483"/>
      <c r="AX34" s="483"/>
      <c r="AY34" s="483"/>
      <c r="AZ34" s="483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83"/>
      <c r="CL34" s="483"/>
      <c r="CM34" s="483"/>
      <c r="CN34" s="483"/>
      <c r="CO34" s="483"/>
      <c r="CP34" s="483"/>
      <c r="CQ34" s="483"/>
      <c r="CR34" s="483"/>
      <c r="CS34" s="483"/>
      <c r="CT34" s="483"/>
      <c r="CU34" s="483"/>
      <c r="CV34" s="483"/>
      <c r="CW34" s="483"/>
      <c r="CX34" s="483"/>
      <c r="CY34" s="483"/>
      <c r="CZ34" s="483"/>
      <c r="DA34" s="483"/>
      <c r="DB34" s="483"/>
      <c r="DC34" s="483"/>
      <c r="DD34" s="483"/>
      <c r="DE34" s="483"/>
      <c r="DF34" s="483"/>
      <c r="DG34" s="483"/>
      <c r="DH34" s="483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5" t="s">
        <v>832</v>
      </c>
      <c r="DU34" s="483"/>
      <c r="DV34" s="483"/>
      <c r="DW34" s="488"/>
      <c r="DX34" s="479"/>
      <c r="DY34" s="479"/>
      <c r="DZ34" s="479"/>
      <c r="EA34" s="479"/>
      <c r="EB34" s="479"/>
      <c r="EC34" s="479"/>
      <c r="ED34" s="479"/>
      <c r="EE34" s="479"/>
    </row>
    <row r="35" spans="1:135" s="481" customFormat="1" ht="15.75" x14ac:dyDescent="0.35">
      <c r="A35" s="596" t="s">
        <v>786</v>
      </c>
      <c r="B35" s="598" t="s">
        <v>19</v>
      </c>
      <c r="C35" s="609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572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500"/>
      <c r="AD35" s="500"/>
      <c r="AE35" s="519"/>
      <c r="AF35" s="519"/>
      <c r="AG35" s="518"/>
      <c r="AH35" s="470"/>
      <c r="AI35" s="470"/>
      <c r="AJ35" s="470"/>
      <c r="AK35" s="470"/>
      <c r="AL35" s="470"/>
      <c r="AM35" s="500"/>
      <c r="AN35" s="500"/>
      <c r="AO35" s="50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0"/>
      <c r="BA35" s="470"/>
      <c r="BC35" s="470"/>
      <c r="BD35" s="470"/>
      <c r="BE35" s="470"/>
      <c r="BF35" s="470"/>
      <c r="BG35" s="470"/>
      <c r="BH35" s="470"/>
      <c r="BI35" s="470"/>
      <c r="BJ35" s="470"/>
      <c r="BK35" s="470"/>
      <c r="BL35" s="470"/>
      <c r="BM35" s="470"/>
      <c r="BN35" s="470"/>
      <c r="BO35" s="470"/>
      <c r="BP35" s="470"/>
      <c r="BQ35" s="470"/>
      <c r="BR35" s="470"/>
      <c r="BS35" s="470"/>
      <c r="BT35" s="470"/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50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50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70"/>
      <c r="DO35" s="470"/>
      <c r="DP35" s="470"/>
      <c r="DQ35" s="470"/>
      <c r="DR35" s="470"/>
      <c r="DS35" s="470"/>
      <c r="DW35" s="498"/>
      <c r="DX35" s="479"/>
      <c r="DY35" s="479"/>
      <c r="DZ35" s="479"/>
      <c r="EA35" s="479"/>
      <c r="EB35" s="479"/>
      <c r="EC35" s="479"/>
      <c r="ED35" s="479"/>
      <c r="EE35" s="479"/>
    </row>
    <row r="36" spans="1:135" s="481" customFormat="1" ht="15.75" x14ac:dyDescent="0.35">
      <c r="A36" s="590" t="s">
        <v>33</v>
      </c>
      <c r="B36" s="598" t="s">
        <v>36</v>
      </c>
      <c r="C36" s="607" t="s">
        <v>16</v>
      </c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561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483"/>
      <c r="AP36" s="483"/>
      <c r="AQ36" s="483"/>
      <c r="AR36" s="483"/>
      <c r="AS36" s="483"/>
      <c r="AT36" s="483"/>
      <c r="AU36" s="483"/>
      <c r="AV36" s="483"/>
      <c r="AW36" s="483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83"/>
      <c r="CH36" s="483"/>
      <c r="CI36" s="483"/>
      <c r="CJ36" s="483"/>
      <c r="CK36" s="483"/>
      <c r="CL36" s="483"/>
      <c r="CM36" s="483"/>
      <c r="CN36" s="483"/>
      <c r="CO36" s="483"/>
      <c r="CP36" s="483"/>
      <c r="CQ36" s="483"/>
      <c r="CR36" s="483"/>
      <c r="CS36" s="483"/>
      <c r="CT36" s="483"/>
      <c r="CU36" s="483"/>
      <c r="CV36" s="483"/>
      <c r="CW36" s="483"/>
      <c r="CX36" s="483"/>
      <c r="CY36" s="483"/>
      <c r="CZ36" s="483"/>
      <c r="DA36" s="483"/>
      <c r="DB36" s="483"/>
      <c r="DC36" s="483"/>
      <c r="DD36" s="483"/>
      <c r="DE36" s="483"/>
      <c r="DF36" s="483"/>
      <c r="DG36" s="483"/>
      <c r="DH36" s="483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83"/>
      <c r="DV36" s="483"/>
      <c r="DW36" s="488"/>
      <c r="DX36" s="479"/>
      <c r="DY36" s="479"/>
      <c r="DZ36" s="479"/>
      <c r="EA36" s="479"/>
      <c r="EB36" s="479"/>
      <c r="EC36" s="479"/>
      <c r="ED36" s="479"/>
      <c r="EE36" s="479"/>
    </row>
    <row r="37" spans="1:135" s="481" customFormat="1" ht="15.75" x14ac:dyDescent="0.35">
      <c r="A37" s="595" t="s">
        <v>35</v>
      </c>
      <c r="B37" s="598" t="s">
        <v>36</v>
      </c>
      <c r="C37" s="609" t="s">
        <v>16</v>
      </c>
      <c r="D37" s="470"/>
      <c r="E37" s="610"/>
      <c r="F37" s="610"/>
      <c r="G37" s="610"/>
      <c r="H37" s="611"/>
      <c r="I37" s="611"/>
      <c r="J37" s="611"/>
      <c r="K37" s="610"/>
      <c r="L37" s="610"/>
      <c r="M37" s="610"/>
      <c r="N37" s="470"/>
      <c r="O37" s="572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500"/>
      <c r="AD37" s="500"/>
      <c r="AE37" s="500"/>
      <c r="AF37" s="519"/>
      <c r="AG37" s="519"/>
      <c r="AH37" s="519"/>
      <c r="AI37" s="500"/>
      <c r="AJ37" s="500"/>
      <c r="AK37" s="50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0"/>
      <c r="BA37" s="500"/>
      <c r="BB37" s="500"/>
      <c r="BC37" s="500"/>
      <c r="BD37" s="519"/>
      <c r="BE37" s="519"/>
      <c r="BF37" s="519"/>
      <c r="BG37" s="500"/>
      <c r="BH37" s="500"/>
      <c r="BI37" s="500"/>
      <c r="BJ37" s="470"/>
      <c r="BK37" s="470"/>
      <c r="BL37" s="470"/>
      <c r="BM37" s="470"/>
      <c r="BN37" s="470"/>
      <c r="BO37" s="470"/>
      <c r="BP37" s="470"/>
      <c r="BQ37" s="470"/>
      <c r="BR37" s="470"/>
      <c r="BS37" s="470"/>
      <c r="BT37" s="470"/>
      <c r="BU37" s="470"/>
      <c r="BV37" s="470"/>
      <c r="BW37" s="470"/>
      <c r="BX37" s="470"/>
      <c r="BY37" s="470"/>
      <c r="BZ37" s="470"/>
      <c r="CA37" s="470"/>
      <c r="CB37" s="470"/>
      <c r="CC37" s="470"/>
      <c r="CD37" s="470"/>
      <c r="CE37" s="470"/>
      <c r="CF37" s="470"/>
      <c r="CG37" s="470"/>
      <c r="CH37" s="470"/>
      <c r="CI37" s="470"/>
      <c r="CJ37" s="470"/>
      <c r="CK37" s="470"/>
      <c r="CL37" s="470"/>
      <c r="CM37" s="470"/>
      <c r="CN37" s="470"/>
      <c r="CO37" s="470"/>
      <c r="CP37" s="470"/>
      <c r="CQ37" s="470"/>
      <c r="CR37" s="470"/>
      <c r="CS37" s="470"/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70"/>
      <c r="DJ37" s="470"/>
      <c r="DK37" s="470"/>
      <c r="DL37" s="470"/>
      <c r="DM37" s="470"/>
      <c r="DN37" s="470"/>
      <c r="DO37" s="470"/>
      <c r="DP37" s="470"/>
      <c r="DQ37" s="470"/>
      <c r="DR37" s="470"/>
      <c r="DS37" s="470"/>
      <c r="DT37" s="472"/>
      <c r="DU37" s="472"/>
      <c r="DV37" s="472"/>
      <c r="DW37" s="471"/>
      <c r="DX37" s="479"/>
      <c r="DY37" s="479"/>
      <c r="DZ37" s="479"/>
      <c r="EA37" s="479"/>
      <c r="EB37" s="479"/>
      <c r="EC37" s="479"/>
      <c r="ED37" s="479"/>
      <c r="EE37" s="479"/>
    </row>
    <row r="38" spans="1:135" s="481" customFormat="1" ht="15.75" x14ac:dyDescent="0.35">
      <c r="A38" s="595" t="s">
        <v>37</v>
      </c>
      <c r="B38" s="598" t="s">
        <v>136</v>
      </c>
      <c r="C38" s="609" t="s">
        <v>18</v>
      </c>
      <c r="D38" s="600" t="s">
        <v>168</v>
      </c>
      <c r="E38" s="600" t="s">
        <v>168</v>
      </c>
      <c r="F38" s="600" t="s">
        <v>168</v>
      </c>
      <c r="G38" s="603" t="s">
        <v>165</v>
      </c>
      <c r="H38" s="603" t="s">
        <v>165</v>
      </c>
      <c r="I38" s="603" t="s">
        <v>165</v>
      </c>
      <c r="J38" s="608" t="s">
        <v>162</v>
      </c>
      <c r="K38" s="608" t="s">
        <v>162</v>
      </c>
      <c r="L38" s="608" t="s">
        <v>162</v>
      </c>
      <c r="M38" s="613" t="s">
        <v>159</v>
      </c>
      <c r="N38" s="613" t="s">
        <v>159</v>
      </c>
      <c r="O38" s="503" t="s">
        <v>159</v>
      </c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483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83"/>
      <c r="BB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83"/>
      <c r="CL38" s="483"/>
      <c r="CM38" s="483"/>
      <c r="CN38" s="483"/>
      <c r="CO38" s="483"/>
      <c r="CP38" s="483"/>
      <c r="CQ38" s="483"/>
      <c r="CR38" s="483"/>
      <c r="CS38" s="483"/>
      <c r="CT38" s="483"/>
      <c r="CU38" s="483"/>
      <c r="CV38" s="483"/>
      <c r="CW38" s="483"/>
      <c r="CX38" s="483"/>
      <c r="CY38" s="483"/>
      <c r="CZ38" s="483"/>
      <c r="DA38" s="483"/>
      <c r="DB38" s="483"/>
      <c r="DC38" s="483"/>
      <c r="DD38" s="483"/>
      <c r="DE38" s="483"/>
      <c r="DF38" s="483"/>
      <c r="DG38" s="483"/>
      <c r="DH38" s="483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72" t="s">
        <v>860</v>
      </c>
      <c r="DU38" s="483"/>
      <c r="DV38" s="483"/>
      <c r="DW38" s="471"/>
      <c r="DX38" s="479"/>
      <c r="DY38" s="479"/>
      <c r="DZ38" s="479"/>
      <c r="EA38" s="479"/>
      <c r="EB38" s="479"/>
      <c r="EC38" s="479"/>
      <c r="ED38" s="479"/>
      <c r="EE38" s="479"/>
    </row>
    <row r="39" spans="1:135" s="481" customFormat="1" ht="15.75" x14ac:dyDescent="0.35">
      <c r="A39" s="590" t="s">
        <v>38</v>
      </c>
      <c r="B39" s="598" t="s">
        <v>36</v>
      </c>
      <c r="C39" s="599" t="s">
        <v>16</v>
      </c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561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6" t="s">
        <v>168</v>
      </c>
      <c r="AO39" s="486" t="s">
        <v>168</v>
      </c>
      <c r="AP39" s="486" t="s">
        <v>168</v>
      </c>
      <c r="AQ39" s="485" t="s">
        <v>165</v>
      </c>
      <c r="AR39" s="485" t="s">
        <v>165</v>
      </c>
      <c r="AS39" s="485" t="s">
        <v>165</v>
      </c>
      <c r="AT39" s="484" t="s">
        <v>162</v>
      </c>
      <c r="AU39" s="484" t="s">
        <v>162</v>
      </c>
      <c r="AV39" s="484" t="s">
        <v>162</v>
      </c>
      <c r="AW39" s="503" t="s">
        <v>159</v>
      </c>
      <c r="AX39" s="503" t="s">
        <v>159</v>
      </c>
      <c r="AY39" s="503" t="s">
        <v>159</v>
      </c>
      <c r="AZ39" s="483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83"/>
      <c r="CL39" s="483"/>
      <c r="CM39" s="483"/>
      <c r="CN39" s="483"/>
      <c r="CO39" s="483"/>
      <c r="CP39" s="483"/>
      <c r="CQ39" s="483"/>
      <c r="CR39" s="483"/>
      <c r="CS39" s="483"/>
      <c r="CT39" s="483"/>
      <c r="CU39" s="483"/>
      <c r="CV39" s="483"/>
      <c r="CW39" s="483"/>
      <c r="CX39" s="483"/>
      <c r="CY39" s="483"/>
      <c r="CZ39" s="483"/>
      <c r="DA39" s="483"/>
      <c r="DB39" s="483"/>
      <c r="DC39" s="483"/>
      <c r="DD39" s="483"/>
      <c r="DE39" s="483"/>
      <c r="DF39" s="483"/>
      <c r="DG39" s="483"/>
      <c r="DH39" s="483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83"/>
      <c r="DV39" s="483"/>
      <c r="DW39" s="471"/>
      <c r="DX39" s="479"/>
      <c r="DY39" s="479"/>
      <c r="DZ39" s="479"/>
      <c r="EA39" s="479"/>
      <c r="EB39" s="479"/>
      <c r="EC39" s="479"/>
      <c r="ED39" s="479"/>
      <c r="EE39" s="479"/>
    </row>
    <row r="40" spans="1:135" s="481" customFormat="1" ht="15.75" x14ac:dyDescent="0.35">
      <c r="A40" s="591" t="s">
        <v>41</v>
      </c>
      <c r="B40" s="598" t="s">
        <v>136</v>
      </c>
      <c r="C40" s="607" t="s">
        <v>16</v>
      </c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572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0"/>
      <c r="AE40" s="470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0"/>
      <c r="AW40" s="470"/>
      <c r="AX40" s="470"/>
      <c r="AY40" s="470"/>
      <c r="AZ40" s="470"/>
      <c r="BA40" s="470"/>
      <c r="BB40" s="470"/>
      <c r="BC40" s="470"/>
      <c r="BD40" s="470"/>
      <c r="BE40" s="470"/>
      <c r="BF40" s="470"/>
      <c r="BG40" s="470"/>
      <c r="BH40" s="470"/>
      <c r="BI40" s="470"/>
      <c r="BJ40" s="470"/>
      <c r="BK40" s="470"/>
      <c r="BL40" s="470"/>
      <c r="BM40" s="470"/>
      <c r="BN40" s="470"/>
      <c r="BO40" s="470"/>
      <c r="BP40" s="470"/>
      <c r="BQ40" s="470"/>
      <c r="BR40" s="470"/>
      <c r="BS40" s="470"/>
      <c r="BT40" s="470"/>
      <c r="BU40" s="470"/>
      <c r="BV40" s="470"/>
      <c r="BW40" s="470"/>
      <c r="BX40" s="470"/>
      <c r="BY40" s="470"/>
      <c r="BZ40" s="470"/>
      <c r="CA40" s="470"/>
      <c r="CB40" s="470"/>
      <c r="CC40" s="470"/>
      <c r="CD40" s="470"/>
      <c r="CE40" s="470"/>
      <c r="CF40" s="470"/>
      <c r="CG40" s="470"/>
      <c r="CH40" s="470"/>
      <c r="CI40" s="470"/>
      <c r="CJ40" s="470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70"/>
      <c r="DJ40" s="470"/>
      <c r="DK40" s="470"/>
      <c r="DL40" s="470"/>
      <c r="DM40" s="470"/>
      <c r="DN40" s="470"/>
      <c r="DO40" s="470"/>
      <c r="DP40" s="470"/>
      <c r="DQ40" s="470"/>
      <c r="DR40" s="470"/>
      <c r="DS40" s="470"/>
      <c r="DT40" s="472"/>
      <c r="DU40" s="472"/>
      <c r="DV40" s="472"/>
      <c r="DW40" s="488"/>
      <c r="DX40" s="479"/>
      <c r="DY40" s="479"/>
      <c r="DZ40" s="479"/>
      <c r="EA40" s="479"/>
      <c r="EB40" s="479"/>
      <c r="EC40" s="479"/>
      <c r="ED40" s="479"/>
      <c r="EE40" s="479"/>
    </row>
    <row r="41" spans="1:135" s="481" customFormat="1" ht="15.75" x14ac:dyDescent="0.35">
      <c r="A41" s="590" t="s">
        <v>40</v>
      </c>
      <c r="B41" s="598" t="s">
        <v>136</v>
      </c>
      <c r="C41" s="599" t="s">
        <v>16</v>
      </c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572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94"/>
      <c r="AO41" s="494"/>
      <c r="AP41" s="494"/>
      <c r="AQ41" s="493"/>
      <c r="AR41" s="493"/>
      <c r="AS41" s="493"/>
      <c r="AT41" s="470"/>
      <c r="AU41" s="500"/>
      <c r="AV41" s="470"/>
      <c r="AW41" s="519"/>
      <c r="AX41" s="519"/>
      <c r="AY41" s="519"/>
      <c r="AZ41" s="470"/>
      <c r="BA41" s="470"/>
      <c r="BB41" s="470"/>
      <c r="BC41" s="470"/>
      <c r="BD41" s="470"/>
      <c r="BE41" s="470"/>
      <c r="BF41" s="470"/>
      <c r="BG41" s="470"/>
      <c r="BH41" s="470"/>
      <c r="BI41" s="470"/>
      <c r="BJ41" s="470"/>
      <c r="BK41" s="470"/>
      <c r="BL41" s="470"/>
      <c r="BM41" s="470"/>
      <c r="BN41" s="470"/>
      <c r="BO41" s="470"/>
      <c r="BP41" s="470"/>
      <c r="BQ41" s="470"/>
      <c r="BR41" s="470"/>
      <c r="BS41" s="470"/>
      <c r="BT41" s="470"/>
      <c r="BU41" s="470"/>
      <c r="BV41" s="470"/>
      <c r="BW41" s="470"/>
      <c r="BX41" s="470"/>
      <c r="BY41" s="470"/>
      <c r="BZ41" s="470"/>
      <c r="CA41" s="470"/>
      <c r="CB41" s="470"/>
      <c r="CC41" s="470"/>
      <c r="CD41" s="470"/>
      <c r="CE41" s="470"/>
      <c r="CF41" s="470"/>
      <c r="CG41" s="470"/>
      <c r="CH41" s="470"/>
      <c r="CI41" s="470"/>
      <c r="CJ41" s="470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70"/>
      <c r="DJ41" s="470"/>
      <c r="DK41" s="470"/>
      <c r="DL41" s="470"/>
      <c r="DM41" s="470"/>
      <c r="DN41" s="470"/>
      <c r="DO41" s="470"/>
      <c r="DP41" s="470"/>
      <c r="DQ41" s="470"/>
      <c r="DR41" s="470"/>
      <c r="DS41" s="470"/>
      <c r="DT41" s="472"/>
      <c r="DU41" s="472"/>
      <c r="DV41" s="472"/>
      <c r="DW41" s="488"/>
      <c r="DX41" s="479"/>
      <c r="DY41" s="479"/>
      <c r="DZ41" s="479"/>
      <c r="EA41" s="479"/>
      <c r="EB41" s="479"/>
      <c r="EC41" s="479"/>
      <c r="ED41" s="479"/>
      <c r="EE41" s="479"/>
    </row>
    <row r="42" spans="1:135" s="481" customFormat="1" ht="15.75" x14ac:dyDescent="0.35">
      <c r="A42" s="593" t="s">
        <v>42</v>
      </c>
      <c r="B42" s="598" t="s">
        <v>36</v>
      </c>
      <c r="C42" s="614" t="s">
        <v>52</v>
      </c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6" t="s">
        <v>168</v>
      </c>
      <c r="AO42" s="486" t="s">
        <v>168</v>
      </c>
      <c r="AP42" s="486" t="s">
        <v>168</v>
      </c>
      <c r="AQ42" s="485" t="s">
        <v>165</v>
      </c>
      <c r="AR42" s="485" t="s">
        <v>165</v>
      </c>
      <c r="AS42" s="485" t="s">
        <v>165</v>
      </c>
      <c r="AT42" s="484" t="s">
        <v>162</v>
      </c>
      <c r="AU42" s="484" t="s">
        <v>162</v>
      </c>
      <c r="AV42" s="484" t="s">
        <v>162</v>
      </c>
      <c r="AW42" s="503" t="s">
        <v>159</v>
      </c>
      <c r="AX42" s="503" t="s">
        <v>159</v>
      </c>
      <c r="AY42" s="503" t="s">
        <v>159</v>
      </c>
      <c r="AZ42" s="483"/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83"/>
      <c r="CL42" s="483"/>
      <c r="CM42" s="483"/>
      <c r="CN42" s="483"/>
      <c r="CO42" s="483"/>
      <c r="CP42" s="483"/>
      <c r="CQ42" s="483"/>
      <c r="CR42" s="483"/>
      <c r="CS42" s="483"/>
      <c r="CT42" s="483"/>
      <c r="CU42" s="483"/>
      <c r="CV42" s="483"/>
      <c r="CW42" s="483"/>
      <c r="CX42" s="483"/>
      <c r="CY42" s="483"/>
      <c r="CZ42" s="483"/>
      <c r="DA42" s="483"/>
      <c r="DB42" s="483"/>
      <c r="DC42" s="483"/>
      <c r="DD42" s="483"/>
      <c r="DE42" s="483"/>
      <c r="DF42" s="483"/>
      <c r="DG42" s="483"/>
      <c r="DH42" s="483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83"/>
      <c r="DV42" s="483"/>
      <c r="DW42" s="488"/>
      <c r="DX42" s="479"/>
      <c r="DY42" s="479"/>
      <c r="DZ42" s="479"/>
      <c r="EA42" s="479"/>
      <c r="EB42" s="479"/>
      <c r="EC42" s="479"/>
      <c r="ED42" s="479"/>
      <c r="EE42" s="479"/>
    </row>
    <row r="43" spans="1:135" s="481" customFormat="1" ht="15.75" x14ac:dyDescent="0.35">
      <c r="A43" s="591" t="s">
        <v>77</v>
      </c>
      <c r="B43" s="598" t="s">
        <v>36</v>
      </c>
      <c r="C43" s="607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561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83"/>
      <c r="CL43" s="483"/>
      <c r="CM43" s="483"/>
      <c r="CN43" s="483"/>
      <c r="CO43" s="483"/>
      <c r="CP43" s="483"/>
      <c r="CQ43" s="483"/>
      <c r="CR43" s="483"/>
      <c r="CS43" s="483"/>
      <c r="CT43" s="483"/>
      <c r="CU43" s="483"/>
      <c r="CV43" s="483"/>
      <c r="CW43" s="483"/>
      <c r="CX43" s="483"/>
      <c r="CY43" s="483"/>
      <c r="CZ43" s="483"/>
      <c r="DA43" s="483"/>
      <c r="DB43" s="483"/>
      <c r="DC43" s="483"/>
      <c r="DD43" s="483"/>
      <c r="DE43" s="483"/>
      <c r="DF43" s="483"/>
      <c r="DG43" s="483"/>
      <c r="DH43" s="483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83"/>
      <c r="DV43" s="483"/>
      <c r="DW43" s="488"/>
      <c r="DX43" s="479"/>
      <c r="DY43" s="479"/>
      <c r="DZ43" s="479"/>
      <c r="EA43" s="479"/>
      <c r="EB43" s="479"/>
      <c r="EC43" s="479"/>
      <c r="ED43" s="479"/>
      <c r="EE43" s="479"/>
    </row>
    <row r="44" spans="1:135" s="481" customFormat="1" ht="15.75" x14ac:dyDescent="0.35">
      <c r="A44" s="591" t="s">
        <v>791</v>
      </c>
      <c r="B44" s="598" t="s">
        <v>135</v>
      </c>
      <c r="C44" s="599" t="s">
        <v>16</v>
      </c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95" t="s">
        <v>167</v>
      </c>
      <c r="BA44" s="495" t="s">
        <v>167</v>
      </c>
      <c r="BB44" s="495" t="s">
        <v>167</v>
      </c>
      <c r="BC44" s="485" t="s">
        <v>165</v>
      </c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83"/>
      <c r="CL44" s="483"/>
      <c r="CM44" s="483"/>
      <c r="CN44" s="483"/>
      <c r="CO44" s="483"/>
      <c r="CP44" s="483"/>
      <c r="CQ44" s="483"/>
      <c r="CR44" s="483"/>
      <c r="CS44" s="483"/>
      <c r="CT44" s="483"/>
      <c r="CU44" s="483"/>
      <c r="CV44" s="483"/>
      <c r="CW44" s="483"/>
      <c r="CX44" s="483"/>
      <c r="CY44" s="483"/>
      <c r="CZ44" s="483"/>
      <c r="DA44" s="483"/>
      <c r="DB44" s="483"/>
      <c r="DC44" s="483"/>
      <c r="DD44" s="483"/>
      <c r="DE44" s="483"/>
      <c r="DF44" s="483"/>
      <c r="DG44" s="483"/>
      <c r="DH44" s="483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83"/>
      <c r="DV44" s="483"/>
      <c r="DW44" s="471"/>
      <c r="DX44" s="479"/>
      <c r="DY44" s="479"/>
      <c r="DZ44" s="479"/>
      <c r="EA44" s="479"/>
      <c r="EB44" s="479"/>
      <c r="EC44" s="479"/>
      <c r="ED44" s="479"/>
      <c r="EE44" s="479"/>
    </row>
    <row r="45" spans="1:135" s="481" customFormat="1" ht="15.75" x14ac:dyDescent="0.35">
      <c r="A45" s="590" t="s">
        <v>67</v>
      </c>
      <c r="B45" s="598" t="s">
        <v>135</v>
      </c>
      <c r="C45" s="607" t="s">
        <v>16</v>
      </c>
      <c r="D45" s="600" t="s">
        <v>168</v>
      </c>
      <c r="E45" s="600" t="s">
        <v>168</v>
      </c>
      <c r="F45" s="600" t="s">
        <v>168</v>
      </c>
      <c r="G45" s="603" t="s">
        <v>165</v>
      </c>
      <c r="H45" s="603" t="s">
        <v>165</v>
      </c>
      <c r="I45" s="603" t="s">
        <v>165</v>
      </c>
      <c r="J45" s="608" t="s">
        <v>162</v>
      </c>
      <c r="K45" s="483"/>
      <c r="L45" s="483"/>
      <c r="M45" s="483"/>
      <c r="N45" s="483"/>
      <c r="O45" s="561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6" t="s">
        <v>168</v>
      </c>
      <c r="AC45" s="486" t="s">
        <v>168</v>
      </c>
      <c r="AD45" s="486" t="s">
        <v>168</v>
      </c>
      <c r="AE45" s="485" t="s">
        <v>165</v>
      </c>
      <c r="AF45" s="485" t="s">
        <v>165</v>
      </c>
      <c r="AG45" s="485" t="s">
        <v>165</v>
      </c>
      <c r="AH45" s="484" t="s">
        <v>162</v>
      </c>
      <c r="AI45" s="483"/>
      <c r="AJ45" s="483"/>
      <c r="AK45" s="483"/>
      <c r="AL45" s="483"/>
      <c r="AM45" s="483"/>
      <c r="AN45" s="486" t="s">
        <v>168</v>
      </c>
      <c r="AO45" s="486" t="s">
        <v>168</v>
      </c>
      <c r="AP45" s="486" t="s">
        <v>168</v>
      </c>
      <c r="AQ45" s="485" t="s">
        <v>165</v>
      </c>
      <c r="AR45" s="485" t="s">
        <v>165</v>
      </c>
      <c r="AS45" s="485" t="s">
        <v>165</v>
      </c>
      <c r="AT45" s="484" t="s">
        <v>162</v>
      </c>
      <c r="AU45" s="483"/>
      <c r="AV45" s="483"/>
      <c r="AW45" s="483"/>
      <c r="AX45" s="483"/>
      <c r="AY45" s="483"/>
      <c r="AZ45" s="486" t="s">
        <v>168</v>
      </c>
      <c r="BA45" s="486" t="s">
        <v>168</v>
      </c>
      <c r="BB45" s="486" t="s">
        <v>168</v>
      </c>
      <c r="BC45" s="485" t="s">
        <v>165</v>
      </c>
      <c r="BD45" s="485" t="s">
        <v>165</v>
      </c>
      <c r="BE45" s="485" t="s">
        <v>165</v>
      </c>
      <c r="BF45" s="484" t="s">
        <v>162</v>
      </c>
      <c r="BG45" s="483"/>
      <c r="BH45" s="483"/>
      <c r="BI45" s="483"/>
      <c r="BJ45" s="483"/>
      <c r="BK45" s="483"/>
      <c r="BL45" s="483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83"/>
      <c r="CL45" s="483"/>
      <c r="CM45" s="483"/>
      <c r="CN45" s="483"/>
      <c r="CO45" s="483"/>
      <c r="CP45" s="483"/>
      <c r="CQ45" s="483"/>
      <c r="CR45" s="483"/>
      <c r="CS45" s="483"/>
      <c r="CT45" s="483"/>
      <c r="CU45" s="483"/>
      <c r="CV45" s="483"/>
      <c r="CW45" s="483"/>
      <c r="CX45" s="483"/>
      <c r="CY45" s="483"/>
      <c r="CZ45" s="483"/>
      <c r="DA45" s="483"/>
      <c r="DB45" s="483"/>
      <c r="DC45" s="483"/>
      <c r="DD45" s="483"/>
      <c r="DE45" s="483"/>
      <c r="DF45" s="483"/>
      <c r="DG45" s="483"/>
      <c r="DH45" s="483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574" t="s">
        <v>164</v>
      </c>
      <c r="DU45" s="483"/>
      <c r="DV45" s="483"/>
      <c r="DW45" s="471"/>
      <c r="DX45" s="479"/>
      <c r="DY45" s="479"/>
      <c r="DZ45" s="479"/>
      <c r="EA45" s="479"/>
      <c r="EB45" s="479"/>
      <c r="EC45" s="479"/>
      <c r="ED45" s="479"/>
      <c r="EE45" s="479"/>
    </row>
    <row r="46" spans="1:135" s="481" customFormat="1" ht="15.75" x14ac:dyDescent="0.35">
      <c r="A46" s="591" t="s">
        <v>72</v>
      </c>
      <c r="B46" s="598" t="s">
        <v>135</v>
      </c>
      <c r="C46" s="472" t="s">
        <v>16</v>
      </c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572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500"/>
      <c r="AC46" s="500"/>
      <c r="AD46" s="500"/>
      <c r="AE46" s="519"/>
      <c r="AF46" s="519"/>
      <c r="AG46" s="519"/>
      <c r="AH46" s="518"/>
      <c r="AI46" s="518"/>
      <c r="AJ46" s="518"/>
      <c r="AK46" s="470"/>
      <c r="AL46" s="470"/>
      <c r="AM46" s="470"/>
      <c r="AN46" s="500"/>
      <c r="AO46" s="500"/>
      <c r="AP46" s="500"/>
      <c r="AQ46" s="519"/>
      <c r="AR46" s="519"/>
      <c r="AS46" s="519"/>
      <c r="AT46" s="518"/>
      <c r="AU46" s="518"/>
      <c r="AV46" s="518"/>
      <c r="AW46" s="470"/>
      <c r="AX46" s="470"/>
      <c r="AY46" s="470"/>
      <c r="AZ46" s="500"/>
      <c r="BA46" s="500"/>
      <c r="BB46" s="500"/>
      <c r="BC46" s="519"/>
      <c r="BD46" s="519"/>
      <c r="BE46" s="519"/>
      <c r="BF46" s="518"/>
      <c r="BG46" s="518"/>
      <c r="BH46" s="518"/>
      <c r="BI46" s="470"/>
      <c r="BJ46" s="470"/>
      <c r="BK46" s="470"/>
      <c r="BL46" s="470"/>
      <c r="BM46" s="470"/>
      <c r="BN46" s="470"/>
      <c r="BO46" s="470"/>
      <c r="BP46" s="470"/>
      <c r="BQ46" s="470"/>
      <c r="BR46" s="470"/>
      <c r="BS46" s="470"/>
      <c r="BT46" s="470"/>
      <c r="BU46" s="470"/>
      <c r="BV46" s="470"/>
      <c r="BW46" s="470"/>
      <c r="BX46" s="470"/>
      <c r="BY46" s="470"/>
      <c r="BZ46" s="470"/>
      <c r="CA46" s="470"/>
      <c r="CB46" s="470"/>
      <c r="CC46" s="470"/>
      <c r="CD46" s="470"/>
      <c r="CE46" s="470"/>
      <c r="CF46" s="470"/>
      <c r="CG46" s="470"/>
      <c r="CH46" s="470"/>
      <c r="CI46" s="470"/>
      <c r="CJ46" s="470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70"/>
      <c r="DJ46" s="470"/>
      <c r="DK46" s="470"/>
      <c r="DL46" s="470"/>
      <c r="DM46" s="470"/>
      <c r="DN46" s="470"/>
      <c r="DO46" s="470"/>
      <c r="DP46" s="470"/>
      <c r="DQ46" s="470"/>
      <c r="DR46" s="470"/>
      <c r="DS46" s="470"/>
      <c r="DT46" s="472"/>
      <c r="DU46" s="472"/>
      <c r="DV46" s="472"/>
      <c r="DW46" s="471"/>
      <c r="DX46" s="479"/>
      <c r="DY46" s="479"/>
      <c r="DZ46" s="479"/>
      <c r="EA46" s="479"/>
      <c r="EB46" s="479"/>
      <c r="EC46" s="479"/>
      <c r="ED46" s="479"/>
      <c r="EE46" s="479"/>
    </row>
    <row r="47" spans="1:135" s="481" customFormat="1" ht="15.75" x14ac:dyDescent="0.35">
      <c r="A47" s="563"/>
      <c r="B47" s="564"/>
      <c r="C47" s="562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470"/>
      <c r="AA47" s="470"/>
      <c r="AB47" s="470"/>
      <c r="AC47" s="470"/>
      <c r="AD47" s="470"/>
      <c r="AE47" s="470"/>
      <c r="AF47" s="470"/>
      <c r="AG47" s="470"/>
      <c r="AH47" s="470"/>
      <c r="AI47" s="470"/>
      <c r="AJ47" s="470"/>
      <c r="AK47" s="470"/>
      <c r="AL47" s="470"/>
      <c r="AM47" s="470"/>
      <c r="AN47" s="473"/>
      <c r="AO47" s="473"/>
      <c r="AP47" s="473"/>
      <c r="AQ47" s="470"/>
      <c r="AR47" s="470"/>
      <c r="AS47" s="470"/>
      <c r="AT47" s="470"/>
      <c r="AU47" s="470"/>
      <c r="AV47" s="470"/>
      <c r="AW47" s="470"/>
      <c r="AX47" s="470"/>
      <c r="AY47" s="470"/>
      <c r="AZ47" s="470"/>
      <c r="BA47" s="470"/>
      <c r="BB47" s="470"/>
      <c r="BC47" s="470"/>
      <c r="BD47" s="470"/>
      <c r="BE47" s="470"/>
      <c r="BF47" s="470"/>
      <c r="BG47" s="470"/>
      <c r="BH47" s="470"/>
      <c r="BI47" s="470"/>
      <c r="BJ47" s="470"/>
      <c r="BK47" s="470"/>
      <c r="BL47" s="470"/>
      <c r="BM47" s="470"/>
      <c r="BN47" s="470"/>
      <c r="BO47" s="470"/>
      <c r="BP47" s="470"/>
      <c r="BQ47" s="470"/>
      <c r="BR47" s="470"/>
      <c r="BS47" s="470"/>
      <c r="BT47" s="470"/>
      <c r="BU47" s="470"/>
      <c r="BV47" s="470"/>
      <c r="BW47" s="470"/>
      <c r="BX47" s="470"/>
      <c r="BY47" s="470"/>
      <c r="BZ47" s="470"/>
      <c r="CA47" s="470"/>
      <c r="CB47" s="470"/>
      <c r="CC47" s="470"/>
      <c r="CD47" s="470"/>
      <c r="CE47" s="470"/>
      <c r="CF47" s="470"/>
      <c r="CG47" s="470"/>
      <c r="CH47" s="470"/>
      <c r="CI47" s="470"/>
      <c r="CJ47" s="470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70"/>
      <c r="DJ47" s="470"/>
      <c r="DK47" s="470"/>
      <c r="DL47" s="470"/>
      <c r="DM47" s="470"/>
      <c r="DN47" s="470"/>
      <c r="DO47" s="470"/>
      <c r="DP47" s="470"/>
      <c r="DQ47" s="470"/>
      <c r="DR47" s="470"/>
      <c r="DS47" s="470"/>
      <c r="DT47" s="472"/>
      <c r="DU47" s="472"/>
      <c r="DV47" s="472"/>
      <c r="DW47" s="471"/>
      <c r="DX47" s="479"/>
      <c r="DY47" s="479"/>
      <c r="DZ47" s="479"/>
      <c r="EA47" s="479"/>
      <c r="EB47" s="479"/>
      <c r="EC47" s="479"/>
      <c r="ED47" s="479"/>
      <c r="EE47" s="479"/>
    </row>
    <row r="48" spans="1:135" s="481" customFormat="1" ht="15.75" x14ac:dyDescent="0.35">
      <c r="A48" s="470"/>
      <c r="B48" s="474"/>
      <c r="C48" s="472"/>
      <c r="D48" s="470"/>
      <c r="E48" s="470"/>
      <c r="F48" s="470"/>
      <c r="G48" s="470"/>
      <c r="H48" s="470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3"/>
      <c r="AO48" s="473"/>
      <c r="AP48" s="473"/>
      <c r="AQ48" s="470"/>
      <c r="AR48" s="470"/>
      <c r="AS48" s="470"/>
      <c r="AT48" s="470"/>
      <c r="AU48" s="470"/>
      <c r="AV48" s="470"/>
      <c r="AW48" s="470"/>
      <c r="AX48" s="470"/>
      <c r="AY48" s="470"/>
      <c r="AZ48" s="470"/>
      <c r="BA48" s="470"/>
      <c r="BB48" s="470"/>
      <c r="BC48" s="470"/>
      <c r="BD48" s="470"/>
      <c r="BE48" s="470"/>
      <c r="BF48" s="470"/>
      <c r="BG48" s="470"/>
      <c r="BH48" s="470"/>
      <c r="BI48" s="470"/>
      <c r="BJ48" s="470"/>
      <c r="BK48" s="470"/>
      <c r="BL48" s="470"/>
      <c r="BM48" s="470"/>
      <c r="BN48" s="470"/>
      <c r="BO48" s="470"/>
      <c r="BP48" s="470"/>
      <c r="BQ48" s="470"/>
      <c r="BR48" s="470"/>
      <c r="BS48" s="470"/>
      <c r="BT48" s="470"/>
      <c r="BU48" s="470"/>
      <c r="BV48" s="470"/>
      <c r="BW48" s="470"/>
      <c r="BX48" s="470"/>
      <c r="BY48" s="470"/>
      <c r="BZ48" s="470"/>
      <c r="CA48" s="470"/>
      <c r="CB48" s="470"/>
      <c r="CC48" s="470"/>
      <c r="CD48" s="470"/>
      <c r="CE48" s="470"/>
      <c r="CF48" s="470"/>
      <c r="CG48" s="470"/>
      <c r="CH48" s="470"/>
      <c r="CI48" s="470"/>
      <c r="CJ48" s="470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70"/>
      <c r="DJ48" s="470"/>
      <c r="DK48" s="470"/>
      <c r="DL48" s="470"/>
      <c r="DM48" s="470"/>
      <c r="DN48" s="470"/>
      <c r="DO48" s="470"/>
      <c r="DP48" s="470"/>
      <c r="DQ48" s="470"/>
      <c r="DR48" s="470"/>
      <c r="DS48" s="470"/>
      <c r="DT48" s="472"/>
      <c r="DU48" s="472"/>
      <c r="DV48" s="472"/>
      <c r="DW48" s="471"/>
      <c r="DX48" s="479"/>
      <c r="DY48" s="479"/>
      <c r="DZ48" s="479"/>
      <c r="EA48" s="479"/>
      <c r="EB48" s="479"/>
      <c r="EC48" s="479"/>
      <c r="ED48" s="479"/>
      <c r="EE48" s="479"/>
    </row>
    <row r="49" spans="1:135" s="478" customFormat="1" ht="17.25" x14ac:dyDescent="0.35">
      <c r="A49" s="1" t="s">
        <v>69</v>
      </c>
      <c r="B49" s="474"/>
      <c r="C49" s="480"/>
      <c r="D49" s="470"/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0"/>
      <c r="AH49" s="470"/>
      <c r="AI49" s="470"/>
      <c r="AJ49" s="470"/>
      <c r="AK49" s="470"/>
      <c r="AL49" s="470"/>
      <c r="AM49" s="470"/>
      <c r="AN49" s="473"/>
      <c r="AO49" s="473"/>
      <c r="AP49" s="473"/>
      <c r="AQ49" s="470"/>
      <c r="AR49" s="470"/>
      <c r="AS49" s="470"/>
      <c r="AT49" s="470"/>
      <c r="AU49" s="470"/>
      <c r="AV49" s="470"/>
      <c r="AW49" s="470"/>
      <c r="AX49" s="470"/>
      <c r="AY49" s="470"/>
      <c r="AZ49" s="470"/>
      <c r="BA49" s="470"/>
      <c r="BB49" s="470"/>
      <c r="BC49" s="470"/>
      <c r="BD49" s="470"/>
      <c r="BE49" s="470"/>
      <c r="BF49" s="470"/>
      <c r="BG49" s="470"/>
      <c r="BH49" s="470"/>
      <c r="BI49" s="470"/>
      <c r="BJ49" s="470"/>
      <c r="BK49" s="470"/>
      <c r="BL49" s="470"/>
      <c r="BM49" s="470"/>
      <c r="BN49" s="470"/>
      <c r="BO49" s="470"/>
      <c r="BP49" s="470"/>
      <c r="BQ49" s="470"/>
      <c r="BR49" s="470"/>
      <c r="BS49" s="470"/>
      <c r="BT49" s="470"/>
      <c r="BU49" s="470"/>
      <c r="BV49" s="470"/>
      <c r="BW49" s="470"/>
      <c r="BX49" s="470"/>
      <c r="BY49" s="470"/>
      <c r="BZ49" s="470"/>
      <c r="CA49" s="470"/>
      <c r="CB49" s="470"/>
      <c r="CC49" s="470"/>
      <c r="CD49" s="470"/>
      <c r="CE49" s="470"/>
      <c r="CF49" s="470"/>
      <c r="CG49" s="470"/>
      <c r="CH49" s="470"/>
      <c r="CI49" s="470"/>
      <c r="CJ49" s="470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70"/>
      <c r="DJ49" s="470"/>
      <c r="DK49" s="470"/>
      <c r="DL49" s="470"/>
      <c r="DM49" s="470"/>
      <c r="DN49" s="470"/>
      <c r="DO49" s="470"/>
      <c r="DP49" s="470"/>
      <c r="DQ49" s="470"/>
      <c r="DR49" s="470"/>
      <c r="DS49" s="470"/>
      <c r="DT49" s="472"/>
      <c r="DU49" s="472"/>
      <c r="DV49" s="472"/>
      <c r="DW49" s="471"/>
      <c r="DX49" s="479"/>
      <c r="DY49" s="479"/>
      <c r="DZ49" s="479"/>
      <c r="EA49" s="479"/>
      <c r="EB49" s="479" t="s">
        <v>706</v>
      </c>
      <c r="EC49" s="479"/>
      <c r="ED49" s="479"/>
      <c r="EE49" s="479"/>
    </row>
    <row r="50" spans="1:135" s="478" customFormat="1" ht="17.25" customHeight="1" x14ac:dyDescent="0.35">
      <c r="A50" s="800" t="s">
        <v>758</v>
      </c>
      <c r="B50" s="801" t="s">
        <v>757</v>
      </c>
      <c r="C50" s="800" t="s">
        <v>6</v>
      </c>
      <c r="D50" s="814" t="s">
        <v>55</v>
      </c>
      <c r="E50" s="814"/>
      <c r="F50" s="814"/>
      <c r="G50" s="814"/>
      <c r="H50" s="822" t="s">
        <v>56</v>
      </c>
      <c r="I50" s="814"/>
      <c r="J50" s="814"/>
      <c r="K50" s="814"/>
      <c r="L50" s="822" t="s">
        <v>57</v>
      </c>
      <c r="M50" s="814"/>
      <c r="N50" s="814"/>
      <c r="O50" s="825"/>
      <c r="P50" s="822" t="s">
        <v>58</v>
      </c>
      <c r="Q50" s="814"/>
      <c r="R50" s="814"/>
      <c r="S50" s="825"/>
      <c r="T50" s="814" t="s">
        <v>59</v>
      </c>
      <c r="U50" s="814"/>
      <c r="V50" s="814"/>
      <c r="W50" s="825"/>
      <c r="X50" s="814" t="s">
        <v>65</v>
      </c>
      <c r="Y50" s="814"/>
      <c r="Z50" s="814"/>
      <c r="AA50" s="815"/>
      <c r="AB50" s="818" t="s">
        <v>60</v>
      </c>
      <c r="AC50" s="814"/>
      <c r="AD50" s="814"/>
      <c r="AE50" s="815"/>
      <c r="AF50" s="808" t="s">
        <v>50</v>
      </c>
      <c r="AG50" s="809"/>
      <c r="AH50" s="809"/>
      <c r="AI50" s="810"/>
      <c r="AJ50" s="470"/>
      <c r="AK50" s="470"/>
      <c r="AL50" s="470"/>
      <c r="AM50" s="470"/>
      <c r="AN50" s="473"/>
      <c r="AO50" s="473"/>
      <c r="AP50" s="473"/>
      <c r="AQ50" s="470"/>
      <c r="AR50" s="470"/>
      <c r="AS50" s="470"/>
      <c r="AT50" s="470"/>
      <c r="AU50" s="470"/>
      <c r="AV50" s="470"/>
      <c r="AW50" s="470"/>
      <c r="AX50" s="470"/>
      <c r="AY50" s="470"/>
      <c r="AZ50" s="470"/>
      <c r="BA50" s="470"/>
      <c r="BB50" s="470"/>
      <c r="BC50" s="470"/>
      <c r="BD50" s="470"/>
      <c r="BE50" s="470"/>
      <c r="BF50" s="470"/>
      <c r="BG50" s="470"/>
      <c r="BH50" s="470"/>
      <c r="BI50" s="470"/>
      <c r="BJ50" s="470"/>
      <c r="BK50" s="470"/>
      <c r="BL50" s="470"/>
      <c r="BM50" s="470"/>
      <c r="BN50" s="470"/>
      <c r="BO50" s="470"/>
      <c r="BP50" s="470"/>
      <c r="BQ50" s="470"/>
      <c r="BR50" s="470"/>
      <c r="BS50" s="470"/>
      <c r="BT50" s="470"/>
      <c r="BU50" s="470"/>
      <c r="BV50" s="470"/>
      <c r="BW50" s="470"/>
      <c r="BX50" s="470"/>
      <c r="BY50" s="470"/>
      <c r="BZ50" s="470"/>
      <c r="CA50" s="470"/>
      <c r="CB50" s="470"/>
      <c r="CC50" s="470"/>
      <c r="CD50" s="470"/>
      <c r="CE50" s="470"/>
      <c r="CF50" s="470"/>
      <c r="CG50" s="470"/>
      <c r="CH50" s="470"/>
      <c r="CI50" s="470"/>
      <c r="CJ50" s="470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70"/>
      <c r="DJ50" s="470"/>
      <c r="DK50" s="470"/>
      <c r="DL50" s="470"/>
      <c r="DM50" s="470"/>
      <c r="DN50" s="470"/>
      <c r="DO50" s="470"/>
      <c r="DP50" s="470"/>
      <c r="DQ50" s="470"/>
      <c r="DR50" s="470"/>
      <c r="DS50" s="470"/>
      <c r="DT50" s="472"/>
      <c r="DU50" s="472"/>
      <c r="DV50" s="472"/>
      <c r="DW50" s="471"/>
      <c r="DX50" s="479"/>
      <c r="DY50" s="479"/>
      <c r="DZ50" s="479"/>
      <c r="EA50" s="479"/>
      <c r="EB50" s="479"/>
      <c r="EC50" s="479"/>
      <c r="ED50" s="479"/>
      <c r="EE50" s="479"/>
    </row>
    <row r="51" spans="1:135" s="478" customFormat="1" ht="17.25" customHeight="1" x14ac:dyDescent="0.35">
      <c r="A51" s="828"/>
      <c r="B51" s="829"/>
      <c r="C51" s="800"/>
      <c r="D51" s="824"/>
      <c r="E51" s="824"/>
      <c r="F51" s="824"/>
      <c r="G51" s="824"/>
      <c r="H51" s="823"/>
      <c r="I51" s="824"/>
      <c r="J51" s="824"/>
      <c r="K51" s="824"/>
      <c r="L51" s="826"/>
      <c r="M51" s="816"/>
      <c r="N51" s="816"/>
      <c r="O51" s="827"/>
      <c r="P51" s="826"/>
      <c r="Q51" s="816"/>
      <c r="R51" s="816"/>
      <c r="S51" s="827"/>
      <c r="T51" s="816"/>
      <c r="U51" s="816"/>
      <c r="V51" s="816"/>
      <c r="W51" s="827"/>
      <c r="X51" s="816"/>
      <c r="Y51" s="816"/>
      <c r="Z51" s="816"/>
      <c r="AA51" s="817"/>
      <c r="AB51" s="819"/>
      <c r="AC51" s="816"/>
      <c r="AD51" s="816"/>
      <c r="AE51" s="817"/>
      <c r="AF51" s="811"/>
      <c r="AG51" s="812"/>
      <c r="AH51" s="812"/>
      <c r="AI51" s="813"/>
      <c r="AJ51" s="470"/>
      <c r="AK51" s="470"/>
      <c r="AL51" s="470"/>
      <c r="AM51" s="470"/>
      <c r="AN51" s="473"/>
      <c r="AO51" s="473"/>
      <c r="AP51" s="473"/>
      <c r="AQ51" s="470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2"/>
      <c r="DU51" s="472"/>
      <c r="DV51" s="472"/>
      <c r="DW51" s="471"/>
      <c r="DX51" s="479"/>
      <c r="DY51" s="479"/>
      <c r="DZ51" s="479"/>
      <c r="EA51" s="479"/>
      <c r="EB51" s="479"/>
      <c r="EC51" s="479"/>
      <c r="ED51" s="479"/>
      <c r="EE51" s="479"/>
    </row>
    <row r="52" spans="1:135" s="476" customFormat="1" ht="14.65" customHeight="1" x14ac:dyDescent="0.35">
      <c r="A52" s="580" t="s">
        <v>61</v>
      </c>
      <c r="B52" s="583" t="s">
        <v>36</v>
      </c>
      <c r="C52" s="475" t="s">
        <v>16</v>
      </c>
      <c r="D52" s="483"/>
      <c r="E52" s="483"/>
      <c r="F52" s="483"/>
      <c r="G52" s="483"/>
      <c r="H52" s="820" t="s">
        <v>159</v>
      </c>
      <c r="I52" s="820"/>
      <c r="J52" s="820"/>
      <c r="K52" s="821"/>
      <c r="L52" s="820" t="s">
        <v>159</v>
      </c>
      <c r="M52" s="820"/>
      <c r="N52" s="820"/>
      <c r="O52" s="821"/>
      <c r="P52" s="483"/>
      <c r="Q52" s="483"/>
      <c r="R52" s="483"/>
      <c r="S52" s="483"/>
      <c r="T52" s="820" t="s">
        <v>159</v>
      </c>
      <c r="U52" s="820"/>
      <c r="V52" s="820"/>
      <c r="W52" s="821"/>
      <c r="X52" s="483"/>
      <c r="Y52" s="483"/>
      <c r="Z52" s="483"/>
      <c r="AA52" s="483"/>
      <c r="AB52" s="483"/>
      <c r="AC52" s="483"/>
      <c r="AD52" s="483"/>
      <c r="AE52" s="483"/>
      <c r="AF52" s="470"/>
      <c r="AG52" s="470"/>
      <c r="AH52" s="470"/>
      <c r="AI52" s="470"/>
      <c r="AJ52" s="470"/>
      <c r="AK52" s="470"/>
      <c r="AL52" s="470"/>
      <c r="AM52" s="470"/>
      <c r="AN52" s="473"/>
      <c r="AO52" s="473"/>
      <c r="AP52" s="473"/>
      <c r="AQ52" s="470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2"/>
      <c r="DU52" s="472"/>
      <c r="DV52" s="472"/>
      <c r="DW52" s="471"/>
      <c r="DX52" s="515"/>
      <c r="DY52" s="515"/>
      <c r="DZ52" s="515"/>
      <c r="EA52" s="464"/>
      <c r="EB52" s="464"/>
      <c r="EC52" s="464"/>
      <c r="ED52" s="464"/>
      <c r="EE52" s="464"/>
    </row>
    <row r="53" spans="1:135" ht="17.25" x14ac:dyDescent="0.35">
      <c r="A53" s="582" t="s">
        <v>62</v>
      </c>
      <c r="B53" s="582" t="s">
        <v>36</v>
      </c>
      <c r="C53" s="584" t="s">
        <v>16</v>
      </c>
      <c r="D53" s="804" t="s">
        <v>55</v>
      </c>
      <c r="E53" s="805"/>
      <c r="F53" s="806" t="s">
        <v>842</v>
      </c>
      <c r="G53" s="807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70" t="s">
        <v>840</v>
      </c>
      <c r="AG53" s="470"/>
      <c r="AH53" s="470"/>
      <c r="AI53" s="470"/>
      <c r="AJ53" s="470"/>
      <c r="AK53" s="470"/>
      <c r="AL53" s="470"/>
      <c r="AM53" s="470"/>
      <c r="AN53" s="473"/>
      <c r="AO53" s="473"/>
      <c r="AP53" s="473"/>
      <c r="AQ53" s="470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2"/>
      <c r="DU53" s="472"/>
      <c r="DV53" s="472"/>
      <c r="DW53" s="471"/>
      <c r="DX53" s="476"/>
      <c r="DY53" s="476"/>
      <c r="DZ53" s="476"/>
      <c r="EA53" s="476"/>
      <c r="EB53" s="476"/>
      <c r="EC53" s="476"/>
      <c r="ED53" s="476"/>
      <c r="EE53" s="476"/>
    </row>
    <row r="54" spans="1:135" ht="17.25" x14ac:dyDescent="0.35">
      <c r="A54" s="585" t="s">
        <v>64</v>
      </c>
      <c r="B54" s="586" t="s">
        <v>36</v>
      </c>
      <c r="C54" s="587" t="s">
        <v>16</v>
      </c>
      <c r="D54" s="804" t="s">
        <v>841</v>
      </c>
      <c r="E54" s="805"/>
      <c r="F54" s="806" t="s">
        <v>842</v>
      </c>
      <c r="G54" s="807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804" t="s">
        <v>841</v>
      </c>
      <c r="Y54" s="805"/>
      <c r="Z54" s="483"/>
      <c r="AA54" s="483"/>
      <c r="AB54" s="483"/>
      <c r="AC54" s="483"/>
      <c r="AD54" s="483"/>
      <c r="AE54" s="483"/>
      <c r="AF54" s="470" t="s">
        <v>840</v>
      </c>
      <c r="AG54" s="470"/>
      <c r="AH54" s="470"/>
      <c r="AI54" s="470"/>
      <c r="AJ54" s="470"/>
      <c r="AK54" s="470"/>
      <c r="AL54" s="470"/>
      <c r="AM54" s="470"/>
      <c r="AN54" s="473"/>
      <c r="AO54" s="473"/>
      <c r="AP54" s="473"/>
      <c r="AQ54" s="470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2"/>
      <c r="DU54" s="472"/>
      <c r="DV54" s="472"/>
      <c r="DW54" s="471"/>
      <c r="DX54" s="515"/>
      <c r="DY54" s="515"/>
      <c r="DZ54" s="515"/>
    </row>
    <row r="55" spans="1:135" ht="17.25" x14ac:dyDescent="0.35">
      <c r="A55" s="588" t="s">
        <v>66</v>
      </c>
      <c r="B55" s="586"/>
      <c r="C55" s="587" t="s">
        <v>16</v>
      </c>
      <c r="D55" s="470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3"/>
      <c r="AO55" s="473"/>
      <c r="AP55" s="473"/>
      <c r="AQ55" s="470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2"/>
      <c r="DU55" s="472"/>
      <c r="DV55" s="472"/>
      <c r="DW55" s="471"/>
    </row>
    <row r="56" spans="1:135" ht="17.25" x14ac:dyDescent="0.35">
      <c r="A56" s="582" t="s">
        <v>63</v>
      </c>
      <c r="B56" s="581" t="s">
        <v>36</v>
      </c>
      <c r="C56" s="464" t="s">
        <v>16</v>
      </c>
      <c r="D56" s="579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3"/>
      <c r="AO56" s="473"/>
      <c r="AP56" s="473"/>
      <c r="AQ56" s="470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2"/>
      <c r="DU56" s="472"/>
      <c r="DV56" s="472"/>
      <c r="DW56" s="471"/>
    </row>
    <row r="57" spans="1:135" ht="17.25" x14ac:dyDescent="0.35">
      <c r="A57" s="577" t="s">
        <v>767</v>
      </c>
      <c r="B57" s="578"/>
      <c r="C57" s="475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3"/>
      <c r="AO57" s="473"/>
      <c r="AP57" s="473"/>
      <c r="AQ57" s="470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2"/>
      <c r="DU57" s="472"/>
      <c r="DV57" s="472"/>
      <c r="DW57" s="471"/>
    </row>
    <row r="58" spans="1:135" ht="17.25" x14ac:dyDescent="0.35">
      <c r="A58" s="470"/>
      <c r="B58" s="474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3"/>
      <c r="AO58" s="473"/>
      <c r="AP58" s="473"/>
      <c r="AQ58" s="470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2"/>
      <c r="DU58" s="472"/>
      <c r="DV58" s="472"/>
      <c r="DW58" s="471"/>
    </row>
    <row r="59" spans="1:135" ht="17.25" x14ac:dyDescent="0.35">
      <c r="A59" s="470"/>
      <c r="B59" s="474"/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3"/>
      <c r="AO59" s="473"/>
      <c r="AP59" s="473"/>
      <c r="AQ59" s="470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2"/>
      <c r="DU59" s="472"/>
      <c r="DV59" s="472"/>
      <c r="DW59" s="471"/>
    </row>
    <row r="60" spans="1:135" ht="17.25" x14ac:dyDescent="0.35">
      <c r="A60" s="470"/>
      <c r="B60" s="474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3"/>
      <c r="AO60" s="473"/>
      <c r="AP60" s="473"/>
      <c r="AQ60" s="470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2"/>
      <c r="DU60" s="472"/>
      <c r="DV60" s="472"/>
      <c r="DW60" s="471"/>
    </row>
    <row r="61" spans="1:135" ht="17.25" x14ac:dyDescent="0.35">
      <c r="A61" s="470"/>
      <c r="B61" s="474"/>
      <c r="D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3"/>
      <c r="AO61" s="473"/>
      <c r="AP61" s="473"/>
      <c r="AQ61" s="470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2"/>
      <c r="DU61" s="472"/>
      <c r="DV61" s="472"/>
      <c r="DW61" s="471"/>
    </row>
    <row r="62" spans="1:135" ht="17.25" x14ac:dyDescent="0.35">
      <c r="A62" s="470"/>
      <c r="B62" s="474"/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3"/>
      <c r="AO62" s="473"/>
      <c r="AP62" s="473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2"/>
      <c r="DU62" s="472"/>
      <c r="DV62" s="472"/>
      <c r="DW62" s="471"/>
    </row>
    <row r="63" spans="1:135" ht="17.25" x14ac:dyDescent="0.35">
      <c r="A63" s="470"/>
      <c r="B63" s="474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3"/>
      <c r="AO63" s="473"/>
      <c r="AP63" s="473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2"/>
      <c r="DU63" s="472"/>
      <c r="DV63" s="472"/>
      <c r="DW63" s="471"/>
    </row>
    <row r="64" spans="1:135" ht="17.25" x14ac:dyDescent="0.35">
      <c r="A64" s="470"/>
      <c r="B64" s="474"/>
      <c r="D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3"/>
      <c r="AO64" s="473"/>
      <c r="AP64" s="473"/>
      <c r="AQ64" s="470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2"/>
      <c r="DU64" s="472"/>
      <c r="DV64" s="472"/>
      <c r="DW64" s="471"/>
    </row>
    <row r="65" spans="1:127" ht="17.25" x14ac:dyDescent="0.35">
      <c r="A65" s="470"/>
      <c r="B65" s="474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3"/>
      <c r="AO65" s="473"/>
      <c r="AP65" s="473"/>
      <c r="AQ65" s="470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2"/>
      <c r="DU65" s="472"/>
      <c r="DV65" s="472"/>
      <c r="DW65" s="471"/>
    </row>
    <row r="66" spans="1:127" ht="17.25" x14ac:dyDescent="0.35">
      <c r="A66" s="470"/>
      <c r="B66" s="474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3"/>
      <c r="AO66" s="473"/>
      <c r="AP66" s="473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2"/>
      <c r="DU66" s="472"/>
      <c r="DV66" s="472"/>
      <c r="DW66" s="471"/>
    </row>
    <row r="67" spans="1:127" ht="17.25" x14ac:dyDescent="0.35">
      <c r="A67" s="470"/>
      <c r="B67" s="474"/>
      <c r="D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3"/>
      <c r="AO67" s="473"/>
      <c r="AP67" s="473"/>
      <c r="AQ67" s="470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2"/>
      <c r="DU67" s="472"/>
      <c r="DV67" s="472"/>
      <c r="DW67" s="471"/>
    </row>
    <row r="68" spans="1:127" ht="17.25" x14ac:dyDescent="0.35">
      <c r="A68" s="470"/>
      <c r="B68" s="474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3"/>
      <c r="AO68" s="473"/>
      <c r="AP68" s="473"/>
      <c r="AQ68" s="470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2"/>
      <c r="DU68" s="472"/>
      <c r="DV68" s="472"/>
      <c r="DW68" s="471"/>
    </row>
    <row r="69" spans="1:127" ht="17.25" x14ac:dyDescent="0.35">
      <c r="A69" s="470"/>
      <c r="B69" s="474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3"/>
      <c r="AO69" s="473"/>
      <c r="AP69" s="473"/>
      <c r="AQ69" s="470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2"/>
      <c r="DU69" s="472"/>
      <c r="DV69" s="472"/>
      <c r="DW69" s="471"/>
    </row>
    <row r="70" spans="1:127" ht="17.25" x14ac:dyDescent="0.35">
      <c r="A70" s="470"/>
      <c r="B70" s="474"/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3"/>
      <c r="AO70" s="473"/>
      <c r="AP70" s="473"/>
      <c r="AQ70" s="470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2"/>
      <c r="DU70" s="472"/>
      <c r="DV70" s="472"/>
      <c r="DW70" s="471"/>
    </row>
    <row r="71" spans="1:127" ht="17.25" x14ac:dyDescent="0.35">
      <c r="A71" s="470"/>
      <c r="B71" s="474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3"/>
      <c r="AO71" s="473"/>
      <c r="AP71" s="473"/>
      <c r="AQ71" s="470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2"/>
      <c r="DU71" s="472"/>
      <c r="DV71" s="472"/>
      <c r="DW71" s="471"/>
    </row>
    <row r="72" spans="1:127" ht="17.25" x14ac:dyDescent="0.35">
      <c r="A72" s="470"/>
      <c r="B72" s="474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3"/>
      <c r="AO72" s="473"/>
      <c r="AP72" s="473"/>
      <c r="AQ72" s="470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2"/>
      <c r="DU72" s="472"/>
      <c r="DV72" s="472"/>
      <c r="DW72" s="471"/>
    </row>
    <row r="73" spans="1:127" ht="17.25" x14ac:dyDescent="0.35">
      <c r="A73" s="470"/>
      <c r="B73" s="474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3"/>
      <c r="AO73" s="473"/>
      <c r="AP73" s="473"/>
      <c r="AQ73" s="470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2"/>
      <c r="DU73" s="472"/>
      <c r="DV73" s="472"/>
      <c r="DW73" s="471"/>
    </row>
    <row r="74" spans="1:127" ht="17.25" x14ac:dyDescent="0.35">
      <c r="A74" s="470"/>
      <c r="B74" s="474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3"/>
      <c r="AO74" s="473"/>
      <c r="AP74" s="473"/>
      <c r="AQ74" s="470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2"/>
      <c r="DU74" s="472"/>
      <c r="DV74" s="472"/>
      <c r="DW74" s="471"/>
    </row>
    <row r="75" spans="1:127" ht="17.25" x14ac:dyDescent="0.35">
      <c r="A75" s="470"/>
      <c r="B75" s="474"/>
      <c r="D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3"/>
      <c r="AO75" s="473"/>
      <c r="AP75" s="473"/>
      <c r="AQ75" s="470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2"/>
      <c r="DU75" s="472"/>
      <c r="DV75" s="472"/>
      <c r="DW75" s="471"/>
    </row>
    <row r="76" spans="1:127" ht="17.25" x14ac:dyDescent="0.35">
      <c r="A76" s="470"/>
      <c r="B76" s="474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3"/>
      <c r="AO76" s="473"/>
      <c r="AP76" s="473"/>
      <c r="AQ76" s="470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2"/>
      <c r="DU76" s="472"/>
      <c r="DV76" s="472"/>
      <c r="DW76" s="471"/>
    </row>
    <row r="77" spans="1:127" ht="17.25" x14ac:dyDescent="0.35">
      <c r="A77" s="470"/>
      <c r="B77" s="474"/>
      <c r="D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3"/>
      <c r="AO77" s="473"/>
      <c r="AP77" s="473"/>
      <c r="AQ77" s="470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2"/>
      <c r="DU77" s="472"/>
      <c r="DV77" s="472"/>
      <c r="DW77" s="471"/>
    </row>
    <row r="78" spans="1:127" ht="17.25" x14ac:dyDescent="0.35">
      <c r="A78" s="470"/>
      <c r="B78" s="474"/>
      <c r="D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3"/>
      <c r="AO78" s="473"/>
      <c r="AP78" s="473"/>
      <c r="AQ78" s="470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2"/>
      <c r="DU78" s="472"/>
      <c r="DV78" s="472"/>
      <c r="DW78" s="471"/>
    </row>
    <row r="79" spans="1:127" ht="17.25" x14ac:dyDescent="0.35">
      <c r="A79" s="470"/>
      <c r="B79" s="474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3"/>
      <c r="AO79" s="473"/>
      <c r="AP79" s="473"/>
      <c r="AQ79" s="470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2"/>
      <c r="DU79" s="472"/>
      <c r="DV79" s="472"/>
      <c r="DW79" s="471"/>
    </row>
    <row r="80" spans="1:127" ht="17.25" x14ac:dyDescent="0.35">
      <c r="A80" s="470"/>
      <c r="B80" s="474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3"/>
      <c r="AO80" s="473"/>
      <c r="AP80" s="473"/>
      <c r="AQ80" s="470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2"/>
      <c r="DU80" s="472"/>
      <c r="DV80" s="472"/>
      <c r="DW80" s="471"/>
    </row>
    <row r="81" spans="1:127" ht="17.25" x14ac:dyDescent="0.35">
      <c r="A81" s="470"/>
      <c r="B81" s="474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3"/>
      <c r="AO81" s="473"/>
      <c r="AP81" s="473"/>
      <c r="AQ81" s="470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2"/>
      <c r="DU81" s="472"/>
      <c r="DV81" s="472"/>
      <c r="DW81" s="471"/>
    </row>
    <row r="82" spans="1:127" ht="17.25" x14ac:dyDescent="0.35">
      <c r="A82" s="470"/>
      <c r="B82" s="474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3"/>
      <c r="AO82" s="473"/>
      <c r="AP82" s="473"/>
      <c r="AQ82" s="470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2"/>
      <c r="DU82" s="472"/>
      <c r="DV82" s="472"/>
      <c r="DW82" s="471"/>
    </row>
    <row r="83" spans="1:127" ht="17.25" x14ac:dyDescent="0.35">
      <c r="A83" s="470"/>
      <c r="B83" s="474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3"/>
      <c r="AO83" s="473"/>
      <c r="AP83" s="473"/>
      <c r="AQ83" s="470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2"/>
      <c r="DU83" s="472"/>
      <c r="DV83" s="472"/>
      <c r="DW83" s="471"/>
    </row>
    <row r="84" spans="1:127" ht="17.25" x14ac:dyDescent="0.35">
      <c r="A84" s="470"/>
      <c r="B84" s="474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3"/>
      <c r="AO84" s="473"/>
      <c r="AP84" s="473"/>
      <c r="AQ84" s="470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2"/>
      <c r="DU84" s="472"/>
      <c r="DV84" s="472"/>
      <c r="DW84" s="471"/>
    </row>
    <row r="85" spans="1:127" ht="17.25" x14ac:dyDescent="0.35">
      <c r="A85" s="470"/>
      <c r="B85" s="474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3"/>
      <c r="AO85" s="473"/>
      <c r="AP85" s="473"/>
      <c r="AQ85" s="470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2"/>
      <c r="DU85" s="472"/>
      <c r="DV85" s="472"/>
      <c r="DW85" s="471"/>
    </row>
    <row r="86" spans="1:127" ht="17.25" x14ac:dyDescent="0.35">
      <c r="A86" s="470"/>
      <c r="B86" s="474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3"/>
      <c r="AO86" s="473"/>
      <c r="AP86" s="473"/>
      <c r="AQ86" s="470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2"/>
      <c r="DU86" s="472"/>
      <c r="DV86" s="472"/>
      <c r="DW86" s="471"/>
    </row>
    <row r="87" spans="1:127" ht="17.25" x14ac:dyDescent="0.35">
      <c r="A87" s="470"/>
      <c r="B87" s="474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3"/>
      <c r="AO87" s="473"/>
      <c r="AP87" s="473"/>
      <c r="AQ87" s="470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2"/>
      <c r="DU87" s="472"/>
      <c r="DV87" s="472"/>
      <c r="DW87" s="471"/>
    </row>
    <row r="88" spans="1:127" ht="17.25" x14ac:dyDescent="0.35">
      <c r="A88" s="470"/>
      <c r="B88" s="474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3"/>
      <c r="AO88" s="473"/>
      <c r="AP88" s="473"/>
      <c r="AQ88" s="470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2"/>
      <c r="DU88" s="472"/>
      <c r="DV88" s="472"/>
      <c r="DW88" s="471"/>
    </row>
    <row r="89" spans="1:127" ht="17.25" x14ac:dyDescent="0.35">
      <c r="A89" s="470"/>
      <c r="B89" s="474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3"/>
      <c r="AO89" s="473"/>
      <c r="AP89" s="473"/>
      <c r="AQ89" s="470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2"/>
      <c r="DU89" s="472"/>
      <c r="DV89" s="472"/>
      <c r="DW89" s="471"/>
    </row>
    <row r="90" spans="1:127" ht="17.25" x14ac:dyDescent="0.35">
      <c r="A90" s="470"/>
      <c r="B90" s="474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3"/>
      <c r="AO90" s="473"/>
      <c r="AP90" s="473"/>
      <c r="AQ90" s="470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2"/>
      <c r="DU90" s="472"/>
      <c r="DV90" s="472"/>
      <c r="DW90" s="471"/>
    </row>
    <row r="91" spans="1:127" ht="17.25" x14ac:dyDescent="0.35">
      <c r="A91" s="470"/>
      <c r="B91" s="474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3"/>
      <c r="AO91" s="473"/>
      <c r="AP91" s="473"/>
      <c r="AQ91" s="470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2"/>
      <c r="DU91" s="472"/>
      <c r="DV91" s="472"/>
      <c r="DW91" s="471"/>
    </row>
    <row r="92" spans="1:127" ht="17.25" x14ac:dyDescent="0.35">
      <c r="A92" s="470"/>
      <c r="B92" s="474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3"/>
      <c r="AO92" s="473"/>
      <c r="AP92" s="473"/>
      <c r="AQ92" s="470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2"/>
      <c r="DU92" s="472"/>
      <c r="DV92" s="472"/>
      <c r="DW92" s="471"/>
    </row>
  </sheetData>
  <autoFilter ref="A8:DW4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</autoFilter>
  <mergeCells count="36">
    <mergeCell ref="P8:AA8"/>
    <mergeCell ref="A8:A9"/>
    <mergeCell ref="B8:B9"/>
    <mergeCell ref="C8:C9"/>
    <mergeCell ref="D8:O8"/>
    <mergeCell ref="A50:A51"/>
    <mergeCell ref="D50:G51"/>
    <mergeCell ref="C50:C51"/>
    <mergeCell ref="B50:B51"/>
    <mergeCell ref="DW8:DW9"/>
    <mergeCell ref="AB8:AM8"/>
    <mergeCell ref="AN8:AY8"/>
    <mergeCell ref="AZ8:BK8"/>
    <mergeCell ref="BL8:BW8"/>
    <mergeCell ref="BX8:CI8"/>
    <mergeCell ref="CJ8:CU8"/>
    <mergeCell ref="CV8:DG8"/>
    <mergeCell ref="DH8:DS8"/>
    <mergeCell ref="DT8:DT9"/>
    <mergeCell ref="DU8:DU9"/>
    <mergeCell ref="DV8:DV9"/>
    <mergeCell ref="D54:E54"/>
    <mergeCell ref="F54:G54"/>
    <mergeCell ref="X54:Y54"/>
    <mergeCell ref="AF50:AI51"/>
    <mergeCell ref="D53:E53"/>
    <mergeCell ref="F53:G53"/>
    <mergeCell ref="X50:AA51"/>
    <mergeCell ref="AB50:AE51"/>
    <mergeCell ref="L52:O52"/>
    <mergeCell ref="H52:K52"/>
    <mergeCell ref="T52:W52"/>
    <mergeCell ref="H50:K51"/>
    <mergeCell ref="L50:O51"/>
    <mergeCell ref="P50:S51"/>
    <mergeCell ref="T50:W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F16" sqref="F16"/>
    </sheetView>
  </sheetViews>
  <sheetFormatPr defaultColWidth="8.875" defaultRowHeight="16.5" x14ac:dyDescent="0.3"/>
  <cols>
    <col min="1" max="1" width="8.875" style="35"/>
    <col min="2" max="2" width="30" style="36" bestFit="1" customWidth="1"/>
    <col min="3" max="3" width="13" style="36" bestFit="1" customWidth="1"/>
    <col min="4" max="4" width="15.25" style="36" bestFit="1" customWidth="1"/>
    <col min="5" max="5" width="15.25" style="36" customWidth="1"/>
    <col min="6" max="6" width="18" style="36" customWidth="1"/>
    <col min="7" max="7" width="16.125" style="35" customWidth="1"/>
    <col min="8" max="8" width="18.75" style="35" customWidth="1"/>
    <col min="9" max="16384" width="8.875" style="35"/>
  </cols>
  <sheetData>
    <row r="1" spans="2:8" x14ac:dyDescent="0.3">
      <c r="B1" s="35"/>
      <c r="C1" s="35"/>
      <c r="D1" s="35"/>
      <c r="E1" s="35"/>
      <c r="F1" s="35"/>
    </row>
    <row r="2" spans="2:8" x14ac:dyDescent="0.3">
      <c r="B2" s="35"/>
      <c r="C2" s="35"/>
      <c r="D2" s="35"/>
      <c r="E2" s="35"/>
      <c r="F2" s="35"/>
    </row>
    <row r="3" spans="2:8" x14ac:dyDescent="0.3">
      <c r="B3" s="830" t="s">
        <v>829</v>
      </c>
      <c r="C3" s="830"/>
      <c r="D3" s="830"/>
      <c r="E3" s="616"/>
      <c r="F3" s="51"/>
      <c r="G3" s="51" t="s">
        <v>148</v>
      </c>
    </row>
    <row r="4" spans="2:8" x14ac:dyDescent="0.3">
      <c r="B4" s="50" t="s">
        <v>147</v>
      </c>
      <c r="C4" s="49" t="s">
        <v>146</v>
      </c>
      <c r="D4" s="49" t="s">
        <v>145</v>
      </c>
      <c r="E4" s="49" t="s">
        <v>52</v>
      </c>
      <c r="F4" s="49" t="s">
        <v>144</v>
      </c>
      <c r="G4" s="48"/>
      <c r="H4" s="47"/>
    </row>
    <row r="5" spans="2:8" x14ac:dyDescent="0.3">
      <c r="B5" s="44">
        <v>42736</v>
      </c>
      <c r="C5" s="43">
        <f>(SUM(HAT!G6:G13)+SUM(MBU!G6:G15)+SUM(PJD!G5:G15))</f>
        <v>17050</v>
      </c>
      <c r="D5" s="43">
        <v>0</v>
      </c>
      <c r="E5" s="43">
        <f>SUM(PJD!I10:I15)</f>
        <v>1500</v>
      </c>
      <c r="F5" s="43">
        <f>SUM(HAT!I6:I13)+SUM(MBU!I6:I15)+SUM(PJD!J10:J15)</f>
        <v>207875000</v>
      </c>
      <c r="H5" s="46"/>
    </row>
    <row r="6" spans="2:8" x14ac:dyDescent="0.3">
      <c r="B6" s="44">
        <v>42767</v>
      </c>
      <c r="C6" s="638">
        <f>SUM(MBU!G16:G17)</f>
        <v>4000</v>
      </c>
      <c r="D6" s="43">
        <v>0</v>
      </c>
      <c r="E6" s="43">
        <v>0</v>
      </c>
      <c r="F6" s="43">
        <f>SUM(PJD!J16)</f>
        <v>5000000</v>
      </c>
      <c r="H6" s="46"/>
    </row>
    <row r="7" spans="2:8" x14ac:dyDescent="0.3">
      <c r="B7" s="44">
        <v>42795</v>
      </c>
      <c r="C7" s="43">
        <f>SUM(MBU!G18:G19)</f>
        <v>3400</v>
      </c>
      <c r="D7" s="43">
        <v>0</v>
      </c>
      <c r="E7" s="43">
        <v>0</v>
      </c>
      <c r="F7" s="43">
        <f>SUM(HAT!I14:I18)+SUM(PJD!J17)</f>
        <v>89000000</v>
      </c>
      <c r="H7" s="36"/>
    </row>
    <row r="8" spans="2:8" x14ac:dyDescent="0.3">
      <c r="B8" s="44">
        <v>42826</v>
      </c>
      <c r="C8" s="43">
        <f>SUM(HAT!G26)+SUM(MBU!G26:G30)+SUM(PJD!G22)</f>
        <v>13600</v>
      </c>
      <c r="D8" s="43">
        <v>0</v>
      </c>
      <c r="E8" s="43">
        <f>SUM(PJD!I18:I23)</f>
        <v>1500</v>
      </c>
      <c r="F8" s="43">
        <f>SUM(HAT!I19:I25)+SUM(MBU!I20:I25)+SUM(PJD!J18:J23)</f>
        <v>167000000</v>
      </c>
      <c r="H8" s="36"/>
    </row>
    <row r="9" spans="2:8" x14ac:dyDescent="0.3">
      <c r="B9" s="44">
        <v>42856</v>
      </c>
      <c r="C9" s="43">
        <v>0</v>
      </c>
      <c r="D9" s="43">
        <v>0</v>
      </c>
      <c r="E9" s="43">
        <v>0</v>
      </c>
      <c r="F9" s="43">
        <f>SUM(PJD!J24)</f>
        <v>5000000</v>
      </c>
      <c r="H9" s="36"/>
    </row>
    <row r="10" spans="2:8" x14ac:dyDescent="0.3">
      <c r="B10" s="44">
        <v>42887</v>
      </c>
      <c r="C10" s="43">
        <f>SUM(PJD!G25)</f>
        <v>0</v>
      </c>
      <c r="D10" s="43">
        <v>0</v>
      </c>
      <c r="E10" s="43">
        <v>0</v>
      </c>
      <c r="F10" s="43">
        <f>SUM(PJD!J25)</f>
        <v>5000000</v>
      </c>
      <c r="H10" s="36"/>
    </row>
    <row r="11" spans="2:8" x14ac:dyDescent="0.3">
      <c r="B11" s="44">
        <v>42917</v>
      </c>
      <c r="C11" s="43">
        <f>SUM(HAT!G30:G33)+SUM(MBU!G31:G39)+SUM(PJD!G26:G30)</f>
        <v>10350</v>
      </c>
      <c r="D11" s="43">
        <v>0</v>
      </c>
      <c r="E11" s="43">
        <f>SUM(PJD!I24:I30)</f>
        <v>1500</v>
      </c>
      <c r="F11" s="43">
        <f>SUM(HAT!I31:I33)+SUM(MBU!I31:I35)+SUM(PJD!J26:J30)</f>
        <v>83200000</v>
      </c>
      <c r="H11" s="36"/>
    </row>
    <row r="12" spans="2:8" x14ac:dyDescent="0.3">
      <c r="B12" s="44">
        <v>42948</v>
      </c>
      <c r="C12" s="43">
        <v>0</v>
      </c>
      <c r="D12" s="43">
        <v>0</v>
      </c>
      <c r="E12" s="43">
        <v>0</v>
      </c>
      <c r="F12" s="43">
        <v>0</v>
      </c>
      <c r="H12" s="45"/>
    </row>
    <row r="13" spans="2:8" x14ac:dyDescent="0.3">
      <c r="B13" s="44">
        <v>42979</v>
      </c>
      <c r="C13" s="43">
        <v>0</v>
      </c>
      <c r="D13" s="43">
        <v>0</v>
      </c>
      <c r="E13" s="43">
        <v>0</v>
      </c>
      <c r="F13" s="43">
        <v>0</v>
      </c>
      <c r="H13" s="36"/>
    </row>
    <row r="14" spans="2:8" x14ac:dyDescent="0.3">
      <c r="B14" s="44">
        <v>43009</v>
      </c>
      <c r="C14" s="43">
        <f>SUM(PJD!G41:G42)</f>
        <v>10520</v>
      </c>
      <c r="D14" s="43">
        <v>0</v>
      </c>
      <c r="E14" s="43">
        <f>SUM(PJD!I35:I38)</f>
        <v>1500</v>
      </c>
      <c r="F14" s="43">
        <f>SUM(HAT!I34:I35)</f>
        <v>52650000</v>
      </c>
    </row>
    <row r="15" spans="2:8" x14ac:dyDescent="0.3">
      <c r="B15" s="44">
        <v>43040</v>
      </c>
      <c r="C15" s="43">
        <v>0</v>
      </c>
      <c r="D15" s="43">
        <v>0</v>
      </c>
      <c r="E15" s="43">
        <v>0</v>
      </c>
      <c r="F15" s="43">
        <v>0</v>
      </c>
    </row>
    <row r="16" spans="2:8" x14ac:dyDescent="0.3">
      <c r="B16" s="44">
        <v>43070</v>
      </c>
      <c r="C16" s="43">
        <f>SUM(PJD!G43)</f>
        <v>1380</v>
      </c>
      <c r="D16" s="43">
        <v>0</v>
      </c>
      <c r="E16" s="43">
        <v>0</v>
      </c>
      <c r="F16" s="43">
        <v>0</v>
      </c>
    </row>
    <row r="17" spans="2:8" ht="17.25" thickBot="1" x14ac:dyDescent="0.35">
      <c r="B17" s="42" t="s">
        <v>143</v>
      </c>
      <c r="C17" s="41">
        <f>SUM(C5:C16)</f>
        <v>60300</v>
      </c>
      <c r="D17" s="41">
        <f>SUM(D5:D16)</f>
        <v>0</v>
      </c>
      <c r="E17" s="41">
        <f>SUM(E5:E16)</f>
        <v>6000</v>
      </c>
      <c r="F17" s="41">
        <f>SUM(F5:F16)</f>
        <v>614725000</v>
      </c>
    </row>
    <row r="18" spans="2:8" ht="17.25" thickTop="1" x14ac:dyDescent="0.3">
      <c r="B18" s="639" t="s">
        <v>848</v>
      </c>
      <c r="C18" s="640">
        <f>C17*13000</f>
        <v>783900000</v>
      </c>
      <c r="D18" s="640">
        <v>0</v>
      </c>
      <c r="E18" s="640">
        <f>E17*16000</f>
        <v>96000000</v>
      </c>
      <c r="F18" s="640">
        <f>C18+D18+F17+E18</f>
        <v>1494625000</v>
      </c>
      <c r="G18" s="642"/>
    </row>
    <row r="19" spans="2:8" x14ac:dyDescent="0.3">
      <c r="B19" s="35" t="s">
        <v>142</v>
      </c>
      <c r="C19" s="35"/>
      <c r="D19" s="35"/>
      <c r="E19" s="35"/>
      <c r="F19" s="40">
        <v>10000000000</v>
      </c>
    </row>
    <row r="20" spans="2:8" ht="33" x14ac:dyDescent="0.3">
      <c r="B20" s="35" t="s">
        <v>141</v>
      </c>
      <c r="C20" s="35"/>
      <c r="D20" s="35"/>
      <c r="E20" s="35"/>
      <c r="F20" s="39">
        <v>0.02</v>
      </c>
      <c r="H20" s="645" t="s">
        <v>849</v>
      </c>
    </row>
    <row r="21" spans="2:8" x14ac:dyDescent="0.3">
      <c r="B21" s="35"/>
      <c r="C21" s="35"/>
      <c r="D21" s="35"/>
      <c r="E21" s="35"/>
      <c r="F21" s="35"/>
    </row>
    <row r="22" spans="2:8" x14ac:dyDescent="0.3">
      <c r="B22" s="35" t="s">
        <v>140</v>
      </c>
      <c r="C22" s="35"/>
      <c r="D22" s="35"/>
      <c r="E22" s="35"/>
      <c r="F22" s="35"/>
    </row>
    <row r="23" spans="2:8" x14ac:dyDescent="0.3">
      <c r="B23" s="35"/>
      <c r="C23" s="35"/>
      <c r="D23" s="35"/>
      <c r="E23" s="35"/>
      <c r="F23" s="35"/>
    </row>
    <row r="24" spans="2:8" x14ac:dyDescent="0.3">
      <c r="B24" s="38" t="s">
        <v>139</v>
      </c>
      <c r="C24" s="831" t="s">
        <v>138</v>
      </c>
      <c r="D24" s="831"/>
      <c r="E24" s="617"/>
      <c r="F24" s="38" t="s">
        <v>137</v>
      </c>
    </row>
    <row r="25" spans="2:8" x14ac:dyDescent="0.3">
      <c r="B25" s="37"/>
      <c r="C25" s="37"/>
      <c r="D25" s="37"/>
      <c r="E25" s="37"/>
      <c r="F25" s="37"/>
    </row>
    <row r="26" spans="2:8" x14ac:dyDescent="0.3">
      <c r="B26" s="37"/>
      <c r="C26" s="37"/>
      <c r="D26" s="37"/>
      <c r="E26" s="37"/>
      <c r="F26" s="37"/>
    </row>
    <row r="27" spans="2:8" x14ac:dyDescent="0.3">
      <c r="B27" s="37"/>
      <c r="C27" s="37"/>
      <c r="D27" s="37"/>
      <c r="E27" s="37"/>
      <c r="F27" s="37"/>
    </row>
    <row r="28" spans="2:8" x14ac:dyDescent="0.3">
      <c r="B28" s="37"/>
      <c r="C28" s="37"/>
      <c r="D28" s="37"/>
      <c r="E28" s="37"/>
      <c r="F28" s="37"/>
    </row>
    <row r="29" spans="2:8" x14ac:dyDescent="0.3">
      <c r="B29" s="37"/>
      <c r="C29" s="37"/>
      <c r="D29" s="37"/>
      <c r="E29" s="37"/>
      <c r="F29" s="37"/>
    </row>
    <row r="30" spans="2:8" x14ac:dyDescent="0.3">
      <c r="B30" s="37"/>
      <c r="C30" s="37"/>
      <c r="D30" s="37"/>
      <c r="E30" s="37"/>
      <c r="F30" s="37"/>
    </row>
    <row r="31" spans="2:8" x14ac:dyDescent="0.3">
      <c r="B31" s="37"/>
      <c r="C31" s="37"/>
      <c r="D31" s="37"/>
      <c r="E31" s="37"/>
      <c r="F31" s="37"/>
    </row>
    <row r="32" spans="2:8" x14ac:dyDescent="0.3">
      <c r="B32" s="37"/>
      <c r="C32" s="37"/>
      <c r="D32" s="37"/>
      <c r="E32" s="37"/>
      <c r="F32" s="37"/>
    </row>
    <row r="33" spans="2:6" x14ac:dyDescent="0.3">
      <c r="B33" s="37"/>
      <c r="C33" s="37"/>
      <c r="D33" s="37"/>
      <c r="E33" s="37"/>
      <c r="F33" s="37"/>
    </row>
  </sheetData>
  <mergeCells count="2">
    <mergeCell ref="B3:D3"/>
    <mergeCell ref="C24:D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V369"/>
  <sheetViews>
    <sheetView tabSelected="1" zoomScale="60" zoomScaleNormal="6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13" sqref="F13"/>
    </sheetView>
  </sheetViews>
  <sheetFormatPr defaultColWidth="9" defaultRowHeight="16.5" x14ac:dyDescent="0.3"/>
  <cols>
    <col min="1" max="1" width="11.125" style="87" customWidth="1"/>
    <col min="2" max="2" width="4.125" style="90" bestFit="1" customWidth="1"/>
    <col min="3" max="3" width="43.125" style="89" customWidth="1"/>
    <col min="4" max="4" width="45.375" style="91" customWidth="1"/>
    <col min="5" max="5" width="26.125" style="90" customWidth="1"/>
    <col min="6" max="6" width="12.5" style="87" customWidth="1"/>
    <col min="7" max="7" width="20" style="90" customWidth="1"/>
    <col min="8" max="8" width="18.875" style="87" bestFit="1" customWidth="1"/>
    <col min="9" max="9" width="17.75" style="87" customWidth="1"/>
    <col min="10" max="10" width="15.5" style="87" hidden="1" customWidth="1"/>
    <col min="11" max="11" width="14.5" style="87" hidden="1" customWidth="1"/>
    <col min="12" max="12" width="18" style="87" hidden="1" customWidth="1"/>
    <col min="13" max="13" width="17.875" style="87" hidden="1" customWidth="1"/>
    <col min="14" max="15" width="17.875" style="87" customWidth="1"/>
    <col min="16" max="16" width="15.5" style="87" bestFit="1" customWidth="1"/>
    <col min="17" max="17" width="18" style="87" bestFit="1" customWidth="1"/>
    <col min="18" max="19" width="18" style="87" customWidth="1"/>
    <col min="20" max="20" width="17.625" style="87" bestFit="1" customWidth="1"/>
    <col min="21" max="21" width="18" style="87" bestFit="1" customWidth="1"/>
    <col min="22" max="22" width="18" style="87" customWidth="1"/>
    <col min="23" max="23" width="17.625" style="87" bestFit="1" customWidth="1"/>
    <col min="24" max="24" width="15.5" style="87" bestFit="1" customWidth="1"/>
    <col min="25" max="26" width="15.5" style="87" customWidth="1"/>
    <col min="27" max="27" width="15.25" style="87" customWidth="1"/>
    <col min="28" max="28" width="22.375" style="89" customWidth="1"/>
    <col min="29" max="30" width="22.375" style="88" hidden="1" customWidth="1"/>
    <col min="31" max="31" width="32.5" style="87" hidden="1" customWidth="1"/>
    <col min="32" max="32" width="9" style="87"/>
    <col min="33" max="33" width="18.25" style="87" customWidth="1"/>
    <col min="34" max="16384" width="9" style="87"/>
  </cols>
  <sheetData>
    <row r="1" spans="1:33" s="388" customFormat="1" x14ac:dyDescent="0.3">
      <c r="B1" s="391"/>
      <c r="C1" s="402"/>
      <c r="D1" s="392"/>
      <c r="E1" s="401"/>
      <c r="G1" s="391"/>
      <c r="AB1" s="390"/>
      <c r="AC1" s="389"/>
      <c r="AD1" s="389"/>
    </row>
    <row r="2" spans="1:33" s="388" customFormat="1" ht="18" x14ac:dyDescent="0.35">
      <c r="A2" s="397"/>
      <c r="B2" s="398"/>
      <c r="C2" s="400"/>
      <c r="D2" s="399"/>
      <c r="E2" s="398"/>
      <c r="F2" s="397"/>
      <c r="G2" s="398"/>
      <c r="H2" s="397"/>
      <c r="I2" s="397"/>
      <c r="J2" s="397"/>
      <c r="K2" s="397"/>
      <c r="L2" s="397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AB2" s="390"/>
      <c r="AC2" s="389"/>
      <c r="AD2" s="389"/>
    </row>
    <row r="3" spans="1:33" s="388" customFormat="1" ht="18" x14ac:dyDescent="0.35">
      <c r="A3" s="832" t="s">
        <v>692</v>
      </c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395"/>
      <c r="O3" s="395"/>
      <c r="P3" s="394"/>
      <c r="Q3" s="394"/>
      <c r="R3" s="394"/>
      <c r="S3" s="394"/>
      <c r="T3" s="394"/>
      <c r="U3" s="394"/>
      <c r="V3" s="394"/>
      <c r="W3" s="394"/>
      <c r="X3" s="393"/>
      <c r="Y3" s="393"/>
      <c r="Z3" s="393"/>
      <c r="AA3" s="393"/>
      <c r="AB3" s="390"/>
      <c r="AC3" s="389"/>
      <c r="AD3" s="389"/>
    </row>
    <row r="4" spans="1:33" s="388" customFormat="1" ht="18" x14ac:dyDescent="0.35">
      <c r="A4" s="832" t="s">
        <v>691</v>
      </c>
      <c r="B4" s="832"/>
      <c r="C4" s="832"/>
      <c r="D4" s="832"/>
      <c r="E4" s="832"/>
      <c r="F4" s="832"/>
      <c r="G4" s="832"/>
      <c r="H4" s="832"/>
      <c r="I4" s="832"/>
      <c r="J4" s="832"/>
      <c r="K4" s="832"/>
      <c r="L4" s="832"/>
      <c r="M4" s="832"/>
      <c r="N4" s="395"/>
      <c r="O4" s="395"/>
      <c r="P4" s="394"/>
      <c r="Q4" s="394"/>
      <c r="R4" s="394"/>
      <c r="S4" s="394"/>
      <c r="T4" s="394"/>
      <c r="U4" s="394"/>
      <c r="V4" s="394"/>
      <c r="W4" s="394"/>
      <c r="X4" s="393"/>
      <c r="Y4" s="393"/>
      <c r="Z4" s="393"/>
      <c r="AA4" s="393"/>
      <c r="AB4" s="390"/>
      <c r="AC4" s="389"/>
      <c r="AD4" s="389"/>
    </row>
    <row r="5" spans="1:33" s="388" customFormat="1" x14ac:dyDescent="0.3">
      <c r="B5" s="391"/>
      <c r="C5" s="390"/>
      <c r="D5" s="392"/>
      <c r="E5" s="391"/>
      <c r="G5" s="391"/>
      <c r="AB5" s="390"/>
      <c r="AC5" s="389"/>
      <c r="AD5" s="389"/>
    </row>
    <row r="6" spans="1:33" s="380" customFormat="1" ht="43.5" customHeight="1" x14ac:dyDescent="0.3">
      <c r="A6" s="833" t="s">
        <v>690</v>
      </c>
      <c r="B6" s="833" t="s">
        <v>689</v>
      </c>
      <c r="C6" s="833" t="s">
        <v>688</v>
      </c>
      <c r="D6" s="833" t="s">
        <v>3</v>
      </c>
      <c r="E6" s="833" t="s">
        <v>687</v>
      </c>
      <c r="F6" s="833" t="s">
        <v>686</v>
      </c>
      <c r="G6" s="833" t="s">
        <v>685</v>
      </c>
      <c r="H6" s="833" t="s">
        <v>684</v>
      </c>
      <c r="I6" s="833" t="s">
        <v>683</v>
      </c>
      <c r="J6" s="833" t="s">
        <v>682</v>
      </c>
      <c r="K6" s="847" t="s">
        <v>681</v>
      </c>
      <c r="L6" s="847" t="s">
        <v>170</v>
      </c>
      <c r="M6" s="833" t="s">
        <v>680</v>
      </c>
      <c r="N6" s="833" t="s">
        <v>679</v>
      </c>
      <c r="O6" s="833" t="s">
        <v>678</v>
      </c>
      <c r="P6" s="839" t="s">
        <v>180</v>
      </c>
      <c r="Q6" s="840"/>
      <c r="R6" s="840"/>
      <c r="S6" s="840"/>
      <c r="T6" s="841"/>
      <c r="U6" s="386" t="s">
        <v>391</v>
      </c>
      <c r="V6" s="386" t="s">
        <v>228</v>
      </c>
      <c r="W6" s="386" t="s">
        <v>222</v>
      </c>
      <c r="X6" s="385" t="s">
        <v>522</v>
      </c>
      <c r="Y6" s="385" t="s">
        <v>670</v>
      </c>
      <c r="Z6" s="385" t="s">
        <v>241</v>
      </c>
      <c r="AA6" s="387" t="s">
        <v>677</v>
      </c>
      <c r="AB6" s="381" t="s">
        <v>676</v>
      </c>
      <c r="AC6" s="383" t="s">
        <v>675</v>
      </c>
      <c r="AD6" s="382" t="s">
        <v>674</v>
      </c>
      <c r="AE6" s="381" t="s">
        <v>50</v>
      </c>
    </row>
    <row r="7" spans="1:33" s="380" customFormat="1" ht="43.5" customHeight="1" x14ac:dyDescent="0.3">
      <c r="A7" s="834"/>
      <c r="B7" s="835"/>
      <c r="C7" s="835"/>
      <c r="D7" s="835"/>
      <c r="E7" s="835"/>
      <c r="F7" s="835"/>
      <c r="G7" s="835"/>
      <c r="H7" s="835"/>
      <c r="I7" s="835"/>
      <c r="J7" s="835"/>
      <c r="K7" s="848"/>
      <c r="L7" s="848"/>
      <c r="M7" s="835"/>
      <c r="N7" s="835"/>
      <c r="O7" s="835"/>
      <c r="P7" s="386" t="s">
        <v>36</v>
      </c>
      <c r="Q7" s="386" t="s">
        <v>19</v>
      </c>
      <c r="R7" s="386" t="s">
        <v>673</v>
      </c>
      <c r="S7" s="386" t="s">
        <v>672</v>
      </c>
      <c r="T7" s="386" t="s">
        <v>671</v>
      </c>
      <c r="U7" s="386" t="s">
        <v>391</v>
      </c>
      <c r="V7" s="386" t="s">
        <v>228</v>
      </c>
      <c r="W7" s="386" t="s">
        <v>222</v>
      </c>
      <c r="X7" s="386" t="s">
        <v>522</v>
      </c>
      <c r="Y7" s="385" t="s">
        <v>670</v>
      </c>
      <c r="Z7" s="385" t="s">
        <v>241</v>
      </c>
      <c r="AA7" s="384"/>
      <c r="AB7" s="381"/>
      <c r="AC7" s="383"/>
      <c r="AD7" s="382"/>
      <c r="AE7" s="381"/>
      <c r="AG7" s="380" t="s">
        <v>669</v>
      </c>
    </row>
    <row r="8" spans="1:33" s="152" customFormat="1" x14ac:dyDescent="0.3">
      <c r="A8" s="842" t="s">
        <v>668</v>
      </c>
      <c r="B8" s="137">
        <v>1</v>
      </c>
      <c r="C8" s="141" t="s">
        <v>202</v>
      </c>
      <c r="D8" s="140" t="s">
        <v>197</v>
      </c>
      <c r="E8" s="240">
        <v>42370</v>
      </c>
      <c r="F8" s="208">
        <v>42375</v>
      </c>
      <c r="G8" s="137" t="s">
        <v>667</v>
      </c>
      <c r="H8" s="136">
        <v>4092000</v>
      </c>
      <c r="I8" s="136"/>
      <c r="J8" s="153"/>
      <c r="K8" s="153"/>
      <c r="L8" s="153"/>
      <c r="M8" s="231"/>
      <c r="N8" s="131" t="s">
        <v>180</v>
      </c>
      <c r="O8" s="131" t="s">
        <v>186</v>
      </c>
      <c r="P8" s="132">
        <f>H8</f>
        <v>4092000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1"/>
      <c r="AB8" s="256" t="s">
        <v>249</v>
      </c>
      <c r="AC8" s="211">
        <f>H8</f>
        <v>4092000</v>
      </c>
      <c r="AD8" s="211"/>
      <c r="AE8" s="229"/>
    </row>
    <row r="9" spans="1:33" s="152" customFormat="1" x14ac:dyDescent="0.3">
      <c r="A9" s="842"/>
      <c r="B9" s="137">
        <v>2</v>
      </c>
      <c r="C9" s="141" t="s">
        <v>202</v>
      </c>
      <c r="D9" s="140" t="s">
        <v>201</v>
      </c>
      <c r="E9" s="240">
        <v>42370</v>
      </c>
      <c r="F9" s="208">
        <v>42375</v>
      </c>
      <c r="G9" s="137" t="s">
        <v>666</v>
      </c>
      <c r="H9" s="136">
        <v>13640000</v>
      </c>
      <c r="I9" s="136"/>
      <c r="J9" s="153"/>
      <c r="K9" s="153"/>
      <c r="L9" s="153"/>
      <c r="M9" s="231"/>
      <c r="N9" s="131" t="s">
        <v>180</v>
      </c>
      <c r="O9" s="131" t="s">
        <v>227</v>
      </c>
      <c r="P9" s="132">
        <f>H9</f>
        <v>13640000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1"/>
      <c r="AB9" s="256" t="s">
        <v>249</v>
      </c>
      <c r="AC9" s="211">
        <f>H9</f>
        <v>13640000</v>
      </c>
      <c r="AD9" s="211"/>
      <c r="AE9" s="230"/>
    </row>
    <row r="10" spans="1:33" s="152" customFormat="1" x14ac:dyDescent="0.3">
      <c r="A10" s="842"/>
      <c r="B10" s="137">
        <v>3</v>
      </c>
      <c r="C10" s="141" t="s">
        <v>665</v>
      </c>
      <c r="D10" s="140" t="s">
        <v>664</v>
      </c>
      <c r="E10" s="139"/>
      <c r="F10" s="138">
        <v>42380</v>
      </c>
      <c r="G10" s="137" t="s">
        <v>663</v>
      </c>
      <c r="H10" s="136">
        <v>55200000</v>
      </c>
      <c r="I10" s="136"/>
      <c r="J10" s="153"/>
      <c r="K10" s="153"/>
      <c r="L10" s="153"/>
      <c r="M10" s="231"/>
      <c r="N10" s="131" t="s">
        <v>391</v>
      </c>
      <c r="O10" s="131" t="s">
        <v>662</v>
      </c>
      <c r="P10" s="132"/>
      <c r="Q10" s="132"/>
      <c r="R10" s="132"/>
      <c r="S10" s="132"/>
      <c r="T10" s="132"/>
      <c r="U10" s="132">
        <f>H10</f>
        <v>55200000</v>
      </c>
      <c r="V10" s="132"/>
      <c r="W10" s="132"/>
      <c r="X10" s="132"/>
      <c r="Y10" s="132"/>
      <c r="Z10" s="132"/>
      <c r="AA10" s="131"/>
      <c r="AB10" s="256" t="s">
        <v>249</v>
      </c>
      <c r="AC10" s="211"/>
      <c r="AD10" s="211"/>
      <c r="AE10" s="229"/>
    </row>
    <row r="11" spans="1:33" s="152" customFormat="1" x14ac:dyDescent="0.3">
      <c r="A11" s="842"/>
      <c r="B11" s="137">
        <v>4</v>
      </c>
      <c r="C11" s="141" t="s">
        <v>53</v>
      </c>
      <c r="D11" s="140" t="s">
        <v>201</v>
      </c>
      <c r="E11" s="863" t="s">
        <v>661</v>
      </c>
      <c r="F11" s="864">
        <v>42382</v>
      </c>
      <c r="G11" s="865" t="s">
        <v>660</v>
      </c>
      <c r="H11" s="136">
        <v>18800100</v>
      </c>
      <c r="I11" s="136"/>
      <c r="J11" s="153"/>
      <c r="K11" s="153"/>
      <c r="L11" s="153"/>
      <c r="M11" s="231"/>
      <c r="N11" s="131" t="s">
        <v>180</v>
      </c>
      <c r="O11" s="131" t="s">
        <v>227</v>
      </c>
      <c r="P11" s="132"/>
      <c r="Q11" s="132">
        <f>H11</f>
        <v>18800100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1"/>
      <c r="AB11" s="256" t="s">
        <v>249</v>
      </c>
      <c r="AC11" s="211"/>
      <c r="AD11" s="211"/>
      <c r="AE11" s="229"/>
    </row>
    <row r="12" spans="1:33" s="152" customFormat="1" x14ac:dyDescent="0.3">
      <c r="A12" s="842"/>
      <c r="B12" s="137">
        <v>5</v>
      </c>
      <c r="C12" s="141" t="s">
        <v>53</v>
      </c>
      <c r="D12" s="140" t="s">
        <v>201</v>
      </c>
      <c r="E12" s="866" t="s">
        <v>585</v>
      </c>
      <c r="F12" s="864">
        <v>42382</v>
      </c>
      <c r="G12" s="865" t="s">
        <v>660</v>
      </c>
      <c r="H12" s="136">
        <v>18800100</v>
      </c>
      <c r="I12" s="136"/>
      <c r="J12" s="153"/>
      <c r="K12" s="153"/>
      <c r="L12" s="153"/>
      <c r="M12" s="231"/>
      <c r="N12" s="131" t="s">
        <v>180</v>
      </c>
      <c r="O12" s="131" t="s">
        <v>227</v>
      </c>
      <c r="P12" s="132"/>
      <c r="Q12" s="132">
        <f>H12</f>
        <v>18800100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1"/>
      <c r="AB12" s="256" t="s">
        <v>249</v>
      </c>
      <c r="AC12" s="211"/>
      <c r="AD12" s="211"/>
      <c r="AE12" s="229"/>
    </row>
    <row r="13" spans="1:33" s="152" customFormat="1" x14ac:dyDescent="0.3">
      <c r="A13" s="842"/>
      <c r="B13" s="137">
        <v>6</v>
      </c>
      <c r="C13" s="141" t="s">
        <v>53</v>
      </c>
      <c r="D13" s="140" t="s">
        <v>201</v>
      </c>
      <c r="E13" s="867">
        <v>2014</v>
      </c>
      <c r="F13" s="864">
        <v>42382</v>
      </c>
      <c r="G13" s="865" t="s">
        <v>660</v>
      </c>
      <c r="H13" s="136">
        <v>12533400</v>
      </c>
      <c r="I13" s="136"/>
      <c r="J13" s="153"/>
      <c r="K13" s="153"/>
      <c r="L13" s="153"/>
      <c r="M13" s="231"/>
      <c r="N13" s="131" t="s">
        <v>180</v>
      </c>
      <c r="O13" s="131" t="s">
        <v>227</v>
      </c>
      <c r="P13" s="132"/>
      <c r="Q13" s="132">
        <f>H13</f>
        <v>12533400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1"/>
      <c r="AB13" s="256" t="s">
        <v>249</v>
      </c>
      <c r="AC13" s="211"/>
      <c r="AD13" s="211"/>
      <c r="AE13" s="229"/>
    </row>
    <row r="14" spans="1:33" s="152" customFormat="1" x14ac:dyDescent="0.3">
      <c r="A14" s="842"/>
      <c r="B14" s="137">
        <v>7</v>
      </c>
      <c r="C14" s="141" t="s">
        <v>53</v>
      </c>
      <c r="D14" s="140" t="s">
        <v>201</v>
      </c>
      <c r="E14" s="867">
        <v>2015</v>
      </c>
      <c r="F14" s="864">
        <v>42382</v>
      </c>
      <c r="G14" s="865" t="s">
        <v>660</v>
      </c>
      <c r="H14" s="136">
        <v>12533400</v>
      </c>
      <c r="I14" s="136"/>
      <c r="J14" s="153"/>
      <c r="K14" s="153"/>
      <c r="L14" s="153"/>
      <c r="M14" s="231"/>
      <c r="N14" s="131" t="s">
        <v>180</v>
      </c>
      <c r="O14" s="131" t="s">
        <v>227</v>
      </c>
      <c r="P14" s="132"/>
      <c r="Q14" s="132">
        <f>H14</f>
        <v>12533400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1"/>
      <c r="AB14" s="256" t="s">
        <v>249</v>
      </c>
      <c r="AC14" s="211"/>
      <c r="AD14" s="211"/>
      <c r="AE14" s="229"/>
    </row>
    <row r="15" spans="1:33" s="152" customFormat="1" x14ac:dyDescent="0.3">
      <c r="A15" s="842"/>
      <c r="B15" s="137">
        <v>8</v>
      </c>
      <c r="C15" s="239" t="s">
        <v>450</v>
      </c>
      <c r="D15" s="238" t="s">
        <v>520</v>
      </c>
      <c r="E15" s="377" t="s">
        <v>658</v>
      </c>
      <c r="F15" s="138">
        <v>42383</v>
      </c>
      <c r="G15" s="379" t="s">
        <v>446</v>
      </c>
      <c r="H15" s="136">
        <f>16750*13926</f>
        <v>233260500</v>
      </c>
      <c r="I15" s="135"/>
      <c r="J15" s="231"/>
      <c r="K15" s="231"/>
      <c r="L15" s="153"/>
      <c r="M15" s="231"/>
      <c r="N15" s="131" t="s">
        <v>241</v>
      </c>
      <c r="O15" s="131" t="s">
        <v>227</v>
      </c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>
        <f>H15</f>
        <v>233260500</v>
      </c>
      <c r="AA15" s="131"/>
      <c r="AB15" s="184" t="s">
        <v>178</v>
      </c>
      <c r="AC15" s="375"/>
      <c r="AD15" s="374"/>
      <c r="AE15" s="229"/>
    </row>
    <row r="16" spans="1:33" s="152" customFormat="1" x14ac:dyDescent="0.3">
      <c r="A16" s="842"/>
      <c r="B16" s="137">
        <v>9</v>
      </c>
      <c r="C16" s="239" t="s">
        <v>450</v>
      </c>
      <c r="D16" s="238" t="s">
        <v>659</v>
      </c>
      <c r="E16" s="377" t="s">
        <v>658</v>
      </c>
      <c r="F16" s="138">
        <v>42383</v>
      </c>
      <c r="G16" s="379" t="s">
        <v>446</v>
      </c>
      <c r="H16" s="136">
        <f>7977*13926</f>
        <v>111087702</v>
      </c>
      <c r="I16" s="135"/>
      <c r="J16" s="231"/>
      <c r="K16" s="231"/>
      <c r="L16" s="153"/>
      <c r="M16" s="231"/>
      <c r="N16" s="131" t="s">
        <v>241</v>
      </c>
      <c r="O16" s="131" t="s">
        <v>227</v>
      </c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>
        <f>H16</f>
        <v>111087702</v>
      </c>
      <c r="AA16" s="131"/>
      <c r="AB16" s="184" t="s">
        <v>178</v>
      </c>
      <c r="AC16" s="375"/>
      <c r="AD16" s="374"/>
      <c r="AE16" s="229"/>
    </row>
    <row r="17" spans="1:31" s="152" customFormat="1" x14ac:dyDescent="0.3">
      <c r="A17" s="842"/>
      <c r="B17" s="137">
        <v>10</v>
      </c>
      <c r="C17" s="344" t="s">
        <v>440</v>
      </c>
      <c r="D17" s="343" t="s">
        <v>623</v>
      </c>
      <c r="E17" s="342"/>
      <c r="F17" s="324">
        <v>42403</v>
      </c>
      <c r="G17" s="378" t="s">
        <v>657</v>
      </c>
      <c r="H17" s="341">
        <v>320000000</v>
      </c>
      <c r="I17" s="275"/>
      <c r="J17" s="275">
        <f>H17*10%</f>
        <v>32000000</v>
      </c>
      <c r="K17" s="275">
        <f>H17*2%</f>
        <v>6400000</v>
      </c>
      <c r="L17" s="274">
        <f>H17+J17</f>
        <v>352000000</v>
      </c>
      <c r="M17" s="273">
        <f>H17+J17-K17</f>
        <v>345600000</v>
      </c>
      <c r="N17" s="272" t="s">
        <v>222</v>
      </c>
      <c r="O17" s="272" t="s">
        <v>227</v>
      </c>
      <c r="P17" s="271"/>
      <c r="Q17" s="215"/>
      <c r="R17" s="215"/>
      <c r="S17" s="215"/>
      <c r="T17" s="215"/>
      <c r="U17" s="215"/>
      <c r="V17" s="215"/>
      <c r="W17" s="215">
        <f>H17</f>
        <v>320000000</v>
      </c>
      <c r="X17" s="214"/>
      <c r="Y17" s="213"/>
      <c r="Z17" s="213"/>
      <c r="AA17" s="212"/>
      <c r="AB17" s="256" t="s">
        <v>249</v>
      </c>
      <c r="AC17" s="211">
        <f>H17</f>
        <v>320000000</v>
      </c>
      <c r="AD17" s="211"/>
      <c r="AE17" s="229"/>
    </row>
    <row r="18" spans="1:31" s="152" customFormat="1" x14ac:dyDescent="0.3">
      <c r="A18" s="842"/>
      <c r="B18" s="137">
        <v>11</v>
      </c>
      <c r="C18" s="239" t="s">
        <v>498</v>
      </c>
      <c r="D18" s="238" t="s">
        <v>184</v>
      </c>
      <c r="E18" s="240" t="s">
        <v>310</v>
      </c>
      <c r="F18" s="138">
        <v>42388</v>
      </c>
      <c r="G18" s="137" t="s">
        <v>656</v>
      </c>
      <c r="H18" s="136">
        <v>33422400</v>
      </c>
      <c r="I18" s="136"/>
      <c r="J18" s="153"/>
      <c r="K18" s="153"/>
      <c r="L18" s="153"/>
      <c r="M18" s="231"/>
      <c r="N18" s="131" t="s">
        <v>180</v>
      </c>
      <c r="O18" s="131" t="s">
        <v>179</v>
      </c>
      <c r="P18" s="132"/>
      <c r="Q18" s="132"/>
      <c r="R18" s="132"/>
      <c r="S18" s="132">
        <f>H18</f>
        <v>33422400</v>
      </c>
      <c r="T18" s="132"/>
      <c r="U18" s="132"/>
      <c r="V18" s="132"/>
      <c r="W18" s="132"/>
      <c r="X18" s="132"/>
      <c r="Y18" s="132"/>
      <c r="Z18" s="132"/>
      <c r="AA18" s="131"/>
      <c r="AB18" s="184" t="s">
        <v>178</v>
      </c>
      <c r="AC18" s="211"/>
      <c r="AD18" s="211"/>
      <c r="AE18" s="229"/>
    </row>
    <row r="19" spans="1:31" s="152" customFormat="1" x14ac:dyDescent="0.3">
      <c r="A19" s="842"/>
      <c r="B19" s="137">
        <v>12</v>
      </c>
      <c r="C19" s="239" t="s">
        <v>370</v>
      </c>
      <c r="D19" s="311" t="s">
        <v>655</v>
      </c>
      <c r="E19" s="240" t="s">
        <v>310</v>
      </c>
      <c r="F19" s="138">
        <v>42388</v>
      </c>
      <c r="G19" s="137" t="s">
        <v>654</v>
      </c>
      <c r="H19" s="136">
        <v>50133600</v>
      </c>
      <c r="I19" s="136"/>
      <c r="J19" s="153"/>
      <c r="K19" s="153"/>
      <c r="L19" s="153"/>
      <c r="M19" s="231"/>
      <c r="N19" s="131" t="s">
        <v>180</v>
      </c>
      <c r="O19" s="131" t="s">
        <v>653</v>
      </c>
      <c r="P19" s="132"/>
      <c r="Q19" s="132"/>
      <c r="R19" s="132">
        <f>H19</f>
        <v>50133600</v>
      </c>
      <c r="S19" s="132"/>
      <c r="T19" s="132"/>
      <c r="U19" s="132"/>
      <c r="V19" s="132"/>
      <c r="W19" s="132"/>
      <c r="X19" s="132"/>
      <c r="Y19" s="132"/>
      <c r="Z19" s="132"/>
      <c r="AA19" s="131"/>
      <c r="AB19" s="256" t="s">
        <v>249</v>
      </c>
      <c r="AC19" s="211"/>
      <c r="AD19" s="211"/>
      <c r="AE19" s="229"/>
    </row>
    <row r="20" spans="1:31" s="152" customFormat="1" x14ac:dyDescent="0.3">
      <c r="A20" s="842"/>
      <c r="B20" s="137">
        <v>13</v>
      </c>
      <c r="C20" s="239" t="s">
        <v>360</v>
      </c>
      <c r="D20" s="238" t="s">
        <v>644</v>
      </c>
      <c r="E20" s="240" t="s">
        <v>310</v>
      </c>
      <c r="F20" s="138">
        <v>42388</v>
      </c>
      <c r="G20" s="137" t="s">
        <v>652</v>
      </c>
      <c r="H20" s="136">
        <v>12533400</v>
      </c>
      <c r="I20" s="136"/>
      <c r="J20" s="153"/>
      <c r="K20" s="153"/>
      <c r="L20" s="153"/>
      <c r="M20" s="231"/>
      <c r="N20" s="131" t="s">
        <v>180</v>
      </c>
      <c r="O20" s="131" t="s">
        <v>186</v>
      </c>
      <c r="P20" s="132">
        <f t="shared" ref="P20:P28" si="0">H20</f>
        <v>12533400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1"/>
      <c r="AB20" s="256" t="s">
        <v>249</v>
      </c>
      <c r="AC20" s="211"/>
      <c r="AD20" s="211"/>
      <c r="AE20" s="229"/>
    </row>
    <row r="21" spans="1:31" s="152" customFormat="1" x14ac:dyDescent="0.3">
      <c r="A21" s="842"/>
      <c r="B21" s="137">
        <v>14</v>
      </c>
      <c r="C21" s="239" t="s">
        <v>358</v>
      </c>
      <c r="D21" s="238" t="s">
        <v>644</v>
      </c>
      <c r="E21" s="240" t="s">
        <v>310</v>
      </c>
      <c r="F21" s="138">
        <v>42388</v>
      </c>
      <c r="G21" s="137" t="s">
        <v>651</v>
      </c>
      <c r="H21" s="136">
        <v>12533400</v>
      </c>
      <c r="I21" s="136"/>
      <c r="J21" s="153"/>
      <c r="K21" s="153"/>
      <c r="L21" s="153"/>
      <c r="M21" s="231"/>
      <c r="N21" s="131" t="s">
        <v>180</v>
      </c>
      <c r="O21" s="131" t="s">
        <v>186</v>
      </c>
      <c r="P21" s="132">
        <f t="shared" si="0"/>
        <v>12533400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1"/>
      <c r="AB21" s="256" t="s">
        <v>249</v>
      </c>
      <c r="AC21" s="211"/>
      <c r="AD21" s="211"/>
      <c r="AE21" s="229"/>
    </row>
    <row r="22" spans="1:31" s="152" customFormat="1" x14ac:dyDescent="0.3">
      <c r="A22" s="842"/>
      <c r="B22" s="137">
        <v>15</v>
      </c>
      <c r="C22" s="239" t="s">
        <v>356</v>
      </c>
      <c r="D22" s="238" t="s">
        <v>644</v>
      </c>
      <c r="E22" s="240" t="s">
        <v>310</v>
      </c>
      <c r="F22" s="376">
        <v>42388</v>
      </c>
      <c r="G22" s="137" t="s">
        <v>650</v>
      </c>
      <c r="H22" s="136">
        <v>12533400</v>
      </c>
      <c r="I22" s="136"/>
      <c r="J22" s="153"/>
      <c r="K22" s="153"/>
      <c r="L22" s="153"/>
      <c r="M22" s="231"/>
      <c r="N22" s="131" t="s">
        <v>180</v>
      </c>
      <c r="O22" s="131" t="s">
        <v>186</v>
      </c>
      <c r="P22" s="132">
        <f t="shared" si="0"/>
        <v>12533400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1"/>
      <c r="AB22" s="256" t="s">
        <v>249</v>
      </c>
      <c r="AC22" s="211"/>
      <c r="AD22" s="211"/>
      <c r="AE22" s="229"/>
    </row>
    <row r="23" spans="1:31" s="152" customFormat="1" x14ac:dyDescent="0.3">
      <c r="A23" s="842"/>
      <c r="B23" s="137">
        <v>16</v>
      </c>
      <c r="C23" s="239" t="s">
        <v>354</v>
      </c>
      <c r="D23" s="238" t="s">
        <v>644</v>
      </c>
      <c r="E23" s="240" t="s">
        <v>310</v>
      </c>
      <c r="F23" s="376">
        <v>42388</v>
      </c>
      <c r="G23" s="137" t="s">
        <v>649</v>
      </c>
      <c r="H23" s="136">
        <v>12533400</v>
      </c>
      <c r="I23" s="136"/>
      <c r="J23" s="153"/>
      <c r="K23" s="153"/>
      <c r="L23" s="153"/>
      <c r="M23" s="231"/>
      <c r="N23" s="131" t="s">
        <v>180</v>
      </c>
      <c r="O23" s="131" t="s">
        <v>186</v>
      </c>
      <c r="P23" s="132">
        <f t="shared" si="0"/>
        <v>12533400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1"/>
      <c r="AB23" s="256" t="s">
        <v>249</v>
      </c>
      <c r="AC23" s="211"/>
      <c r="AD23" s="211"/>
      <c r="AE23" s="229"/>
    </row>
    <row r="24" spans="1:31" s="152" customFormat="1" x14ac:dyDescent="0.3">
      <c r="A24" s="842"/>
      <c r="B24" s="137">
        <v>17</v>
      </c>
      <c r="C24" s="239" t="s">
        <v>352</v>
      </c>
      <c r="D24" s="238" t="s">
        <v>644</v>
      </c>
      <c r="E24" s="240" t="s">
        <v>310</v>
      </c>
      <c r="F24" s="376">
        <v>42388</v>
      </c>
      <c r="G24" s="137" t="s">
        <v>648</v>
      </c>
      <c r="H24" s="136">
        <v>12533400</v>
      </c>
      <c r="I24" s="136"/>
      <c r="J24" s="153"/>
      <c r="K24" s="153"/>
      <c r="L24" s="153"/>
      <c r="M24" s="231"/>
      <c r="N24" s="131" t="s">
        <v>180</v>
      </c>
      <c r="O24" s="131" t="s">
        <v>186</v>
      </c>
      <c r="P24" s="132">
        <f t="shared" si="0"/>
        <v>12533400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1"/>
      <c r="AB24" s="256" t="s">
        <v>249</v>
      </c>
      <c r="AC24" s="211"/>
      <c r="AD24" s="211"/>
      <c r="AE24" s="229"/>
    </row>
    <row r="25" spans="1:31" s="152" customFormat="1" x14ac:dyDescent="0.3">
      <c r="A25" s="842"/>
      <c r="B25" s="137">
        <v>18</v>
      </c>
      <c r="C25" s="239" t="s">
        <v>350</v>
      </c>
      <c r="D25" s="238" t="s">
        <v>644</v>
      </c>
      <c r="E25" s="240" t="s">
        <v>310</v>
      </c>
      <c r="F25" s="376">
        <v>42388</v>
      </c>
      <c r="G25" s="137" t="s">
        <v>647</v>
      </c>
      <c r="H25" s="136">
        <v>12533400</v>
      </c>
      <c r="I25" s="136"/>
      <c r="J25" s="153"/>
      <c r="K25" s="153"/>
      <c r="L25" s="153"/>
      <c r="M25" s="231"/>
      <c r="N25" s="131" t="s">
        <v>180</v>
      </c>
      <c r="O25" s="131" t="s">
        <v>186</v>
      </c>
      <c r="P25" s="132">
        <f t="shared" si="0"/>
        <v>12533400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1"/>
      <c r="AB25" s="256" t="s">
        <v>249</v>
      </c>
      <c r="AC25" s="211"/>
      <c r="AD25" s="211"/>
      <c r="AE25" s="229"/>
    </row>
    <row r="26" spans="1:31" s="152" customFormat="1" x14ac:dyDescent="0.3">
      <c r="A26" s="842"/>
      <c r="B26" s="137">
        <v>19</v>
      </c>
      <c r="C26" s="239" t="s">
        <v>348</v>
      </c>
      <c r="D26" s="238" t="s">
        <v>644</v>
      </c>
      <c r="E26" s="240" t="s">
        <v>310</v>
      </c>
      <c r="F26" s="376">
        <v>42388</v>
      </c>
      <c r="G26" s="137" t="s">
        <v>646</v>
      </c>
      <c r="H26" s="136">
        <v>12533400</v>
      </c>
      <c r="I26" s="136"/>
      <c r="J26" s="153"/>
      <c r="K26" s="153"/>
      <c r="L26" s="153"/>
      <c r="M26" s="231"/>
      <c r="N26" s="131" t="s">
        <v>180</v>
      </c>
      <c r="O26" s="131" t="s">
        <v>186</v>
      </c>
      <c r="P26" s="132">
        <f t="shared" si="0"/>
        <v>12533400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1"/>
      <c r="AB26" s="256" t="s">
        <v>249</v>
      </c>
      <c r="AC26" s="211"/>
      <c r="AD26" s="211"/>
      <c r="AE26" s="229"/>
    </row>
    <row r="27" spans="1:31" s="152" customFormat="1" x14ac:dyDescent="0.3">
      <c r="A27" s="842"/>
      <c r="B27" s="137">
        <v>20</v>
      </c>
      <c r="C27" s="239" t="s">
        <v>346</v>
      </c>
      <c r="D27" s="238" t="s">
        <v>644</v>
      </c>
      <c r="E27" s="240" t="s">
        <v>310</v>
      </c>
      <c r="F27" s="376">
        <v>42388</v>
      </c>
      <c r="G27" s="137" t="s">
        <v>645</v>
      </c>
      <c r="H27" s="136">
        <v>12533400</v>
      </c>
      <c r="I27" s="136"/>
      <c r="J27" s="153"/>
      <c r="K27" s="153"/>
      <c r="L27" s="153"/>
      <c r="M27" s="231"/>
      <c r="N27" s="131" t="s">
        <v>180</v>
      </c>
      <c r="O27" s="131" t="s">
        <v>186</v>
      </c>
      <c r="P27" s="132">
        <f t="shared" si="0"/>
        <v>12533400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1"/>
      <c r="AB27" s="256" t="s">
        <v>249</v>
      </c>
      <c r="AC27" s="211"/>
      <c r="AD27" s="211"/>
      <c r="AE27" s="229"/>
    </row>
    <row r="28" spans="1:31" s="152" customFormat="1" x14ac:dyDescent="0.3">
      <c r="A28" s="842"/>
      <c r="B28" s="137">
        <v>21</v>
      </c>
      <c r="C28" s="239" t="s">
        <v>344</v>
      </c>
      <c r="D28" s="238" t="s">
        <v>644</v>
      </c>
      <c r="E28" s="240" t="s">
        <v>310</v>
      </c>
      <c r="F28" s="376">
        <v>42388</v>
      </c>
      <c r="G28" s="137" t="s">
        <v>643</v>
      </c>
      <c r="H28" s="136">
        <v>12533400</v>
      </c>
      <c r="I28" s="136"/>
      <c r="J28" s="153"/>
      <c r="K28" s="153"/>
      <c r="L28" s="153"/>
      <c r="M28" s="231"/>
      <c r="N28" s="131" t="s">
        <v>180</v>
      </c>
      <c r="O28" s="131" t="s">
        <v>186</v>
      </c>
      <c r="P28" s="132">
        <f t="shared" si="0"/>
        <v>12533400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1"/>
      <c r="AB28" s="256" t="s">
        <v>249</v>
      </c>
      <c r="AC28" s="211"/>
      <c r="AD28" s="211"/>
      <c r="AE28" s="229"/>
    </row>
    <row r="29" spans="1:31" s="152" customFormat="1" x14ac:dyDescent="0.3">
      <c r="A29" s="842"/>
      <c r="B29" s="137">
        <v>22</v>
      </c>
      <c r="C29" s="239" t="s">
        <v>639</v>
      </c>
      <c r="D29" s="238" t="s">
        <v>642</v>
      </c>
      <c r="E29" s="377">
        <v>2014</v>
      </c>
      <c r="F29" s="376">
        <v>42389</v>
      </c>
      <c r="G29" s="137" t="s">
        <v>641</v>
      </c>
      <c r="H29" s="136">
        <v>60000000</v>
      </c>
      <c r="I29" s="136"/>
      <c r="J29" s="153"/>
      <c r="K29" s="153"/>
      <c r="L29" s="153"/>
      <c r="M29" s="231"/>
      <c r="N29" s="131" t="s">
        <v>391</v>
      </c>
      <c r="O29" s="131" t="s">
        <v>227</v>
      </c>
      <c r="P29" s="132"/>
      <c r="Q29" s="132"/>
      <c r="R29" s="132"/>
      <c r="S29" s="132"/>
      <c r="T29" s="132"/>
      <c r="U29" s="132">
        <f t="shared" ref="U29:U34" si="1">H29</f>
        <v>60000000</v>
      </c>
      <c r="V29" s="132"/>
      <c r="W29" s="132"/>
      <c r="X29" s="132"/>
      <c r="Y29" s="132"/>
      <c r="Z29" s="132"/>
      <c r="AA29" s="131"/>
      <c r="AB29" s="256" t="s">
        <v>249</v>
      </c>
      <c r="AC29" s="211"/>
      <c r="AD29" s="211"/>
      <c r="AE29" s="229"/>
    </row>
    <row r="30" spans="1:31" s="152" customFormat="1" x14ac:dyDescent="0.3">
      <c r="A30" s="842"/>
      <c r="B30" s="137">
        <v>23</v>
      </c>
      <c r="C30" s="239" t="s">
        <v>639</v>
      </c>
      <c r="D30" s="238" t="s">
        <v>640</v>
      </c>
      <c r="E30" s="377"/>
      <c r="F30" s="376">
        <v>42389</v>
      </c>
      <c r="G30" s="137" t="s">
        <v>638</v>
      </c>
      <c r="H30" s="136">
        <v>45000000</v>
      </c>
      <c r="I30" s="135"/>
      <c r="J30" s="231"/>
      <c r="K30" s="231"/>
      <c r="L30" s="153"/>
      <c r="M30" s="231"/>
      <c r="N30" s="131" t="s">
        <v>391</v>
      </c>
      <c r="O30" s="131" t="s">
        <v>336</v>
      </c>
      <c r="P30" s="132"/>
      <c r="Q30" s="132"/>
      <c r="R30" s="132"/>
      <c r="S30" s="132"/>
      <c r="T30" s="132"/>
      <c r="U30" s="132">
        <f t="shared" si="1"/>
        <v>45000000</v>
      </c>
      <c r="V30" s="132"/>
      <c r="W30" s="132"/>
      <c r="X30" s="132"/>
      <c r="Y30" s="132"/>
      <c r="Z30" s="132"/>
      <c r="AA30" s="131"/>
      <c r="AB30" s="256" t="s">
        <v>249</v>
      </c>
      <c r="AC30" s="375">
        <f>H30</f>
        <v>45000000</v>
      </c>
      <c r="AD30" s="374"/>
      <c r="AE30" s="229"/>
    </row>
    <row r="31" spans="1:31" s="152" customFormat="1" x14ac:dyDescent="0.3">
      <c r="A31" s="842"/>
      <c r="B31" s="137">
        <v>24</v>
      </c>
      <c r="C31" s="239" t="s">
        <v>639</v>
      </c>
      <c r="D31" s="238" t="s">
        <v>634</v>
      </c>
      <c r="E31" s="377"/>
      <c r="F31" s="376">
        <v>42389</v>
      </c>
      <c r="G31" s="137" t="s">
        <v>638</v>
      </c>
      <c r="H31" s="136">
        <v>23100000</v>
      </c>
      <c r="I31" s="135"/>
      <c r="J31" s="231"/>
      <c r="K31" s="231"/>
      <c r="L31" s="153"/>
      <c r="M31" s="231"/>
      <c r="N31" s="131" t="s">
        <v>391</v>
      </c>
      <c r="O31" s="131" t="s">
        <v>227</v>
      </c>
      <c r="P31" s="132"/>
      <c r="Q31" s="132"/>
      <c r="R31" s="132"/>
      <c r="S31" s="132"/>
      <c r="T31" s="132"/>
      <c r="U31" s="132">
        <f t="shared" si="1"/>
        <v>23100000</v>
      </c>
      <c r="V31" s="132"/>
      <c r="W31" s="132"/>
      <c r="X31" s="132"/>
      <c r="Y31" s="132"/>
      <c r="Z31" s="132"/>
      <c r="AA31" s="131"/>
      <c r="AB31" s="256" t="s">
        <v>249</v>
      </c>
      <c r="AC31" s="375"/>
      <c r="AD31" s="374"/>
      <c r="AE31" s="229"/>
    </row>
    <row r="32" spans="1:31" s="152" customFormat="1" x14ac:dyDescent="0.3">
      <c r="A32" s="842"/>
      <c r="B32" s="137">
        <v>25</v>
      </c>
      <c r="C32" s="239" t="s">
        <v>635</v>
      </c>
      <c r="D32" s="238" t="s">
        <v>637</v>
      </c>
      <c r="E32" s="377"/>
      <c r="F32" s="376">
        <v>42389</v>
      </c>
      <c r="G32" s="137" t="s">
        <v>633</v>
      </c>
      <c r="H32" s="136">
        <v>300000000</v>
      </c>
      <c r="I32" s="135"/>
      <c r="J32" s="231"/>
      <c r="K32" s="231"/>
      <c r="L32" s="153"/>
      <c r="M32" s="231"/>
      <c r="N32" s="131" t="s">
        <v>391</v>
      </c>
      <c r="O32" s="131" t="s">
        <v>636</v>
      </c>
      <c r="P32" s="132"/>
      <c r="Q32" s="132"/>
      <c r="R32" s="132"/>
      <c r="S32" s="132"/>
      <c r="T32" s="132"/>
      <c r="U32" s="132">
        <f t="shared" si="1"/>
        <v>300000000</v>
      </c>
      <c r="V32" s="132"/>
      <c r="W32" s="132"/>
      <c r="X32" s="132"/>
      <c r="Y32" s="132"/>
      <c r="Z32" s="132"/>
      <c r="AA32" s="131"/>
      <c r="AB32" s="256" t="s">
        <v>249</v>
      </c>
      <c r="AC32" s="375"/>
      <c r="AD32" s="374"/>
      <c r="AE32" s="229"/>
    </row>
    <row r="33" spans="1:33" s="152" customFormat="1" x14ac:dyDescent="0.3">
      <c r="A33" s="842"/>
      <c r="B33" s="137">
        <v>26</v>
      </c>
      <c r="C33" s="239" t="s">
        <v>635</v>
      </c>
      <c r="D33" s="238" t="s">
        <v>634</v>
      </c>
      <c r="E33" s="377"/>
      <c r="F33" s="376">
        <v>42389</v>
      </c>
      <c r="G33" s="137" t="s">
        <v>633</v>
      </c>
      <c r="H33" s="136">
        <v>3600000</v>
      </c>
      <c r="I33" s="135"/>
      <c r="J33" s="231"/>
      <c r="K33" s="231"/>
      <c r="L33" s="153"/>
      <c r="M33" s="231"/>
      <c r="N33" s="131" t="s">
        <v>391</v>
      </c>
      <c r="O33" s="131" t="s">
        <v>227</v>
      </c>
      <c r="P33" s="132"/>
      <c r="Q33" s="132"/>
      <c r="R33" s="132"/>
      <c r="S33" s="132"/>
      <c r="T33" s="132"/>
      <c r="U33" s="132">
        <f t="shared" si="1"/>
        <v>3600000</v>
      </c>
      <c r="V33" s="132"/>
      <c r="W33" s="132"/>
      <c r="X33" s="132"/>
      <c r="Y33" s="132"/>
      <c r="Z33" s="132"/>
      <c r="AA33" s="131"/>
      <c r="AB33" s="256" t="s">
        <v>249</v>
      </c>
      <c r="AC33" s="375"/>
      <c r="AD33" s="374"/>
      <c r="AE33" s="229"/>
    </row>
    <row r="34" spans="1:33" s="152" customFormat="1" x14ac:dyDescent="0.3">
      <c r="A34" s="842"/>
      <c r="B34" s="137">
        <v>27</v>
      </c>
      <c r="C34" s="239" t="s">
        <v>632</v>
      </c>
      <c r="D34" s="238" t="s">
        <v>631</v>
      </c>
      <c r="E34" s="377"/>
      <c r="F34" s="376">
        <v>42394</v>
      </c>
      <c r="G34" s="137" t="s">
        <v>630</v>
      </c>
      <c r="H34" s="136">
        <v>208485000</v>
      </c>
      <c r="I34" s="135"/>
      <c r="J34" s="231"/>
      <c r="K34" s="231"/>
      <c r="L34" s="153"/>
      <c r="M34" s="231"/>
      <c r="N34" s="131" t="s">
        <v>391</v>
      </c>
      <c r="O34" s="131" t="s">
        <v>336</v>
      </c>
      <c r="P34" s="132"/>
      <c r="Q34" s="132"/>
      <c r="R34" s="132"/>
      <c r="S34" s="132"/>
      <c r="T34" s="132"/>
      <c r="U34" s="132">
        <f t="shared" si="1"/>
        <v>208485000</v>
      </c>
      <c r="V34" s="132"/>
      <c r="W34" s="132"/>
      <c r="X34" s="132"/>
      <c r="Y34" s="132"/>
      <c r="Z34" s="132"/>
      <c r="AA34" s="131"/>
      <c r="AB34" s="184" t="s">
        <v>178</v>
      </c>
      <c r="AC34" s="375"/>
      <c r="AD34" s="374"/>
      <c r="AE34" s="229"/>
    </row>
    <row r="35" spans="1:33" s="152" customFormat="1" x14ac:dyDescent="0.3">
      <c r="A35" s="842"/>
      <c r="B35" s="137">
        <v>28</v>
      </c>
      <c r="C35" s="222" t="s">
        <v>259</v>
      </c>
      <c r="D35" s="221" t="s">
        <v>286</v>
      </c>
      <c r="E35" s="220"/>
      <c r="F35" s="219">
        <v>42419</v>
      </c>
      <c r="G35" s="218" t="s">
        <v>628</v>
      </c>
      <c r="H35" s="217">
        <v>27000000</v>
      </c>
      <c r="I35" s="136"/>
      <c r="J35" s="136">
        <f>H35*10%</f>
        <v>2700000</v>
      </c>
      <c r="K35" s="136">
        <f>H35*2%</f>
        <v>540000</v>
      </c>
      <c r="L35" s="153">
        <f>H35+J35</f>
        <v>29700000</v>
      </c>
      <c r="M35" s="135">
        <f>H35+J35-K35</f>
        <v>29160000</v>
      </c>
      <c r="N35" s="216" t="s">
        <v>180</v>
      </c>
      <c r="O35" s="216" t="s">
        <v>199</v>
      </c>
      <c r="P35" s="213"/>
      <c r="Q35" s="215">
        <f>H35</f>
        <v>27000000</v>
      </c>
      <c r="R35" s="215"/>
      <c r="S35" s="215"/>
      <c r="T35" s="215"/>
      <c r="U35" s="215"/>
      <c r="V35" s="215"/>
      <c r="W35" s="215"/>
      <c r="X35" s="214"/>
      <c r="Y35" s="213"/>
      <c r="Z35" s="213"/>
      <c r="AA35" s="212"/>
      <c r="AB35" s="256" t="s">
        <v>249</v>
      </c>
      <c r="AC35" s="211">
        <f>H35</f>
        <v>27000000</v>
      </c>
      <c r="AD35" s="211"/>
      <c r="AE35" s="179"/>
    </row>
    <row r="36" spans="1:33" s="152" customFormat="1" x14ac:dyDescent="0.3">
      <c r="A36" s="842"/>
      <c r="B36" s="137">
        <v>29</v>
      </c>
      <c r="C36" s="222" t="s">
        <v>259</v>
      </c>
      <c r="D36" s="221" t="s">
        <v>305</v>
      </c>
      <c r="E36" s="220" t="s">
        <v>629</v>
      </c>
      <c r="F36" s="219">
        <v>42419</v>
      </c>
      <c r="G36" s="218" t="s">
        <v>628</v>
      </c>
      <c r="H36" s="217">
        <v>151875000</v>
      </c>
      <c r="I36" s="285"/>
      <c r="J36" s="285"/>
      <c r="K36" s="285"/>
      <c r="L36" s="284"/>
      <c r="M36" s="283"/>
      <c r="N36" s="282" t="s">
        <v>180</v>
      </c>
      <c r="O36" s="216" t="s">
        <v>199</v>
      </c>
      <c r="P36" s="213"/>
      <c r="Q36" s="281">
        <f>H36</f>
        <v>151875000</v>
      </c>
      <c r="R36" s="281"/>
      <c r="S36" s="281"/>
      <c r="T36" s="281"/>
      <c r="U36" s="281"/>
      <c r="V36" s="281"/>
      <c r="W36" s="281"/>
      <c r="X36" s="268"/>
      <c r="Y36" s="268"/>
      <c r="Z36" s="268"/>
      <c r="AA36" s="212"/>
      <c r="AB36" s="256" t="s">
        <v>249</v>
      </c>
      <c r="AC36" s="233"/>
      <c r="AD36" s="233"/>
      <c r="AE36" s="161"/>
    </row>
    <row r="37" spans="1:33" s="152" customFormat="1" x14ac:dyDescent="0.3">
      <c r="A37" s="842"/>
      <c r="B37" s="137">
        <v>30</v>
      </c>
      <c r="C37" s="222" t="s">
        <v>259</v>
      </c>
      <c r="D37" s="221" t="s">
        <v>305</v>
      </c>
      <c r="E37" s="220" t="s">
        <v>599</v>
      </c>
      <c r="F37" s="219">
        <v>42419</v>
      </c>
      <c r="G37" s="218" t="s">
        <v>628</v>
      </c>
      <c r="H37" s="217">
        <v>33750000</v>
      </c>
      <c r="I37" s="285"/>
      <c r="J37" s="285"/>
      <c r="K37" s="285"/>
      <c r="L37" s="284"/>
      <c r="M37" s="283"/>
      <c r="N37" s="282" t="s">
        <v>180</v>
      </c>
      <c r="O37" s="216" t="s">
        <v>199</v>
      </c>
      <c r="P37" s="213"/>
      <c r="Q37" s="281">
        <f>H37</f>
        <v>33750000</v>
      </c>
      <c r="R37" s="281"/>
      <c r="S37" s="281"/>
      <c r="T37" s="281"/>
      <c r="U37" s="281"/>
      <c r="V37" s="281"/>
      <c r="W37" s="281"/>
      <c r="X37" s="268"/>
      <c r="Y37" s="268"/>
      <c r="Z37" s="268"/>
      <c r="AA37" s="212"/>
      <c r="AB37" s="256" t="s">
        <v>249</v>
      </c>
      <c r="AC37" s="233"/>
      <c r="AD37" s="233"/>
      <c r="AE37" s="161"/>
    </row>
    <row r="38" spans="1:33" s="152" customFormat="1" x14ac:dyDescent="0.3">
      <c r="A38" s="842"/>
      <c r="B38" s="137">
        <v>31</v>
      </c>
      <c r="C38" s="239" t="s">
        <v>259</v>
      </c>
      <c r="D38" s="238" t="s">
        <v>263</v>
      </c>
      <c r="E38" s="377"/>
      <c r="F38" s="376">
        <v>42395</v>
      </c>
      <c r="G38" s="137" t="s">
        <v>627</v>
      </c>
      <c r="H38" s="136">
        <v>13324350</v>
      </c>
      <c r="I38" s="135"/>
      <c r="J38" s="231"/>
      <c r="K38" s="231"/>
      <c r="L38" s="153"/>
      <c r="M38" s="231"/>
      <c r="N38" s="131" t="s">
        <v>180</v>
      </c>
      <c r="O38" s="216" t="s">
        <v>199</v>
      </c>
      <c r="P38" s="132"/>
      <c r="Q38" s="132">
        <f>H38</f>
        <v>13324350</v>
      </c>
      <c r="R38" s="132"/>
      <c r="S38" s="132"/>
      <c r="T38" s="132"/>
      <c r="U38" s="132"/>
      <c r="V38" s="132"/>
      <c r="W38" s="132"/>
      <c r="X38" s="132"/>
      <c r="Y38" s="132"/>
      <c r="Z38" s="132"/>
      <c r="AA38" s="131"/>
      <c r="AB38" s="256" t="s">
        <v>249</v>
      </c>
      <c r="AC38" s="375"/>
      <c r="AD38" s="374"/>
      <c r="AE38" s="229"/>
    </row>
    <row r="39" spans="1:33" s="152" customFormat="1" x14ac:dyDescent="0.3">
      <c r="A39" s="842"/>
      <c r="B39" s="137">
        <v>32</v>
      </c>
      <c r="C39" s="239" t="s">
        <v>570</v>
      </c>
      <c r="D39" s="238" t="s">
        <v>60</v>
      </c>
      <c r="E39" s="377"/>
      <c r="F39" s="376">
        <v>42395</v>
      </c>
      <c r="G39" s="137" t="s">
        <v>626</v>
      </c>
      <c r="H39" s="136">
        <v>55596000</v>
      </c>
      <c r="I39" s="135"/>
      <c r="J39" s="231"/>
      <c r="K39" s="231"/>
      <c r="L39" s="153"/>
      <c r="M39" s="231"/>
      <c r="N39" s="131" t="s">
        <v>391</v>
      </c>
      <c r="O39" s="131"/>
      <c r="P39" s="132"/>
      <c r="Q39" s="132"/>
      <c r="R39" s="132"/>
      <c r="S39" s="132"/>
      <c r="T39" s="132"/>
      <c r="U39" s="132">
        <f>H39</f>
        <v>55596000</v>
      </c>
      <c r="V39" s="132"/>
      <c r="W39" s="132"/>
      <c r="X39" s="132"/>
      <c r="Y39" s="132"/>
      <c r="Z39" s="132"/>
      <c r="AA39" s="131"/>
      <c r="AB39" s="256" t="s">
        <v>249</v>
      </c>
      <c r="AC39" s="375"/>
      <c r="AD39" s="374"/>
      <c r="AE39" s="229"/>
    </row>
    <row r="40" spans="1:33" s="371" customFormat="1" x14ac:dyDescent="0.3">
      <c r="A40" s="843"/>
      <c r="B40" s="127" t="s">
        <v>625</v>
      </c>
      <c r="C40" s="126"/>
      <c r="D40" s="126"/>
      <c r="E40" s="126"/>
      <c r="F40" s="126"/>
      <c r="G40" s="125"/>
      <c r="H40" s="160">
        <f>SUM(H8:H39)</f>
        <v>1918034152</v>
      </c>
      <c r="I40" s="160"/>
      <c r="J40" s="160">
        <f>SUM(J8:J39)</f>
        <v>34700000</v>
      </c>
      <c r="K40" s="160">
        <f>SUM(K8:K39)</f>
        <v>6940000</v>
      </c>
      <c r="L40" s="160">
        <f>SUM(L8:L39)</f>
        <v>381700000</v>
      </c>
      <c r="M40" s="160">
        <f>SUM(M8:M39)</f>
        <v>374760000</v>
      </c>
      <c r="N40" s="160"/>
      <c r="O40" s="160"/>
      <c r="P40" s="373">
        <f t="shared" ref="P40:AA40" si="2">SUM(P8:P39)</f>
        <v>130532600</v>
      </c>
      <c r="Q40" s="373">
        <f t="shared" si="2"/>
        <v>288616350</v>
      </c>
      <c r="R40" s="373">
        <f t="shared" si="2"/>
        <v>50133600</v>
      </c>
      <c r="S40" s="373">
        <f t="shared" si="2"/>
        <v>33422400</v>
      </c>
      <c r="T40" s="373">
        <f t="shared" si="2"/>
        <v>0</v>
      </c>
      <c r="U40" s="373">
        <f t="shared" si="2"/>
        <v>750981000</v>
      </c>
      <c r="V40" s="373">
        <f t="shared" si="2"/>
        <v>0</v>
      </c>
      <c r="W40" s="373">
        <f t="shared" si="2"/>
        <v>320000000</v>
      </c>
      <c r="X40" s="373">
        <f t="shared" si="2"/>
        <v>0</v>
      </c>
      <c r="Y40" s="373">
        <f t="shared" si="2"/>
        <v>0</v>
      </c>
      <c r="Z40" s="373">
        <f t="shared" si="2"/>
        <v>344348202</v>
      </c>
      <c r="AA40" s="157">
        <f t="shared" si="2"/>
        <v>0</v>
      </c>
      <c r="AB40" s="372"/>
      <c r="AC40" s="160">
        <f>SUM(AC8:AC30)</f>
        <v>382732000</v>
      </c>
      <c r="AD40" s="160">
        <f>SUM(AD8:AD30)</f>
        <v>0</v>
      </c>
      <c r="AE40" s="199"/>
      <c r="AG40" s="115">
        <f>L40-(SUM(P40:X40))</f>
        <v>-1191985950</v>
      </c>
    </row>
    <row r="41" spans="1:33" s="361" customFormat="1" x14ac:dyDescent="0.3">
      <c r="A41" s="349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8"/>
      <c r="O41" s="348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6"/>
      <c r="AB41" s="346"/>
      <c r="AC41" s="346"/>
      <c r="AD41" s="346"/>
      <c r="AE41" s="345"/>
    </row>
    <row r="42" spans="1:33" s="152" customFormat="1" x14ac:dyDescent="0.3">
      <c r="A42" s="844" t="s">
        <v>624</v>
      </c>
      <c r="B42" s="218">
        <v>33</v>
      </c>
      <c r="C42" s="222" t="s">
        <v>570</v>
      </c>
      <c r="D42" s="221" t="s">
        <v>623</v>
      </c>
      <c r="E42" s="220"/>
      <c r="F42" s="219">
        <v>42402</v>
      </c>
      <c r="G42" s="218" t="s">
        <v>622</v>
      </c>
      <c r="H42" s="217">
        <v>104122500</v>
      </c>
      <c r="I42" s="217"/>
      <c r="J42" s="217">
        <f t="shared" ref="J42:J54" si="3">H42*10%</f>
        <v>10412250</v>
      </c>
      <c r="K42" s="217">
        <f t="shared" ref="K42:K54" si="4">H42*2%</f>
        <v>2082450</v>
      </c>
      <c r="L42" s="153">
        <f t="shared" ref="L42:L54" si="5">H42+J42</f>
        <v>114534750</v>
      </c>
      <c r="M42" s="227">
        <f t="shared" ref="M42:M54" si="6">H42+J42-K42</f>
        <v>112452300</v>
      </c>
      <c r="N42" s="216"/>
      <c r="O42" s="216"/>
      <c r="P42" s="226"/>
      <c r="Q42" s="226"/>
      <c r="R42" s="226"/>
      <c r="S42" s="226"/>
      <c r="T42" s="226"/>
      <c r="U42" s="226"/>
      <c r="V42" s="226"/>
      <c r="W42" s="226"/>
      <c r="X42" s="225"/>
      <c r="Y42" s="225"/>
      <c r="Z42" s="225"/>
      <c r="AA42" s="212"/>
      <c r="AB42" s="256" t="s">
        <v>249</v>
      </c>
      <c r="AC42" s="224">
        <f t="shared" ref="AC42:AC50" si="7">H42</f>
        <v>104122500</v>
      </c>
      <c r="AD42" s="224"/>
      <c r="AE42" s="370"/>
    </row>
    <row r="43" spans="1:33" s="152" customFormat="1" x14ac:dyDescent="0.3">
      <c r="A43" s="845"/>
      <c r="B43" s="218">
        <v>34</v>
      </c>
      <c r="C43" s="222" t="s">
        <v>507</v>
      </c>
      <c r="D43" s="221" t="s">
        <v>583</v>
      </c>
      <c r="E43" s="220"/>
      <c r="F43" s="219">
        <v>42403</v>
      </c>
      <c r="G43" s="218" t="s">
        <v>621</v>
      </c>
      <c r="H43" s="217">
        <v>15000000</v>
      </c>
      <c r="I43" s="136"/>
      <c r="J43" s="136">
        <f t="shared" si="3"/>
        <v>1500000</v>
      </c>
      <c r="K43" s="136">
        <f t="shared" si="4"/>
        <v>300000</v>
      </c>
      <c r="L43" s="153">
        <f t="shared" si="5"/>
        <v>16500000</v>
      </c>
      <c r="M43" s="135">
        <f t="shared" si="6"/>
        <v>16200000</v>
      </c>
      <c r="N43" s="134" t="s">
        <v>503</v>
      </c>
      <c r="O43" s="134"/>
      <c r="P43" s="133"/>
      <c r="Q43" s="133"/>
      <c r="R43" s="133"/>
      <c r="S43" s="133"/>
      <c r="T43" s="133"/>
      <c r="U43" s="133"/>
      <c r="V43" s="133"/>
      <c r="W43" s="133">
        <f>H43</f>
        <v>15000000</v>
      </c>
      <c r="X43" s="132"/>
      <c r="Y43" s="225"/>
      <c r="Z43" s="225"/>
      <c r="AA43" s="212"/>
      <c r="AB43" s="256" t="s">
        <v>249</v>
      </c>
      <c r="AC43" s="211">
        <f t="shared" si="7"/>
        <v>15000000</v>
      </c>
      <c r="AD43" s="211"/>
      <c r="AE43" s="229"/>
    </row>
    <row r="44" spans="1:33" s="152" customFormat="1" x14ac:dyDescent="0.3">
      <c r="A44" s="845"/>
      <c r="B44" s="218">
        <v>35</v>
      </c>
      <c r="C44" s="222" t="s">
        <v>507</v>
      </c>
      <c r="D44" s="221" t="s">
        <v>583</v>
      </c>
      <c r="E44" s="220"/>
      <c r="F44" s="219">
        <v>42403</v>
      </c>
      <c r="G44" s="218" t="s">
        <v>621</v>
      </c>
      <c r="H44" s="217">
        <v>20000000</v>
      </c>
      <c r="I44" s="136"/>
      <c r="J44" s="136">
        <f t="shared" si="3"/>
        <v>2000000</v>
      </c>
      <c r="K44" s="136">
        <f t="shared" si="4"/>
        <v>400000</v>
      </c>
      <c r="L44" s="153">
        <f t="shared" si="5"/>
        <v>22000000</v>
      </c>
      <c r="M44" s="135">
        <f t="shared" si="6"/>
        <v>21600000</v>
      </c>
      <c r="N44" s="134" t="s">
        <v>503</v>
      </c>
      <c r="O44" s="134"/>
      <c r="P44" s="133"/>
      <c r="Q44" s="133"/>
      <c r="R44" s="133"/>
      <c r="S44" s="133"/>
      <c r="T44" s="133"/>
      <c r="U44" s="133"/>
      <c r="V44" s="133"/>
      <c r="W44" s="133">
        <f>H44</f>
        <v>20000000</v>
      </c>
      <c r="X44" s="132"/>
      <c r="Y44" s="225"/>
      <c r="Z44" s="225"/>
      <c r="AA44" s="212"/>
      <c r="AB44" s="256" t="s">
        <v>249</v>
      </c>
      <c r="AC44" s="211">
        <f t="shared" si="7"/>
        <v>20000000</v>
      </c>
      <c r="AD44" s="211"/>
      <c r="AE44" s="229"/>
    </row>
    <row r="45" spans="1:33" s="152" customFormat="1" x14ac:dyDescent="0.3">
      <c r="A45" s="845"/>
      <c r="B45" s="218">
        <v>36</v>
      </c>
      <c r="C45" s="222" t="s">
        <v>507</v>
      </c>
      <c r="D45" s="221" t="s">
        <v>583</v>
      </c>
      <c r="E45" s="220"/>
      <c r="F45" s="219">
        <v>42403</v>
      </c>
      <c r="G45" s="218" t="s">
        <v>621</v>
      </c>
      <c r="H45" s="217">
        <v>99000000</v>
      </c>
      <c r="I45" s="136"/>
      <c r="J45" s="136">
        <f t="shared" si="3"/>
        <v>9900000</v>
      </c>
      <c r="K45" s="136">
        <f t="shared" si="4"/>
        <v>1980000</v>
      </c>
      <c r="L45" s="153">
        <f t="shared" si="5"/>
        <v>108900000</v>
      </c>
      <c r="M45" s="135">
        <f t="shared" si="6"/>
        <v>106920000</v>
      </c>
      <c r="N45" s="134" t="s">
        <v>503</v>
      </c>
      <c r="O45" s="134"/>
      <c r="P45" s="133"/>
      <c r="Q45" s="133"/>
      <c r="R45" s="133"/>
      <c r="S45" s="133"/>
      <c r="T45" s="133"/>
      <c r="U45" s="133"/>
      <c r="V45" s="133"/>
      <c r="W45" s="133">
        <f>H45</f>
        <v>99000000</v>
      </c>
      <c r="X45" s="132"/>
      <c r="Y45" s="225"/>
      <c r="Z45" s="225"/>
      <c r="AA45" s="212"/>
      <c r="AB45" s="256" t="s">
        <v>249</v>
      </c>
      <c r="AC45" s="211">
        <f t="shared" si="7"/>
        <v>99000000</v>
      </c>
      <c r="AD45" s="211"/>
      <c r="AE45" s="229"/>
    </row>
    <row r="46" spans="1:33" s="152" customFormat="1" x14ac:dyDescent="0.3">
      <c r="A46" s="845"/>
      <c r="B46" s="218">
        <v>37</v>
      </c>
      <c r="C46" s="222" t="s">
        <v>202</v>
      </c>
      <c r="D46" s="221" t="s">
        <v>314</v>
      </c>
      <c r="E46" s="220" t="s">
        <v>608</v>
      </c>
      <c r="F46" s="219">
        <v>42409</v>
      </c>
      <c r="G46" s="218" t="s">
        <v>620</v>
      </c>
      <c r="H46" s="217">
        <v>4146000</v>
      </c>
      <c r="I46" s="136"/>
      <c r="J46" s="136">
        <f t="shared" si="3"/>
        <v>414600</v>
      </c>
      <c r="K46" s="136">
        <f t="shared" si="4"/>
        <v>82920</v>
      </c>
      <c r="L46" s="153">
        <f t="shared" si="5"/>
        <v>4560600</v>
      </c>
      <c r="M46" s="135">
        <f t="shared" si="6"/>
        <v>4477680</v>
      </c>
      <c r="N46" s="216" t="s">
        <v>180</v>
      </c>
      <c r="O46" s="216" t="s">
        <v>186</v>
      </c>
      <c r="P46" s="213">
        <f>H46</f>
        <v>4146000</v>
      </c>
      <c r="Q46" s="215"/>
      <c r="R46" s="215"/>
      <c r="S46" s="215"/>
      <c r="T46" s="215"/>
      <c r="U46" s="215"/>
      <c r="V46" s="215"/>
      <c r="W46" s="215"/>
      <c r="X46" s="214"/>
      <c r="Y46" s="213"/>
      <c r="Z46" s="213"/>
      <c r="AA46" s="212"/>
      <c r="AB46" s="256" t="s">
        <v>249</v>
      </c>
      <c r="AC46" s="211">
        <f t="shared" si="7"/>
        <v>4146000</v>
      </c>
      <c r="AD46" s="211"/>
      <c r="AE46" s="229"/>
    </row>
    <row r="47" spans="1:33" s="152" customFormat="1" x14ac:dyDescent="0.3">
      <c r="A47" s="845"/>
      <c r="B47" s="218">
        <v>38</v>
      </c>
      <c r="C47" s="222" t="s">
        <v>202</v>
      </c>
      <c r="D47" s="221" t="s">
        <v>201</v>
      </c>
      <c r="E47" s="220" t="s">
        <v>608</v>
      </c>
      <c r="F47" s="219">
        <v>42409</v>
      </c>
      <c r="G47" s="218" t="s">
        <v>619</v>
      </c>
      <c r="H47" s="217">
        <v>13820000</v>
      </c>
      <c r="I47" s="136"/>
      <c r="J47" s="136">
        <f t="shared" si="3"/>
        <v>1382000</v>
      </c>
      <c r="K47" s="136">
        <f t="shared" si="4"/>
        <v>276400</v>
      </c>
      <c r="L47" s="153">
        <f t="shared" si="5"/>
        <v>15202000</v>
      </c>
      <c r="M47" s="135">
        <f t="shared" si="6"/>
        <v>14925600</v>
      </c>
      <c r="N47" s="216" t="s">
        <v>180</v>
      </c>
      <c r="O47" s="216" t="s">
        <v>227</v>
      </c>
      <c r="P47" s="213">
        <f>H47</f>
        <v>13820000</v>
      </c>
      <c r="Q47" s="215"/>
      <c r="R47" s="215"/>
      <c r="S47" s="215"/>
      <c r="T47" s="215"/>
      <c r="U47" s="215"/>
      <c r="V47" s="215"/>
      <c r="W47" s="215"/>
      <c r="X47" s="214"/>
      <c r="Y47" s="213"/>
      <c r="Z47" s="213"/>
      <c r="AA47" s="212"/>
      <c r="AB47" s="256" t="s">
        <v>249</v>
      </c>
      <c r="AC47" s="211">
        <f t="shared" si="7"/>
        <v>13820000</v>
      </c>
      <c r="AD47" s="211"/>
      <c r="AE47" s="229"/>
    </row>
    <row r="48" spans="1:33" s="152" customFormat="1" x14ac:dyDescent="0.3">
      <c r="A48" s="845"/>
      <c r="B48" s="218">
        <v>39</v>
      </c>
      <c r="C48" s="222" t="s">
        <v>618</v>
      </c>
      <c r="D48" s="221" t="s">
        <v>263</v>
      </c>
      <c r="E48" s="220"/>
      <c r="F48" s="219">
        <v>42410</v>
      </c>
      <c r="G48" s="218" t="s">
        <v>617</v>
      </c>
      <c r="H48" s="217">
        <v>75000000</v>
      </c>
      <c r="I48" s="136"/>
      <c r="J48" s="136">
        <f t="shared" si="3"/>
        <v>7500000</v>
      </c>
      <c r="K48" s="136">
        <f t="shared" si="4"/>
        <v>1500000</v>
      </c>
      <c r="L48" s="153">
        <f t="shared" si="5"/>
        <v>82500000</v>
      </c>
      <c r="M48" s="135">
        <f t="shared" si="6"/>
        <v>81000000</v>
      </c>
      <c r="N48" s="216"/>
      <c r="O48" s="216"/>
      <c r="P48" s="213"/>
      <c r="Q48" s="215"/>
      <c r="R48" s="215"/>
      <c r="S48" s="215"/>
      <c r="T48" s="215"/>
      <c r="U48" s="215"/>
      <c r="V48" s="215"/>
      <c r="W48" s="215"/>
      <c r="X48" s="214"/>
      <c r="Y48" s="213"/>
      <c r="Z48" s="213"/>
      <c r="AA48" s="212"/>
      <c r="AB48" s="256" t="s">
        <v>249</v>
      </c>
      <c r="AC48" s="211">
        <f t="shared" si="7"/>
        <v>75000000</v>
      </c>
      <c r="AD48" s="211"/>
      <c r="AE48" s="229"/>
    </row>
    <row r="49" spans="1:31" s="152" customFormat="1" x14ac:dyDescent="0.3">
      <c r="A49" s="845"/>
      <c r="B49" s="218">
        <v>40</v>
      </c>
      <c r="C49" s="222" t="s">
        <v>618</v>
      </c>
      <c r="D49" s="221" t="s">
        <v>263</v>
      </c>
      <c r="E49" s="220"/>
      <c r="F49" s="219">
        <v>42410</v>
      </c>
      <c r="G49" s="218" t="s">
        <v>617</v>
      </c>
      <c r="H49" s="217">
        <v>60000000</v>
      </c>
      <c r="I49" s="136"/>
      <c r="J49" s="136">
        <f t="shared" si="3"/>
        <v>6000000</v>
      </c>
      <c r="K49" s="136">
        <f t="shared" si="4"/>
        <v>1200000</v>
      </c>
      <c r="L49" s="153">
        <f t="shared" si="5"/>
        <v>66000000</v>
      </c>
      <c r="M49" s="135">
        <f t="shared" si="6"/>
        <v>64800000</v>
      </c>
      <c r="N49" s="216"/>
      <c r="O49" s="216"/>
      <c r="P49" s="213"/>
      <c r="Q49" s="215"/>
      <c r="R49" s="215"/>
      <c r="S49" s="215"/>
      <c r="T49" s="215"/>
      <c r="U49" s="215"/>
      <c r="V49" s="215"/>
      <c r="W49" s="215"/>
      <c r="X49" s="214"/>
      <c r="Y49" s="213"/>
      <c r="Z49" s="213"/>
      <c r="AA49" s="212"/>
      <c r="AB49" s="256" t="s">
        <v>249</v>
      </c>
      <c r="AC49" s="211">
        <f t="shared" si="7"/>
        <v>60000000</v>
      </c>
      <c r="AD49" s="211"/>
      <c r="AE49" s="229"/>
    </row>
    <row r="50" spans="1:31" s="152" customFormat="1" x14ac:dyDescent="0.3">
      <c r="A50" s="845"/>
      <c r="B50" s="218">
        <v>41</v>
      </c>
      <c r="C50" s="222" t="s">
        <v>618</v>
      </c>
      <c r="D50" s="221" t="s">
        <v>263</v>
      </c>
      <c r="E50" s="220"/>
      <c r="F50" s="219">
        <v>42410</v>
      </c>
      <c r="G50" s="218" t="s">
        <v>617</v>
      </c>
      <c r="H50" s="217">
        <v>15000000</v>
      </c>
      <c r="I50" s="136"/>
      <c r="J50" s="136">
        <f t="shared" si="3"/>
        <v>1500000</v>
      </c>
      <c r="K50" s="136">
        <f t="shared" si="4"/>
        <v>300000</v>
      </c>
      <c r="L50" s="153">
        <f t="shared" si="5"/>
        <v>16500000</v>
      </c>
      <c r="M50" s="135">
        <f t="shared" si="6"/>
        <v>16200000</v>
      </c>
      <c r="N50" s="216"/>
      <c r="O50" s="216"/>
      <c r="P50" s="213"/>
      <c r="Q50" s="215"/>
      <c r="R50" s="215"/>
      <c r="S50" s="215"/>
      <c r="T50" s="215"/>
      <c r="U50" s="215"/>
      <c r="V50" s="215"/>
      <c r="W50" s="215"/>
      <c r="X50" s="214"/>
      <c r="Y50" s="213"/>
      <c r="Z50" s="213"/>
      <c r="AA50" s="212"/>
      <c r="AB50" s="256" t="s">
        <v>249</v>
      </c>
      <c r="AC50" s="211">
        <f t="shared" si="7"/>
        <v>15000000</v>
      </c>
      <c r="AD50" s="211"/>
      <c r="AE50" s="210"/>
    </row>
    <row r="51" spans="1:31" s="152" customFormat="1" x14ac:dyDescent="0.3">
      <c r="A51" s="845"/>
      <c r="B51" s="218">
        <v>42</v>
      </c>
      <c r="C51" s="222" t="s">
        <v>298</v>
      </c>
      <c r="D51" s="221" t="s">
        <v>201</v>
      </c>
      <c r="E51" s="220" t="s">
        <v>553</v>
      </c>
      <c r="F51" s="219">
        <v>42410</v>
      </c>
      <c r="G51" s="218" t="s">
        <v>616</v>
      </c>
      <c r="H51" s="217">
        <v>81224273</v>
      </c>
      <c r="I51" s="136"/>
      <c r="J51" s="136">
        <f t="shared" si="3"/>
        <v>8122427.3000000007</v>
      </c>
      <c r="K51" s="136">
        <f t="shared" si="4"/>
        <v>1624485.46</v>
      </c>
      <c r="L51" s="153">
        <f t="shared" si="5"/>
        <v>89346700.299999997</v>
      </c>
      <c r="M51" s="135">
        <f t="shared" si="6"/>
        <v>87722214.840000004</v>
      </c>
      <c r="N51" s="216" t="s">
        <v>180</v>
      </c>
      <c r="O51" s="216" t="s">
        <v>199</v>
      </c>
      <c r="P51" s="213"/>
      <c r="Q51" s="215">
        <f>H51</f>
        <v>81224273</v>
      </c>
      <c r="R51" s="215"/>
      <c r="S51" s="215"/>
      <c r="T51" s="215"/>
      <c r="U51" s="215"/>
      <c r="V51" s="215"/>
      <c r="W51" s="215"/>
      <c r="X51" s="214"/>
      <c r="Y51" s="213"/>
      <c r="Z51" s="213"/>
      <c r="AA51" s="212"/>
      <c r="AB51" s="256" t="s">
        <v>249</v>
      </c>
      <c r="AC51" s="211"/>
      <c r="AD51" s="211"/>
      <c r="AE51" s="210"/>
    </row>
    <row r="52" spans="1:31" s="152" customFormat="1" x14ac:dyDescent="0.3">
      <c r="A52" s="845"/>
      <c r="B52" s="218">
        <v>43</v>
      </c>
      <c r="C52" s="222" t="s">
        <v>216</v>
      </c>
      <c r="D52" s="221" t="s">
        <v>615</v>
      </c>
      <c r="E52" s="220" t="s">
        <v>585</v>
      </c>
      <c r="F52" s="219">
        <v>42411</v>
      </c>
      <c r="G52" s="218" t="s">
        <v>612</v>
      </c>
      <c r="H52" s="217">
        <v>20487000</v>
      </c>
      <c r="I52" s="136"/>
      <c r="J52" s="136">
        <f t="shared" si="3"/>
        <v>2048700</v>
      </c>
      <c r="K52" s="136">
        <f t="shared" si="4"/>
        <v>409740</v>
      </c>
      <c r="L52" s="153">
        <f t="shared" si="5"/>
        <v>22535700</v>
      </c>
      <c r="M52" s="135">
        <f t="shared" si="6"/>
        <v>22125960</v>
      </c>
      <c r="N52" s="216" t="s">
        <v>180</v>
      </c>
      <c r="O52" s="216" t="s">
        <v>186</v>
      </c>
      <c r="P52" s="213"/>
      <c r="Q52" s="215"/>
      <c r="R52" s="215">
        <f>H52</f>
        <v>20487000</v>
      </c>
      <c r="S52" s="215"/>
      <c r="T52" s="215"/>
      <c r="U52" s="215"/>
      <c r="V52" s="215"/>
      <c r="W52" s="215"/>
      <c r="X52" s="214"/>
      <c r="Y52" s="213"/>
      <c r="Z52" s="213"/>
      <c r="AA52" s="212"/>
      <c r="AB52" s="256" t="s">
        <v>249</v>
      </c>
      <c r="AC52" s="211">
        <v>25276000</v>
      </c>
      <c r="AD52" s="211"/>
      <c r="AE52" s="210"/>
    </row>
    <row r="53" spans="1:31" s="152" customFormat="1" x14ac:dyDescent="0.3">
      <c r="A53" s="845"/>
      <c r="B53" s="218">
        <v>44</v>
      </c>
      <c r="C53" s="222" t="s">
        <v>216</v>
      </c>
      <c r="D53" s="221" t="s">
        <v>614</v>
      </c>
      <c r="E53" s="220" t="s">
        <v>613</v>
      </c>
      <c r="F53" s="219">
        <v>42411</v>
      </c>
      <c r="G53" s="218" t="s">
        <v>612</v>
      </c>
      <c r="H53" s="217">
        <v>6829000</v>
      </c>
      <c r="I53" s="136"/>
      <c r="J53" s="136">
        <f t="shared" si="3"/>
        <v>682900</v>
      </c>
      <c r="K53" s="136">
        <f t="shared" si="4"/>
        <v>136580</v>
      </c>
      <c r="L53" s="153">
        <f t="shared" si="5"/>
        <v>7511900</v>
      </c>
      <c r="M53" s="135">
        <f t="shared" si="6"/>
        <v>7375320</v>
      </c>
      <c r="N53" s="216" t="s">
        <v>180</v>
      </c>
      <c r="O53" s="216" t="s">
        <v>227</v>
      </c>
      <c r="P53" s="213"/>
      <c r="Q53" s="215"/>
      <c r="R53" s="215">
        <f>H53</f>
        <v>6829000</v>
      </c>
      <c r="S53" s="215"/>
      <c r="T53" s="215"/>
      <c r="U53" s="215"/>
      <c r="V53" s="215"/>
      <c r="W53" s="215"/>
      <c r="X53" s="214"/>
      <c r="Y53" s="213"/>
      <c r="Z53" s="213"/>
      <c r="AA53" s="212"/>
      <c r="AB53" s="256" t="s">
        <v>249</v>
      </c>
      <c r="AC53" s="211">
        <f>H53</f>
        <v>6829000</v>
      </c>
      <c r="AD53" s="211"/>
      <c r="AE53" s="210"/>
    </row>
    <row r="54" spans="1:31" s="152" customFormat="1" x14ac:dyDescent="0.3">
      <c r="A54" s="845"/>
      <c r="B54" s="218">
        <v>45</v>
      </c>
      <c r="C54" s="222" t="s">
        <v>216</v>
      </c>
      <c r="D54" s="221" t="s">
        <v>215</v>
      </c>
      <c r="E54" s="220" t="s">
        <v>553</v>
      </c>
      <c r="F54" s="219">
        <v>42411</v>
      </c>
      <c r="G54" s="218" t="s">
        <v>611</v>
      </c>
      <c r="H54" s="217">
        <v>32779200</v>
      </c>
      <c r="I54" s="136"/>
      <c r="J54" s="136">
        <f t="shared" si="3"/>
        <v>3277920</v>
      </c>
      <c r="K54" s="136">
        <f t="shared" si="4"/>
        <v>655584</v>
      </c>
      <c r="L54" s="153">
        <f t="shared" si="5"/>
        <v>36057120</v>
      </c>
      <c r="M54" s="135">
        <f t="shared" si="6"/>
        <v>35401536</v>
      </c>
      <c r="N54" s="216" t="s">
        <v>180</v>
      </c>
      <c r="O54" s="216" t="s">
        <v>212</v>
      </c>
      <c r="P54" s="213"/>
      <c r="Q54" s="215"/>
      <c r="R54" s="215">
        <f>H54</f>
        <v>32779200</v>
      </c>
      <c r="S54" s="215"/>
      <c r="T54" s="215"/>
      <c r="U54" s="215"/>
      <c r="V54" s="215"/>
      <c r="W54" s="215"/>
      <c r="X54" s="214"/>
      <c r="Y54" s="213"/>
      <c r="Z54" s="213"/>
      <c r="AA54" s="212"/>
      <c r="AB54" s="256" t="s">
        <v>249</v>
      </c>
      <c r="AC54" s="211">
        <f>H54</f>
        <v>32779200</v>
      </c>
      <c r="AD54" s="211"/>
      <c r="AE54" s="210"/>
    </row>
    <row r="55" spans="1:31" s="152" customFormat="1" x14ac:dyDescent="0.3">
      <c r="A55" s="845"/>
      <c r="B55" s="218">
        <v>46</v>
      </c>
      <c r="C55" s="239" t="s">
        <v>450</v>
      </c>
      <c r="D55" s="238" t="s">
        <v>520</v>
      </c>
      <c r="E55" s="220" t="s">
        <v>599</v>
      </c>
      <c r="F55" s="219">
        <v>42411</v>
      </c>
      <c r="G55" s="365" t="s">
        <v>446</v>
      </c>
      <c r="H55" s="285">
        <f>7500*13658</f>
        <v>102435000</v>
      </c>
      <c r="I55" s="285"/>
      <c r="J55" s="285"/>
      <c r="K55" s="285"/>
      <c r="L55" s="284"/>
      <c r="M55" s="283"/>
      <c r="N55" s="282" t="s">
        <v>241</v>
      </c>
      <c r="O55" s="282" t="s">
        <v>240</v>
      </c>
      <c r="P55" s="368"/>
      <c r="Q55" s="369"/>
      <c r="R55" s="369"/>
      <c r="S55" s="369"/>
      <c r="T55" s="369"/>
      <c r="U55" s="369"/>
      <c r="V55" s="369"/>
      <c r="W55" s="369"/>
      <c r="X55" s="368"/>
      <c r="Y55" s="368"/>
      <c r="Z55" s="368">
        <f>H55</f>
        <v>102435000</v>
      </c>
      <c r="AA55" s="267"/>
      <c r="AB55" s="184" t="s">
        <v>178</v>
      </c>
      <c r="AC55" s="233"/>
      <c r="AD55" s="233"/>
      <c r="AE55" s="161"/>
    </row>
    <row r="56" spans="1:31" s="152" customFormat="1" x14ac:dyDescent="0.3">
      <c r="A56" s="845"/>
      <c r="B56" s="218">
        <v>47</v>
      </c>
      <c r="C56" s="222" t="s">
        <v>307</v>
      </c>
      <c r="D56" s="221" t="s">
        <v>263</v>
      </c>
      <c r="E56" s="220" t="s">
        <v>602</v>
      </c>
      <c r="F56" s="219">
        <v>42417</v>
      </c>
      <c r="G56" s="218" t="s">
        <v>610</v>
      </c>
      <c r="H56" s="217">
        <v>16869233</v>
      </c>
      <c r="I56" s="136"/>
      <c r="J56" s="136">
        <f t="shared" ref="J56:J62" si="8">H56*10%</f>
        <v>1686923.3</v>
      </c>
      <c r="K56" s="136">
        <f t="shared" ref="K56:K62" si="9">H56*2%</f>
        <v>337384.66000000003</v>
      </c>
      <c r="L56" s="153">
        <f t="shared" ref="L56:L62" si="10">H56+J56</f>
        <v>18556156.300000001</v>
      </c>
      <c r="M56" s="135">
        <f t="shared" ref="M56:M62" si="11">H56+J56-K56</f>
        <v>18218771.640000001</v>
      </c>
      <c r="N56" s="216" t="s">
        <v>180</v>
      </c>
      <c r="O56" s="216" t="s">
        <v>227</v>
      </c>
      <c r="P56" s="213"/>
      <c r="Q56" s="215"/>
      <c r="R56" s="215"/>
      <c r="S56" s="215">
        <f>H56</f>
        <v>16869233</v>
      </c>
      <c r="T56" s="215"/>
      <c r="U56" s="215"/>
      <c r="V56" s="215"/>
      <c r="W56" s="215"/>
      <c r="X56" s="214"/>
      <c r="Y56" s="213"/>
      <c r="Z56" s="213"/>
      <c r="AA56" s="212"/>
      <c r="AB56" s="256" t="s">
        <v>249</v>
      </c>
      <c r="AC56" s="211">
        <f t="shared" ref="AC56:AC62" si="12">H56</f>
        <v>16869233</v>
      </c>
      <c r="AD56" s="211"/>
      <c r="AE56" s="210"/>
    </row>
    <row r="57" spans="1:31" s="152" customFormat="1" x14ac:dyDescent="0.3">
      <c r="A57" s="845"/>
      <c r="B57" s="218">
        <v>48</v>
      </c>
      <c r="C57" s="222" t="s">
        <v>198</v>
      </c>
      <c r="D57" s="221" t="s">
        <v>197</v>
      </c>
      <c r="E57" s="220" t="s">
        <v>310</v>
      </c>
      <c r="F57" s="219">
        <v>42417</v>
      </c>
      <c r="G57" s="218" t="s">
        <v>609</v>
      </c>
      <c r="H57" s="217">
        <v>60660000</v>
      </c>
      <c r="I57" s="136"/>
      <c r="J57" s="136">
        <f t="shared" si="8"/>
        <v>6066000</v>
      </c>
      <c r="K57" s="136">
        <f t="shared" si="9"/>
        <v>1213200</v>
      </c>
      <c r="L57" s="153">
        <f t="shared" si="10"/>
        <v>66726000</v>
      </c>
      <c r="M57" s="135">
        <f t="shared" si="11"/>
        <v>65512800</v>
      </c>
      <c r="N57" s="216" t="s">
        <v>180</v>
      </c>
      <c r="O57" s="216" t="s">
        <v>186</v>
      </c>
      <c r="P57" s="213">
        <f>H57</f>
        <v>60660000</v>
      </c>
      <c r="Q57" s="215"/>
      <c r="R57" s="215"/>
      <c r="S57" s="215"/>
      <c r="T57" s="215"/>
      <c r="U57" s="215"/>
      <c r="V57" s="215"/>
      <c r="W57" s="215"/>
      <c r="X57" s="214"/>
      <c r="Y57" s="213"/>
      <c r="Z57" s="213"/>
      <c r="AA57" s="212"/>
      <c r="AB57" s="256" t="s">
        <v>249</v>
      </c>
      <c r="AC57" s="211">
        <f t="shared" si="12"/>
        <v>60660000</v>
      </c>
      <c r="AD57" s="211"/>
      <c r="AE57" s="210"/>
    </row>
    <row r="58" spans="1:31" s="152" customFormat="1" x14ac:dyDescent="0.3">
      <c r="A58" s="845"/>
      <c r="B58" s="218">
        <v>49</v>
      </c>
      <c r="C58" s="222" t="s">
        <v>185</v>
      </c>
      <c r="D58" s="221" t="s">
        <v>184</v>
      </c>
      <c r="E58" s="220" t="s">
        <v>608</v>
      </c>
      <c r="F58" s="219">
        <v>42417</v>
      </c>
      <c r="G58" s="218" t="s">
        <v>607</v>
      </c>
      <c r="H58" s="217">
        <v>16176000</v>
      </c>
      <c r="I58" s="136"/>
      <c r="J58" s="136">
        <f t="shared" si="8"/>
        <v>1617600</v>
      </c>
      <c r="K58" s="136">
        <f t="shared" si="9"/>
        <v>323520</v>
      </c>
      <c r="L58" s="153">
        <f t="shared" si="10"/>
        <v>17793600</v>
      </c>
      <c r="M58" s="135">
        <f t="shared" si="11"/>
        <v>17470080</v>
      </c>
      <c r="N58" s="216" t="s">
        <v>180</v>
      </c>
      <c r="O58" s="216" t="s">
        <v>179</v>
      </c>
      <c r="P58" s="213"/>
      <c r="Q58" s="215"/>
      <c r="R58" s="215"/>
      <c r="S58" s="215">
        <f>H58</f>
        <v>16176000</v>
      </c>
      <c r="T58" s="215"/>
      <c r="U58" s="215"/>
      <c r="V58" s="215"/>
      <c r="W58" s="215"/>
      <c r="X58" s="214"/>
      <c r="Y58" s="213"/>
      <c r="Z58" s="213"/>
      <c r="AA58" s="212"/>
      <c r="AB58" s="256" t="s">
        <v>249</v>
      </c>
      <c r="AC58" s="211">
        <f t="shared" si="12"/>
        <v>16176000</v>
      </c>
      <c r="AD58" s="211"/>
      <c r="AE58" s="210"/>
    </row>
    <row r="59" spans="1:31" s="152" customFormat="1" x14ac:dyDescent="0.3">
      <c r="A59" s="845"/>
      <c r="B59" s="218">
        <v>50</v>
      </c>
      <c r="C59" s="222" t="s">
        <v>363</v>
      </c>
      <c r="D59" s="221" t="s">
        <v>201</v>
      </c>
      <c r="E59" s="220" t="s">
        <v>421</v>
      </c>
      <c r="F59" s="219">
        <v>42417</v>
      </c>
      <c r="G59" s="218" t="s">
        <v>606</v>
      </c>
      <c r="H59" s="217">
        <v>20220000</v>
      </c>
      <c r="I59" s="136"/>
      <c r="J59" s="136">
        <f t="shared" si="8"/>
        <v>2022000</v>
      </c>
      <c r="K59" s="136">
        <f t="shared" si="9"/>
        <v>404400</v>
      </c>
      <c r="L59" s="153">
        <f t="shared" si="10"/>
        <v>22242000</v>
      </c>
      <c r="M59" s="135">
        <f t="shared" si="11"/>
        <v>21837600</v>
      </c>
      <c r="N59" s="216" t="s">
        <v>180</v>
      </c>
      <c r="O59" s="216" t="s">
        <v>199</v>
      </c>
      <c r="P59" s="213">
        <f>H59</f>
        <v>20220000</v>
      </c>
      <c r="Q59" s="215"/>
      <c r="R59" s="215"/>
      <c r="S59" s="215"/>
      <c r="T59" s="215"/>
      <c r="U59" s="215"/>
      <c r="V59" s="215"/>
      <c r="W59" s="215"/>
      <c r="X59" s="214"/>
      <c r="Y59" s="213"/>
      <c r="Z59" s="213"/>
      <c r="AA59" s="212"/>
      <c r="AB59" s="256" t="s">
        <v>249</v>
      </c>
      <c r="AC59" s="211">
        <f t="shared" si="12"/>
        <v>20220000</v>
      </c>
      <c r="AD59" s="211"/>
      <c r="AE59" s="210"/>
    </row>
    <row r="60" spans="1:31" s="152" customFormat="1" x14ac:dyDescent="0.3">
      <c r="A60" s="845"/>
      <c r="B60" s="218">
        <v>51</v>
      </c>
      <c r="C60" s="222" t="s">
        <v>363</v>
      </c>
      <c r="D60" s="221" t="s">
        <v>197</v>
      </c>
      <c r="E60" s="220" t="s">
        <v>421</v>
      </c>
      <c r="F60" s="219">
        <v>42417</v>
      </c>
      <c r="G60" s="218" t="s">
        <v>606</v>
      </c>
      <c r="H60" s="217">
        <v>13480000</v>
      </c>
      <c r="I60" s="136"/>
      <c r="J60" s="136">
        <f t="shared" si="8"/>
        <v>1348000</v>
      </c>
      <c r="K60" s="136">
        <f t="shared" si="9"/>
        <v>269600</v>
      </c>
      <c r="L60" s="153">
        <f t="shared" si="10"/>
        <v>14828000</v>
      </c>
      <c r="M60" s="135">
        <f t="shared" si="11"/>
        <v>14558400</v>
      </c>
      <c r="N60" s="216" t="s">
        <v>180</v>
      </c>
      <c r="O60" s="216" t="s">
        <v>199</v>
      </c>
      <c r="P60" s="213">
        <f>H60</f>
        <v>13480000</v>
      </c>
      <c r="Q60" s="215"/>
      <c r="R60" s="215"/>
      <c r="S60" s="215"/>
      <c r="T60" s="215"/>
      <c r="U60" s="215"/>
      <c r="V60" s="215"/>
      <c r="W60" s="215"/>
      <c r="X60" s="214"/>
      <c r="Y60" s="213"/>
      <c r="Z60" s="213"/>
      <c r="AA60" s="212"/>
      <c r="AB60" s="256" t="s">
        <v>249</v>
      </c>
      <c r="AC60" s="211">
        <f t="shared" si="12"/>
        <v>13480000</v>
      </c>
      <c r="AD60" s="211"/>
      <c r="AE60" s="210"/>
    </row>
    <row r="61" spans="1:31" s="152" customFormat="1" ht="30" x14ac:dyDescent="0.3">
      <c r="A61" s="845"/>
      <c r="B61" s="218">
        <v>52</v>
      </c>
      <c r="C61" s="222" t="s">
        <v>496</v>
      </c>
      <c r="D61" s="221" t="s">
        <v>605</v>
      </c>
      <c r="E61" s="220" t="s">
        <v>310</v>
      </c>
      <c r="F61" s="219">
        <v>42417</v>
      </c>
      <c r="G61" s="218" t="s">
        <v>604</v>
      </c>
      <c r="H61" s="217">
        <v>60660000</v>
      </c>
      <c r="I61" s="136"/>
      <c r="J61" s="136">
        <f t="shared" si="8"/>
        <v>6066000</v>
      </c>
      <c r="K61" s="136">
        <f t="shared" si="9"/>
        <v>1213200</v>
      </c>
      <c r="L61" s="153">
        <f t="shared" si="10"/>
        <v>66726000</v>
      </c>
      <c r="M61" s="135">
        <f t="shared" si="11"/>
        <v>65512800</v>
      </c>
      <c r="N61" s="216" t="s">
        <v>180</v>
      </c>
      <c r="O61" s="216" t="s">
        <v>199</v>
      </c>
      <c r="P61" s="213"/>
      <c r="Q61" s="215"/>
      <c r="R61" s="215"/>
      <c r="S61" s="215">
        <f>H61</f>
        <v>60660000</v>
      </c>
      <c r="T61" s="215"/>
      <c r="U61" s="215"/>
      <c r="V61" s="215"/>
      <c r="W61" s="215"/>
      <c r="X61" s="214"/>
      <c r="Y61" s="213"/>
      <c r="Z61" s="213"/>
      <c r="AA61" s="212"/>
      <c r="AB61" s="256" t="s">
        <v>249</v>
      </c>
      <c r="AC61" s="211">
        <f t="shared" si="12"/>
        <v>60660000</v>
      </c>
      <c r="AD61" s="211"/>
      <c r="AE61" s="210"/>
    </row>
    <row r="62" spans="1:31" s="152" customFormat="1" x14ac:dyDescent="0.3">
      <c r="A62" s="845"/>
      <c r="B62" s="218">
        <v>53</v>
      </c>
      <c r="C62" s="222" t="s">
        <v>259</v>
      </c>
      <c r="D62" s="221" t="s">
        <v>263</v>
      </c>
      <c r="E62" s="220"/>
      <c r="F62" s="219">
        <v>42417</v>
      </c>
      <c r="G62" s="218" t="s">
        <v>603</v>
      </c>
      <c r="H62" s="217">
        <v>51549300</v>
      </c>
      <c r="I62" s="136"/>
      <c r="J62" s="136">
        <f t="shared" si="8"/>
        <v>5154930</v>
      </c>
      <c r="K62" s="136">
        <f t="shared" si="9"/>
        <v>1030986</v>
      </c>
      <c r="L62" s="153">
        <f t="shared" si="10"/>
        <v>56704230</v>
      </c>
      <c r="M62" s="135">
        <f t="shared" si="11"/>
        <v>55673244</v>
      </c>
      <c r="N62" s="216" t="s">
        <v>180</v>
      </c>
      <c r="O62" s="216" t="s">
        <v>199</v>
      </c>
      <c r="P62" s="213"/>
      <c r="Q62" s="215">
        <f>H62</f>
        <v>51549300</v>
      </c>
      <c r="R62" s="215"/>
      <c r="S62" s="215"/>
      <c r="T62" s="215"/>
      <c r="U62" s="215"/>
      <c r="V62" s="215"/>
      <c r="W62" s="215"/>
      <c r="X62" s="214"/>
      <c r="Y62" s="213"/>
      <c r="Z62" s="213"/>
      <c r="AA62" s="212"/>
      <c r="AB62" s="256" t="s">
        <v>249</v>
      </c>
      <c r="AC62" s="211">
        <f t="shared" si="12"/>
        <v>51549300</v>
      </c>
      <c r="AD62" s="211"/>
      <c r="AE62" s="210"/>
    </row>
    <row r="63" spans="1:31" s="152" customFormat="1" x14ac:dyDescent="0.3">
      <c r="A63" s="845"/>
      <c r="B63" s="218">
        <v>54</v>
      </c>
      <c r="C63" s="249" t="s">
        <v>601</v>
      </c>
      <c r="D63" s="359" t="s">
        <v>600</v>
      </c>
      <c r="E63" s="367" t="s">
        <v>602</v>
      </c>
      <c r="F63" s="366" t="s">
        <v>598</v>
      </c>
      <c r="G63" s="365" t="s">
        <v>597</v>
      </c>
      <c r="H63" s="285">
        <v>253330000</v>
      </c>
      <c r="I63" s="285"/>
      <c r="J63" s="285"/>
      <c r="K63" s="285"/>
      <c r="L63" s="284"/>
      <c r="M63" s="283"/>
      <c r="N63" s="282" t="s">
        <v>228</v>
      </c>
      <c r="O63" s="282" t="s">
        <v>227</v>
      </c>
      <c r="P63" s="368"/>
      <c r="Q63" s="369"/>
      <c r="R63" s="369"/>
      <c r="S63" s="369"/>
      <c r="T63" s="369"/>
      <c r="U63" s="369"/>
      <c r="V63" s="369">
        <f>H63</f>
        <v>253330000</v>
      </c>
      <c r="W63" s="369"/>
      <c r="X63" s="368"/>
      <c r="Y63" s="368"/>
      <c r="Z63" s="368"/>
      <c r="AA63" s="267"/>
      <c r="AB63" s="256" t="s">
        <v>249</v>
      </c>
      <c r="AC63" s="233"/>
      <c r="AD63" s="233"/>
      <c r="AE63" s="161"/>
    </row>
    <row r="64" spans="1:31" s="152" customFormat="1" x14ac:dyDescent="0.3">
      <c r="A64" s="845"/>
      <c r="B64" s="218">
        <v>55</v>
      </c>
      <c r="C64" s="249" t="s">
        <v>601</v>
      </c>
      <c r="D64" s="359" t="s">
        <v>600</v>
      </c>
      <c r="E64" s="220" t="s">
        <v>599</v>
      </c>
      <c r="F64" s="366" t="s">
        <v>598</v>
      </c>
      <c r="G64" s="365" t="s">
        <v>597</v>
      </c>
      <c r="H64" s="285">
        <v>74786250</v>
      </c>
      <c r="I64" s="285"/>
      <c r="J64" s="285"/>
      <c r="K64" s="285"/>
      <c r="L64" s="284"/>
      <c r="M64" s="283"/>
      <c r="N64" s="282" t="s">
        <v>228</v>
      </c>
      <c r="O64" s="282" t="s">
        <v>227</v>
      </c>
      <c r="P64" s="368"/>
      <c r="Q64" s="369"/>
      <c r="R64" s="369"/>
      <c r="S64" s="369"/>
      <c r="T64" s="369"/>
      <c r="U64" s="369"/>
      <c r="V64" s="369">
        <f>H64</f>
        <v>74786250</v>
      </c>
      <c r="W64" s="369"/>
      <c r="X64" s="368"/>
      <c r="Y64" s="368"/>
      <c r="Z64" s="368"/>
      <c r="AA64" s="267"/>
      <c r="AB64" s="256" t="s">
        <v>249</v>
      </c>
      <c r="AC64" s="233"/>
      <c r="AD64" s="233"/>
      <c r="AE64" s="161"/>
    </row>
    <row r="65" spans="1:33" s="152" customFormat="1" x14ac:dyDescent="0.3">
      <c r="A65" s="845"/>
      <c r="B65" s="218">
        <v>56</v>
      </c>
      <c r="C65" s="249" t="s">
        <v>596</v>
      </c>
      <c r="D65" s="359" t="s">
        <v>595</v>
      </c>
      <c r="E65" s="367"/>
      <c r="F65" s="366" t="s">
        <v>594</v>
      </c>
      <c r="G65" s="365" t="s">
        <v>593</v>
      </c>
      <c r="H65" s="285">
        <v>100000000</v>
      </c>
      <c r="I65" s="285"/>
      <c r="J65" s="285"/>
      <c r="K65" s="285"/>
      <c r="L65" s="284"/>
      <c r="M65" s="283"/>
      <c r="N65" s="282" t="s">
        <v>228</v>
      </c>
      <c r="O65" s="282"/>
      <c r="P65" s="268"/>
      <c r="Q65" s="281"/>
      <c r="R65" s="281"/>
      <c r="S65" s="281"/>
      <c r="T65" s="281"/>
      <c r="U65" s="281"/>
      <c r="V65" s="281">
        <f>H65</f>
        <v>100000000</v>
      </c>
      <c r="W65" s="281"/>
      <c r="X65" s="268"/>
      <c r="Y65" s="268"/>
      <c r="Z65" s="268"/>
      <c r="AA65" s="267"/>
      <c r="AB65" s="256" t="s">
        <v>249</v>
      </c>
      <c r="AC65" s="233"/>
      <c r="AD65" s="233"/>
      <c r="AE65" s="161"/>
    </row>
    <row r="66" spans="1:33" s="361" customFormat="1" x14ac:dyDescent="0.3">
      <c r="A66" s="846"/>
      <c r="B66" s="127" t="s">
        <v>592</v>
      </c>
      <c r="C66" s="126"/>
      <c r="D66" s="126"/>
      <c r="E66" s="126"/>
      <c r="F66" s="126"/>
      <c r="G66" s="125"/>
      <c r="H66" s="124">
        <f>SUM(H42:H65)</f>
        <v>1317573756</v>
      </c>
      <c r="I66" s="124"/>
      <c r="J66" s="124"/>
      <c r="K66" s="124"/>
      <c r="L66" s="124"/>
      <c r="M66" s="124"/>
      <c r="N66" s="124"/>
      <c r="O66" s="124"/>
      <c r="P66" s="364">
        <f t="shared" ref="P66:AA66" si="13">SUM(P42:P65)</f>
        <v>112326000</v>
      </c>
      <c r="Q66" s="364">
        <f t="shared" si="13"/>
        <v>132773573</v>
      </c>
      <c r="R66" s="364">
        <f t="shared" si="13"/>
        <v>60095200</v>
      </c>
      <c r="S66" s="364">
        <f t="shared" si="13"/>
        <v>93705233</v>
      </c>
      <c r="T66" s="364">
        <f t="shared" si="13"/>
        <v>0</v>
      </c>
      <c r="U66" s="364">
        <f t="shared" si="13"/>
        <v>0</v>
      </c>
      <c r="V66" s="364">
        <f t="shared" si="13"/>
        <v>428116250</v>
      </c>
      <c r="W66" s="364">
        <f t="shared" si="13"/>
        <v>134000000</v>
      </c>
      <c r="X66" s="364">
        <f t="shared" si="13"/>
        <v>0</v>
      </c>
      <c r="Y66" s="364">
        <f t="shared" si="13"/>
        <v>0</v>
      </c>
      <c r="Z66" s="364">
        <f t="shared" si="13"/>
        <v>102435000</v>
      </c>
      <c r="AA66" s="363">
        <f t="shared" si="13"/>
        <v>0</v>
      </c>
      <c r="AB66" s="362"/>
      <c r="AC66" s="124">
        <f>SUM(AC42:AC65)</f>
        <v>710587233</v>
      </c>
      <c r="AD66" s="124">
        <f>SUM(AD42:AD65)</f>
        <v>0</v>
      </c>
      <c r="AE66" s="124">
        <f>SUM(AE42:AE65)</f>
        <v>0</v>
      </c>
      <c r="AG66" s="115">
        <f>L66-(SUM(P66:X66))</f>
        <v>-961016256</v>
      </c>
    </row>
    <row r="67" spans="1:33" s="361" customFormat="1" x14ac:dyDescent="0.3">
      <c r="A67" s="349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8"/>
      <c r="O67" s="348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6"/>
      <c r="AB67" s="346"/>
      <c r="AC67" s="346"/>
      <c r="AD67" s="346"/>
      <c r="AE67" s="345"/>
    </row>
    <row r="68" spans="1:33" s="152" customFormat="1" x14ac:dyDescent="0.3">
      <c r="A68" s="837" t="s">
        <v>591</v>
      </c>
      <c r="B68" s="137">
        <v>57</v>
      </c>
      <c r="C68" s="141" t="s">
        <v>202</v>
      </c>
      <c r="D68" s="221" t="s">
        <v>197</v>
      </c>
      <c r="E68" s="253" t="s">
        <v>554</v>
      </c>
      <c r="F68" s="358">
        <v>42430</v>
      </c>
      <c r="G68" s="137" t="s">
        <v>590</v>
      </c>
      <c r="H68" s="136">
        <v>4042500</v>
      </c>
      <c r="I68" s="136"/>
      <c r="J68" s="136">
        <f t="shared" ref="J68:J75" si="14">H68*10%</f>
        <v>404250</v>
      </c>
      <c r="K68" s="136">
        <f t="shared" ref="K68:K75" si="15">H68*2%</f>
        <v>80850</v>
      </c>
      <c r="L68" s="153">
        <f t="shared" ref="L68:L75" si="16">H68+J68</f>
        <v>4446750</v>
      </c>
      <c r="M68" s="135">
        <f t="shared" ref="M68:M75" si="17">H68+J68-K68</f>
        <v>4365900</v>
      </c>
      <c r="N68" s="134" t="s">
        <v>180</v>
      </c>
      <c r="O68" s="134" t="s">
        <v>186</v>
      </c>
      <c r="P68" s="133">
        <f>H68</f>
        <v>4042500</v>
      </c>
      <c r="Q68" s="133"/>
      <c r="R68" s="133"/>
      <c r="S68" s="133"/>
      <c r="T68" s="133"/>
      <c r="U68" s="133"/>
      <c r="V68" s="133"/>
      <c r="W68" s="133"/>
      <c r="X68" s="132"/>
      <c r="Y68" s="132"/>
      <c r="Z68" s="132"/>
      <c r="AA68" s="131"/>
      <c r="AB68" s="256" t="s">
        <v>249</v>
      </c>
      <c r="AC68" s="211">
        <f>H68</f>
        <v>4042500</v>
      </c>
      <c r="AD68" s="211"/>
      <c r="AE68" s="229"/>
    </row>
    <row r="69" spans="1:33" s="152" customFormat="1" x14ac:dyDescent="0.3">
      <c r="A69" s="837"/>
      <c r="B69" s="137">
        <v>58</v>
      </c>
      <c r="C69" s="141" t="s">
        <v>202</v>
      </c>
      <c r="D69" s="221" t="s">
        <v>201</v>
      </c>
      <c r="E69" s="253" t="s">
        <v>554</v>
      </c>
      <c r="F69" s="358">
        <v>42430</v>
      </c>
      <c r="G69" s="137" t="s">
        <v>589</v>
      </c>
      <c r="H69" s="136">
        <v>13475000</v>
      </c>
      <c r="I69" s="136"/>
      <c r="J69" s="136">
        <f t="shared" si="14"/>
        <v>1347500</v>
      </c>
      <c r="K69" s="136">
        <f t="shared" si="15"/>
        <v>269500</v>
      </c>
      <c r="L69" s="153">
        <f t="shared" si="16"/>
        <v>14822500</v>
      </c>
      <c r="M69" s="135">
        <f t="shared" si="17"/>
        <v>14553000</v>
      </c>
      <c r="N69" s="134" t="s">
        <v>180</v>
      </c>
      <c r="O69" s="134" t="s">
        <v>199</v>
      </c>
      <c r="P69" s="133">
        <f>H69</f>
        <v>13475000</v>
      </c>
      <c r="Q69" s="133"/>
      <c r="R69" s="133"/>
      <c r="S69" s="133"/>
      <c r="T69" s="133"/>
      <c r="U69" s="133"/>
      <c r="V69" s="133"/>
      <c r="W69" s="133"/>
      <c r="X69" s="132"/>
      <c r="Y69" s="132"/>
      <c r="Z69" s="132"/>
      <c r="AA69" s="131"/>
      <c r="AB69" s="256" t="s">
        <v>249</v>
      </c>
      <c r="AC69" s="211">
        <v>25814000</v>
      </c>
      <c r="AD69" s="211"/>
      <c r="AE69" s="229"/>
    </row>
    <row r="70" spans="1:33" s="152" customFormat="1" x14ac:dyDescent="0.3">
      <c r="A70" s="837"/>
      <c r="B70" s="137">
        <v>59</v>
      </c>
      <c r="C70" s="141" t="s">
        <v>588</v>
      </c>
      <c r="D70" s="221" t="s">
        <v>587</v>
      </c>
      <c r="E70" s="253"/>
      <c r="F70" s="358">
        <v>42430</v>
      </c>
      <c r="G70" s="137" t="s">
        <v>586</v>
      </c>
      <c r="H70" s="136">
        <v>57268750</v>
      </c>
      <c r="I70" s="136"/>
      <c r="J70" s="136">
        <f t="shared" si="14"/>
        <v>5726875</v>
      </c>
      <c r="K70" s="136">
        <f t="shared" si="15"/>
        <v>1145375</v>
      </c>
      <c r="L70" s="153">
        <f t="shared" si="16"/>
        <v>62995625</v>
      </c>
      <c r="M70" s="135">
        <f t="shared" si="17"/>
        <v>61850250</v>
      </c>
      <c r="N70" s="134" t="s">
        <v>180</v>
      </c>
      <c r="O70" s="134" t="s">
        <v>186</v>
      </c>
      <c r="P70" s="133"/>
      <c r="Q70" s="133"/>
      <c r="R70" s="133"/>
      <c r="S70" s="133"/>
      <c r="T70" s="133"/>
      <c r="U70" s="133"/>
      <c r="V70" s="133"/>
      <c r="W70" s="133"/>
      <c r="X70" s="132"/>
      <c r="Y70" s="132"/>
      <c r="Z70" s="132"/>
      <c r="AA70" s="131"/>
      <c r="AB70" s="256" t="s">
        <v>249</v>
      </c>
      <c r="AC70" s="211">
        <f>H70</f>
        <v>57268750</v>
      </c>
      <c r="AD70" s="211"/>
      <c r="AE70" s="229"/>
    </row>
    <row r="71" spans="1:33" s="152" customFormat="1" x14ac:dyDescent="0.3">
      <c r="A71" s="837"/>
      <c r="B71" s="137">
        <v>60</v>
      </c>
      <c r="C71" s="141" t="s">
        <v>311</v>
      </c>
      <c r="D71" s="140" t="s">
        <v>197</v>
      </c>
      <c r="E71" s="253" t="s">
        <v>585</v>
      </c>
      <c r="F71" s="358">
        <v>42430</v>
      </c>
      <c r="G71" s="137" t="s">
        <v>584</v>
      </c>
      <c r="H71" s="136">
        <v>52552500</v>
      </c>
      <c r="I71" s="136"/>
      <c r="J71" s="136">
        <f t="shared" si="14"/>
        <v>5255250</v>
      </c>
      <c r="K71" s="136">
        <f t="shared" si="15"/>
        <v>1051050</v>
      </c>
      <c r="L71" s="153">
        <f t="shared" si="16"/>
        <v>57807750</v>
      </c>
      <c r="M71" s="135">
        <f t="shared" si="17"/>
        <v>56756700</v>
      </c>
      <c r="N71" s="134" t="s">
        <v>180</v>
      </c>
      <c r="O71" s="134" t="s">
        <v>186</v>
      </c>
      <c r="P71" s="133">
        <f>H71</f>
        <v>52552500</v>
      </c>
      <c r="Q71" s="133"/>
      <c r="R71" s="133"/>
      <c r="S71" s="133"/>
      <c r="T71" s="133"/>
      <c r="U71" s="133"/>
      <c r="V71" s="133"/>
      <c r="W71" s="133"/>
      <c r="X71" s="132"/>
      <c r="Y71" s="132"/>
      <c r="Z71" s="132"/>
      <c r="AA71" s="131"/>
      <c r="AB71" s="184" t="s">
        <v>178</v>
      </c>
      <c r="AC71" s="211">
        <f>H71</f>
        <v>52552500</v>
      </c>
      <c r="AD71" s="211"/>
      <c r="AE71" s="229"/>
    </row>
    <row r="72" spans="1:33" s="152" customFormat="1" x14ac:dyDescent="0.3">
      <c r="A72" s="837"/>
      <c r="B72" s="137">
        <v>61</v>
      </c>
      <c r="C72" s="141" t="s">
        <v>507</v>
      </c>
      <c r="D72" s="221" t="s">
        <v>583</v>
      </c>
      <c r="E72" s="139"/>
      <c r="F72" s="358">
        <v>42430</v>
      </c>
      <c r="G72" s="137" t="s">
        <v>582</v>
      </c>
      <c r="H72" s="136">
        <v>54500000</v>
      </c>
      <c r="I72" s="136"/>
      <c r="J72" s="136">
        <f t="shared" si="14"/>
        <v>5450000</v>
      </c>
      <c r="K72" s="136">
        <f t="shared" si="15"/>
        <v>1090000</v>
      </c>
      <c r="L72" s="153">
        <f t="shared" si="16"/>
        <v>59950000</v>
      </c>
      <c r="M72" s="135">
        <f t="shared" si="17"/>
        <v>58860000</v>
      </c>
      <c r="N72" s="134" t="s">
        <v>503</v>
      </c>
      <c r="O72" s="134"/>
      <c r="P72" s="133"/>
      <c r="Q72" s="133"/>
      <c r="R72" s="133"/>
      <c r="S72" s="133"/>
      <c r="T72" s="133"/>
      <c r="U72" s="133"/>
      <c r="V72" s="133"/>
      <c r="W72" s="133">
        <f>H72</f>
        <v>54500000</v>
      </c>
      <c r="X72" s="132"/>
      <c r="Y72" s="132"/>
      <c r="Z72" s="132"/>
      <c r="AA72" s="131"/>
      <c r="AB72" s="256" t="s">
        <v>249</v>
      </c>
      <c r="AC72" s="211"/>
      <c r="AD72" s="211"/>
      <c r="AE72" s="229"/>
    </row>
    <row r="73" spans="1:33" s="152" customFormat="1" x14ac:dyDescent="0.3">
      <c r="A73" s="837"/>
      <c r="B73" s="137">
        <v>62</v>
      </c>
      <c r="C73" s="141" t="s">
        <v>530</v>
      </c>
      <c r="D73" s="221" t="s">
        <v>263</v>
      </c>
      <c r="E73" s="220">
        <v>42401</v>
      </c>
      <c r="F73" s="358">
        <v>42431</v>
      </c>
      <c r="G73" s="137" t="s">
        <v>581</v>
      </c>
      <c r="H73" s="136">
        <v>22500000</v>
      </c>
      <c r="I73" s="136"/>
      <c r="J73" s="136">
        <f t="shared" si="14"/>
        <v>2250000</v>
      </c>
      <c r="K73" s="136">
        <f t="shared" si="15"/>
        <v>450000</v>
      </c>
      <c r="L73" s="153">
        <f t="shared" si="16"/>
        <v>24750000</v>
      </c>
      <c r="M73" s="135">
        <f t="shared" si="17"/>
        <v>24300000</v>
      </c>
      <c r="N73" s="134"/>
      <c r="O73" s="134"/>
      <c r="P73" s="133"/>
      <c r="Q73" s="133"/>
      <c r="R73" s="133"/>
      <c r="S73" s="133"/>
      <c r="T73" s="133"/>
      <c r="U73" s="133"/>
      <c r="V73" s="133"/>
      <c r="W73" s="133"/>
      <c r="X73" s="132"/>
      <c r="Y73" s="132"/>
      <c r="Z73" s="132"/>
      <c r="AA73" s="131"/>
      <c r="AB73" s="256" t="s">
        <v>249</v>
      </c>
      <c r="AC73" s="211">
        <f>H73</f>
        <v>22500000</v>
      </c>
      <c r="AD73" s="211"/>
      <c r="AE73" s="229"/>
    </row>
    <row r="74" spans="1:33" s="152" customFormat="1" x14ac:dyDescent="0.3">
      <c r="A74" s="837"/>
      <c r="B74" s="137">
        <v>63</v>
      </c>
      <c r="C74" s="141" t="s">
        <v>450</v>
      </c>
      <c r="D74" s="238" t="s">
        <v>520</v>
      </c>
      <c r="E74" s="145">
        <v>42401</v>
      </c>
      <c r="F74" s="358">
        <v>42431</v>
      </c>
      <c r="G74" s="137" t="s">
        <v>446</v>
      </c>
      <c r="H74" s="360">
        <f>5375*13407</f>
        <v>72062625</v>
      </c>
      <c r="I74" s="136"/>
      <c r="J74" s="136">
        <f t="shared" si="14"/>
        <v>7206262.5</v>
      </c>
      <c r="K74" s="136">
        <f t="shared" si="15"/>
        <v>1441252.5</v>
      </c>
      <c r="L74" s="153">
        <f t="shared" si="16"/>
        <v>79268887.5</v>
      </c>
      <c r="M74" s="135">
        <f t="shared" si="17"/>
        <v>77827635</v>
      </c>
      <c r="N74" s="134" t="s">
        <v>241</v>
      </c>
      <c r="O74" s="134" t="s">
        <v>240</v>
      </c>
      <c r="P74" s="133"/>
      <c r="Q74" s="133"/>
      <c r="R74" s="133"/>
      <c r="S74" s="133"/>
      <c r="T74" s="133"/>
      <c r="U74" s="133"/>
      <c r="V74" s="133"/>
      <c r="W74" s="133"/>
      <c r="X74" s="132"/>
      <c r="Y74" s="132"/>
      <c r="Z74" s="132">
        <f>H74</f>
        <v>72062625</v>
      </c>
      <c r="AA74" s="131"/>
      <c r="AB74" s="184" t="s">
        <v>178</v>
      </c>
      <c r="AC74" s="211">
        <f>H74</f>
        <v>72062625</v>
      </c>
      <c r="AD74" s="211"/>
      <c r="AE74" s="229"/>
    </row>
    <row r="75" spans="1:33" s="152" customFormat="1" x14ac:dyDescent="0.3">
      <c r="A75" s="837"/>
      <c r="B75" s="137">
        <v>64</v>
      </c>
      <c r="C75" s="141" t="s">
        <v>426</v>
      </c>
      <c r="D75" s="140" t="s">
        <v>580</v>
      </c>
      <c r="E75" s="240" t="s">
        <v>310</v>
      </c>
      <c r="F75" s="358">
        <v>42436</v>
      </c>
      <c r="G75" s="137" t="s">
        <v>579</v>
      </c>
      <c r="H75" s="136">
        <v>300000000</v>
      </c>
      <c r="I75" s="136"/>
      <c r="J75" s="136">
        <f t="shared" si="14"/>
        <v>30000000</v>
      </c>
      <c r="K75" s="136">
        <f t="shared" si="15"/>
        <v>6000000</v>
      </c>
      <c r="L75" s="153">
        <f t="shared" si="16"/>
        <v>330000000</v>
      </c>
      <c r="M75" s="135">
        <f t="shared" si="17"/>
        <v>324000000</v>
      </c>
      <c r="N75" s="134" t="s">
        <v>222</v>
      </c>
      <c r="O75" s="134" t="s">
        <v>221</v>
      </c>
      <c r="P75" s="133"/>
      <c r="Q75" s="133"/>
      <c r="R75" s="133"/>
      <c r="S75" s="133"/>
      <c r="T75" s="133"/>
      <c r="U75" s="133"/>
      <c r="V75" s="133"/>
      <c r="W75" s="133">
        <f>H75</f>
        <v>300000000</v>
      </c>
      <c r="X75" s="132"/>
      <c r="Y75" s="132"/>
      <c r="Z75" s="132"/>
      <c r="AA75" s="131"/>
      <c r="AB75" s="256" t="s">
        <v>249</v>
      </c>
      <c r="AC75" s="211"/>
      <c r="AD75" s="211"/>
      <c r="AE75" s="229"/>
    </row>
    <row r="76" spans="1:33" s="152" customFormat="1" x14ac:dyDescent="0.3">
      <c r="A76" s="837"/>
      <c r="B76" s="137">
        <v>65</v>
      </c>
      <c r="C76" s="141" t="s">
        <v>578</v>
      </c>
      <c r="D76" s="221" t="s">
        <v>263</v>
      </c>
      <c r="E76" s="220"/>
      <c r="F76" s="358">
        <v>42436</v>
      </c>
      <c r="G76" s="137" t="s">
        <v>577</v>
      </c>
      <c r="H76" s="136">
        <v>6703500</v>
      </c>
      <c r="I76" s="136"/>
      <c r="J76" s="136"/>
      <c r="K76" s="136"/>
      <c r="L76" s="153"/>
      <c r="M76" s="135"/>
      <c r="N76" s="134" t="s">
        <v>180</v>
      </c>
      <c r="O76" s="134" t="s">
        <v>227</v>
      </c>
      <c r="P76" s="133">
        <f>H76</f>
        <v>6703500</v>
      </c>
      <c r="Q76" s="133"/>
      <c r="R76" s="133"/>
      <c r="S76" s="133"/>
      <c r="T76" s="133"/>
      <c r="U76" s="133"/>
      <c r="V76" s="133"/>
      <c r="W76" s="133"/>
      <c r="X76" s="132"/>
      <c r="Y76" s="132"/>
      <c r="Z76" s="132"/>
      <c r="AA76" s="131"/>
      <c r="AB76" s="256" t="s">
        <v>249</v>
      </c>
      <c r="AC76" s="211"/>
      <c r="AD76" s="211"/>
      <c r="AE76" s="229"/>
    </row>
    <row r="77" spans="1:33" s="152" customFormat="1" x14ac:dyDescent="0.3">
      <c r="A77" s="837"/>
      <c r="B77" s="137">
        <v>66</v>
      </c>
      <c r="C77" s="239" t="s">
        <v>575</v>
      </c>
      <c r="D77" s="359" t="s">
        <v>429</v>
      </c>
      <c r="E77" s="139">
        <v>2015</v>
      </c>
      <c r="F77" s="358">
        <v>42437</v>
      </c>
      <c r="G77" s="137" t="s">
        <v>576</v>
      </c>
      <c r="H77" s="136">
        <v>20110500</v>
      </c>
      <c r="I77" s="136"/>
      <c r="J77" s="136"/>
      <c r="K77" s="136"/>
      <c r="L77" s="153"/>
      <c r="M77" s="135"/>
      <c r="N77" s="134" t="s">
        <v>180</v>
      </c>
      <c r="O77" s="134" t="s">
        <v>199</v>
      </c>
      <c r="P77" s="133">
        <f>H77</f>
        <v>20110500</v>
      </c>
      <c r="Q77" s="133"/>
      <c r="R77" s="133"/>
      <c r="S77" s="133"/>
      <c r="T77" s="133"/>
      <c r="U77" s="133"/>
      <c r="V77" s="133"/>
      <c r="W77" s="133"/>
      <c r="X77" s="132"/>
      <c r="Y77" s="132"/>
      <c r="Z77" s="132"/>
      <c r="AA77" s="131"/>
      <c r="AB77" s="256" t="s">
        <v>249</v>
      </c>
      <c r="AC77" s="211"/>
      <c r="AD77" s="211"/>
      <c r="AE77" s="229"/>
    </row>
    <row r="78" spans="1:33" s="152" customFormat="1" x14ac:dyDescent="0.3">
      <c r="A78" s="837"/>
      <c r="B78" s="137">
        <v>67</v>
      </c>
      <c r="C78" s="239" t="s">
        <v>575</v>
      </c>
      <c r="D78" s="359" t="s">
        <v>574</v>
      </c>
      <c r="E78" s="139" t="s">
        <v>573</v>
      </c>
      <c r="F78" s="358">
        <v>42437</v>
      </c>
      <c r="G78" s="137" t="s">
        <v>572</v>
      </c>
      <c r="H78" s="136">
        <v>201105000</v>
      </c>
      <c r="I78" s="136"/>
      <c r="J78" s="136"/>
      <c r="K78" s="136"/>
      <c r="L78" s="153"/>
      <c r="M78" s="135"/>
      <c r="N78" s="134" t="s">
        <v>180</v>
      </c>
      <c r="O78" s="134" t="s">
        <v>199</v>
      </c>
      <c r="P78" s="133">
        <f>H78</f>
        <v>201105000</v>
      </c>
      <c r="Q78" s="133"/>
      <c r="R78" s="133"/>
      <c r="S78" s="133"/>
      <c r="T78" s="133"/>
      <c r="U78" s="133"/>
      <c r="V78" s="133"/>
      <c r="W78" s="133"/>
      <c r="X78" s="132"/>
      <c r="Y78" s="132"/>
      <c r="Z78" s="132"/>
      <c r="AA78" s="131"/>
      <c r="AB78" s="256" t="s">
        <v>249</v>
      </c>
      <c r="AC78" s="211"/>
      <c r="AD78" s="211"/>
      <c r="AE78" s="229"/>
    </row>
    <row r="79" spans="1:33" s="152" customFormat="1" x14ac:dyDescent="0.3">
      <c r="A79" s="837"/>
      <c r="B79" s="137">
        <v>68</v>
      </c>
      <c r="C79" s="239" t="s">
        <v>570</v>
      </c>
      <c r="D79" s="238" t="s">
        <v>60</v>
      </c>
      <c r="E79" s="220"/>
      <c r="F79" s="358">
        <v>42437</v>
      </c>
      <c r="G79" s="137" t="s">
        <v>571</v>
      </c>
      <c r="H79" s="136">
        <v>53628000</v>
      </c>
      <c r="I79" s="136"/>
      <c r="J79" s="136"/>
      <c r="K79" s="136"/>
      <c r="L79" s="153"/>
      <c r="M79" s="135"/>
      <c r="N79" s="134" t="s">
        <v>391</v>
      </c>
      <c r="O79" s="134"/>
      <c r="P79" s="133"/>
      <c r="Q79" s="133"/>
      <c r="R79" s="133"/>
      <c r="S79" s="133"/>
      <c r="T79" s="133"/>
      <c r="U79" s="133">
        <f>H79</f>
        <v>53628000</v>
      </c>
      <c r="V79" s="133"/>
      <c r="W79" s="133"/>
      <c r="X79" s="132"/>
      <c r="Y79" s="132"/>
      <c r="Z79" s="132"/>
      <c r="AA79" s="131"/>
      <c r="AB79" s="256" t="s">
        <v>249</v>
      </c>
      <c r="AC79" s="211"/>
      <c r="AD79" s="211"/>
      <c r="AE79" s="229"/>
    </row>
    <row r="80" spans="1:33" s="152" customFormat="1" x14ac:dyDescent="0.3">
      <c r="A80" s="837"/>
      <c r="B80" s="137">
        <v>69</v>
      </c>
      <c r="C80" s="239" t="s">
        <v>570</v>
      </c>
      <c r="D80" s="221" t="s">
        <v>569</v>
      </c>
      <c r="E80" s="220"/>
      <c r="F80" s="358">
        <v>42437</v>
      </c>
      <c r="G80" s="137" t="s">
        <v>568</v>
      </c>
      <c r="H80" s="136">
        <v>100552500</v>
      </c>
      <c r="I80" s="136"/>
      <c r="J80" s="136"/>
      <c r="K80" s="136"/>
      <c r="L80" s="153"/>
      <c r="M80" s="135"/>
      <c r="N80" s="134" t="s">
        <v>391</v>
      </c>
      <c r="O80" s="134"/>
      <c r="P80" s="133"/>
      <c r="Q80" s="133"/>
      <c r="R80" s="133"/>
      <c r="S80" s="133"/>
      <c r="T80" s="133"/>
      <c r="U80" s="133">
        <f>H80</f>
        <v>100552500</v>
      </c>
      <c r="V80" s="133"/>
      <c r="W80" s="133"/>
      <c r="X80" s="132"/>
      <c r="Y80" s="132"/>
      <c r="Z80" s="132"/>
      <c r="AA80" s="131"/>
      <c r="AB80" s="256" t="s">
        <v>249</v>
      </c>
      <c r="AC80" s="211"/>
      <c r="AD80" s="211"/>
      <c r="AE80" s="229"/>
    </row>
    <row r="81" spans="1:33" s="152" customFormat="1" x14ac:dyDescent="0.3">
      <c r="A81" s="837"/>
      <c r="B81" s="137">
        <v>70</v>
      </c>
      <c r="C81" s="141" t="s">
        <v>37</v>
      </c>
      <c r="D81" s="140" t="s">
        <v>201</v>
      </c>
      <c r="E81" s="139"/>
      <c r="F81" s="219" t="s">
        <v>565</v>
      </c>
      <c r="G81" s="137" t="s">
        <v>567</v>
      </c>
      <c r="H81" s="136">
        <v>84980000</v>
      </c>
      <c r="I81" s="136"/>
      <c r="J81" s="136">
        <f t="shared" ref="J81:J90" si="18">H81*10%</f>
        <v>8498000</v>
      </c>
      <c r="K81" s="136">
        <f t="shared" ref="K81:K90" si="19">H81*2%</f>
        <v>1699600</v>
      </c>
      <c r="L81" s="153">
        <f t="shared" ref="L81:L90" si="20">H81+J81</f>
        <v>93478000</v>
      </c>
      <c r="M81" s="135">
        <f t="shared" ref="M81:M90" si="21">H81+J81-K81</f>
        <v>91778400</v>
      </c>
      <c r="N81" s="134" t="s">
        <v>180</v>
      </c>
      <c r="O81" s="134" t="s">
        <v>199</v>
      </c>
      <c r="P81" s="133"/>
      <c r="Q81" s="133"/>
      <c r="R81" s="133">
        <f>H81</f>
        <v>84980000</v>
      </c>
      <c r="S81" s="133"/>
      <c r="T81" s="133"/>
      <c r="U81" s="133"/>
      <c r="V81" s="133"/>
      <c r="W81" s="133"/>
      <c r="X81" s="132"/>
      <c r="Y81" s="132"/>
      <c r="Z81" s="132"/>
      <c r="AA81" s="131"/>
      <c r="AB81" s="256" t="s">
        <v>249</v>
      </c>
      <c r="AC81" s="211">
        <f t="shared" ref="AC81:AC90" si="22">H81</f>
        <v>84980000</v>
      </c>
      <c r="AD81" s="211"/>
      <c r="AE81" s="229"/>
    </row>
    <row r="82" spans="1:33" s="152" customFormat="1" x14ac:dyDescent="0.3">
      <c r="A82" s="837"/>
      <c r="B82" s="137">
        <v>71</v>
      </c>
      <c r="C82" s="141" t="s">
        <v>239</v>
      </c>
      <c r="D82" s="140" t="s">
        <v>184</v>
      </c>
      <c r="E82" s="240" t="s">
        <v>310</v>
      </c>
      <c r="F82" s="219" t="s">
        <v>565</v>
      </c>
      <c r="G82" s="137" t="s">
        <v>566</v>
      </c>
      <c r="H82" s="136">
        <v>28800000</v>
      </c>
      <c r="I82" s="136"/>
      <c r="J82" s="136">
        <f t="shared" si="18"/>
        <v>2880000</v>
      </c>
      <c r="K82" s="136">
        <f t="shared" si="19"/>
        <v>576000</v>
      </c>
      <c r="L82" s="153">
        <f t="shared" si="20"/>
        <v>31680000</v>
      </c>
      <c r="M82" s="135">
        <f t="shared" si="21"/>
        <v>31104000</v>
      </c>
      <c r="N82" s="134"/>
      <c r="O82" s="134"/>
      <c r="P82" s="133"/>
      <c r="Q82" s="133">
        <f>H82</f>
        <v>28800000</v>
      </c>
      <c r="R82" s="133"/>
      <c r="S82" s="133"/>
      <c r="T82" s="133"/>
      <c r="U82" s="133"/>
      <c r="V82" s="133"/>
      <c r="W82" s="133"/>
      <c r="X82" s="132"/>
      <c r="Y82" s="132"/>
      <c r="Z82" s="132"/>
      <c r="AA82" s="131"/>
      <c r="AB82" s="256" t="s">
        <v>249</v>
      </c>
      <c r="AC82" s="211">
        <f t="shared" si="22"/>
        <v>28800000</v>
      </c>
      <c r="AD82" s="211"/>
      <c r="AE82" s="229"/>
    </row>
    <row r="83" spans="1:33" s="152" customFormat="1" x14ac:dyDescent="0.3">
      <c r="A83" s="837"/>
      <c r="B83" s="137">
        <v>72</v>
      </c>
      <c r="C83" s="141" t="s">
        <v>239</v>
      </c>
      <c r="D83" s="140" t="s">
        <v>215</v>
      </c>
      <c r="E83" s="240" t="s">
        <v>310</v>
      </c>
      <c r="F83" s="219" t="s">
        <v>565</v>
      </c>
      <c r="G83" s="137" t="s">
        <v>566</v>
      </c>
      <c r="H83" s="136">
        <v>36000000</v>
      </c>
      <c r="I83" s="136"/>
      <c r="J83" s="136">
        <f t="shared" si="18"/>
        <v>3600000</v>
      </c>
      <c r="K83" s="136">
        <f t="shared" si="19"/>
        <v>720000</v>
      </c>
      <c r="L83" s="153">
        <f t="shared" si="20"/>
        <v>39600000</v>
      </c>
      <c r="M83" s="135">
        <f t="shared" si="21"/>
        <v>38880000</v>
      </c>
      <c r="N83" s="134"/>
      <c r="O83" s="134"/>
      <c r="P83" s="133"/>
      <c r="Q83" s="133">
        <f>H83</f>
        <v>36000000</v>
      </c>
      <c r="R83" s="133"/>
      <c r="S83" s="133"/>
      <c r="T83" s="133"/>
      <c r="U83" s="133"/>
      <c r="V83" s="133"/>
      <c r="W83" s="133"/>
      <c r="X83" s="132"/>
      <c r="Y83" s="132"/>
      <c r="Z83" s="132"/>
      <c r="AA83" s="131"/>
      <c r="AB83" s="256" t="s">
        <v>249</v>
      </c>
      <c r="AC83" s="211">
        <f t="shared" si="22"/>
        <v>36000000</v>
      </c>
      <c r="AD83" s="211"/>
      <c r="AE83" s="229"/>
    </row>
    <row r="84" spans="1:33" s="152" customFormat="1" x14ac:dyDescent="0.3">
      <c r="A84" s="837"/>
      <c r="B84" s="137">
        <v>73</v>
      </c>
      <c r="C84" s="141" t="s">
        <v>239</v>
      </c>
      <c r="D84" s="140" t="s">
        <v>201</v>
      </c>
      <c r="E84" s="240" t="s">
        <v>310</v>
      </c>
      <c r="F84" s="219" t="s">
        <v>565</v>
      </c>
      <c r="G84" s="137" t="s">
        <v>566</v>
      </c>
      <c r="H84" s="136">
        <v>6000000</v>
      </c>
      <c r="I84" s="136"/>
      <c r="J84" s="136">
        <f t="shared" si="18"/>
        <v>600000</v>
      </c>
      <c r="K84" s="136">
        <f t="shared" si="19"/>
        <v>120000</v>
      </c>
      <c r="L84" s="153">
        <f t="shared" si="20"/>
        <v>6600000</v>
      </c>
      <c r="M84" s="135">
        <f t="shared" si="21"/>
        <v>6480000</v>
      </c>
      <c r="N84" s="134"/>
      <c r="O84" s="134"/>
      <c r="P84" s="133"/>
      <c r="Q84" s="133">
        <f>H84</f>
        <v>6000000</v>
      </c>
      <c r="R84" s="133"/>
      <c r="S84" s="133"/>
      <c r="T84" s="133"/>
      <c r="U84" s="133"/>
      <c r="V84" s="133"/>
      <c r="W84" s="133"/>
      <c r="X84" s="132"/>
      <c r="Y84" s="132"/>
      <c r="Z84" s="132"/>
      <c r="AA84" s="131"/>
      <c r="AB84" s="256" t="s">
        <v>249</v>
      </c>
      <c r="AC84" s="211">
        <f t="shared" si="22"/>
        <v>6000000</v>
      </c>
      <c r="AD84" s="211"/>
      <c r="AE84" s="229"/>
    </row>
    <row r="85" spans="1:33" s="152" customFormat="1" x14ac:dyDescent="0.3">
      <c r="A85" s="837"/>
      <c r="B85" s="137">
        <v>74</v>
      </c>
      <c r="C85" s="141" t="s">
        <v>239</v>
      </c>
      <c r="D85" s="221" t="s">
        <v>197</v>
      </c>
      <c r="E85" s="240" t="s">
        <v>310</v>
      </c>
      <c r="F85" s="219" t="s">
        <v>565</v>
      </c>
      <c r="G85" s="137" t="s">
        <v>566</v>
      </c>
      <c r="H85" s="136">
        <v>12000000</v>
      </c>
      <c r="I85" s="136"/>
      <c r="J85" s="136">
        <f t="shared" si="18"/>
        <v>1200000</v>
      </c>
      <c r="K85" s="136">
        <f t="shared" si="19"/>
        <v>240000</v>
      </c>
      <c r="L85" s="153">
        <f t="shared" si="20"/>
        <v>13200000</v>
      </c>
      <c r="M85" s="135">
        <f t="shared" si="21"/>
        <v>12960000</v>
      </c>
      <c r="N85" s="134"/>
      <c r="O85" s="134"/>
      <c r="P85" s="133"/>
      <c r="Q85" s="133">
        <f>H85</f>
        <v>12000000</v>
      </c>
      <c r="R85" s="133"/>
      <c r="S85" s="133"/>
      <c r="T85" s="133"/>
      <c r="U85" s="133"/>
      <c r="V85" s="133"/>
      <c r="W85" s="133"/>
      <c r="X85" s="132"/>
      <c r="Y85" s="132"/>
      <c r="Z85" s="132"/>
      <c r="AA85" s="131"/>
      <c r="AB85" s="256" t="s">
        <v>249</v>
      </c>
      <c r="AC85" s="211">
        <f t="shared" si="22"/>
        <v>12000000</v>
      </c>
      <c r="AD85" s="211"/>
      <c r="AE85" s="229"/>
    </row>
    <row r="86" spans="1:33" s="152" customFormat="1" x14ac:dyDescent="0.3">
      <c r="A86" s="837"/>
      <c r="B86" s="137">
        <v>75</v>
      </c>
      <c r="C86" s="141" t="s">
        <v>239</v>
      </c>
      <c r="D86" s="140" t="s">
        <v>408</v>
      </c>
      <c r="E86" s="240" t="s">
        <v>310</v>
      </c>
      <c r="F86" s="219" t="s">
        <v>565</v>
      </c>
      <c r="G86" s="137" t="s">
        <v>566</v>
      </c>
      <c r="H86" s="136">
        <v>7200000</v>
      </c>
      <c r="I86" s="136"/>
      <c r="J86" s="136">
        <f t="shared" si="18"/>
        <v>720000</v>
      </c>
      <c r="K86" s="136">
        <f t="shared" si="19"/>
        <v>144000</v>
      </c>
      <c r="L86" s="153">
        <f t="shared" si="20"/>
        <v>7920000</v>
      </c>
      <c r="M86" s="135">
        <f t="shared" si="21"/>
        <v>7776000</v>
      </c>
      <c r="N86" s="134"/>
      <c r="O86" s="134"/>
      <c r="P86" s="133"/>
      <c r="Q86" s="133">
        <f>H86</f>
        <v>7200000</v>
      </c>
      <c r="R86" s="133"/>
      <c r="S86" s="133"/>
      <c r="T86" s="133"/>
      <c r="U86" s="133"/>
      <c r="V86" s="133"/>
      <c r="W86" s="133"/>
      <c r="X86" s="132"/>
      <c r="Y86" s="132"/>
      <c r="Z86" s="132"/>
      <c r="AA86" s="131"/>
      <c r="AB86" s="256" t="s">
        <v>249</v>
      </c>
      <c r="AC86" s="211">
        <f t="shared" si="22"/>
        <v>7200000</v>
      </c>
      <c r="AD86" s="211"/>
      <c r="AE86" s="229"/>
    </row>
    <row r="87" spans="1:33" s="152" customFormat="1" ht="30" x14ac:dyDescent="0.3">
      <c r="A87" s="837"/>
      <c r="B87" s="137">
        <v>76</v>
      </c>
      <c r="C87" s="141" t="s">
        <v>211</v>
      </c>
      <c r="D87" s="140" t="s">
        <v>438</v>
      </c>
      <c r="E87" s="240" t="s">
        <v>310</v>
      </c>
      <c r="F87" s="219" t="s">
        <v>565</v>
      </c>
      <c r="G87" s="137" t="s">
        <v>564</v>
      </c>
      <c r="H87" s="136">
        <v>84635182</v>
      </c>
      <c r="I87" s="136"/>
      <c r="J87" s="136">
        <f t="shared" si="18"/>
        <v>8463518.2000000011</v>
      </c>
      <c r="K87" s="136">
        <f t="shared" si="19"/>
        <v>1692703.6400000001</v>
      </c>
      <c r="L87" s="153">
        <f t="shared" si="20"/>
        <v>93098700.200000003</v>
      </c>
      <c r="M87" s="135">
        <f t="shared" si="21"/>
        <v>91405996.560000002</v>
      </c>
      <c r="N87" s="134" t="s">
        <v>180</v>
      </c>
      <c r="O87" s="134" t="s">
        <v>199</v>
      </c>
      <c r="P87" s="133"/>
      <c r="Q87" s="133"/>
      <c r="R87" s="133">
        <f>H87</f>
        <v>84635182</v>
      </c>
      <c r="S87" s="133"/>
      <c r="T87" s="133"/>
      <c r="U87" s="133"/>
      <c r="V87" s="133"/>
      <c r="W87" s="133"/>
      <c r="X87" s="132"/>
      <c r="Y87" s="132"/>
      <c r="Z87" s="132"/>
      <c r="AA87" s="131"/>
      <c r="AB87" s="256" t="s">
        <v>249</v>
      </c>
      <c r="AC87" s="211">
        <f t="shared" si="22"/>
        <v>84635182</v>
      </c>
      <c r="AD87" s="211"/>
      <c r="AE87" s="229"/>
    </row>
    <row r="88" spans="1:33" s="152" customFormat="1" x14ac:dyDescent="0.3">
      <c r="A88" s="837"/>
      <c r="B88" s="137">
        <v>77</v>
      </c>
      <c r="C88" s="141" t="s">
        <v>273</v>
      </c>
      <c r="D88" s="140" t="s">
        <v>201</v>
      </c>
      <c r="E88" s="139">
        <v>2015</v>
      </c>
      <c r="F88" s="219" t="s">
        <v>551</v>
      </c>
      <c r="G88" s="137" t="s">
        <v>563</v>
      </c>
      <c r="H88" s="136">
        <v>72172782</v>
      </c>
      <c r="I88" s="136"/>
      <c r="J88" s="136">
        <f t="shared" si="18"/>
        <v>7217278.2000000002</v>
      </c>
      <c r="K88" s="136">
        <f t="shared" si="19"/>
        <v>1443455.6400000001</v>
      </c>
      <c r="L88" s="153">
        <f t="shared" si="20"/>
        <v>79390060.200000003</v>
      </c>
      <c r="M88" s="135">
        <f t="shared" si="21"/>
        <v>77946604.560000002</v>
      </c>
      <c r="N88" s="134" t="s">
        <v>180</v>
      </c>
      <c r="O88" s="134" t="s">
        <v>199</v>
      </c>
      <c r="P88" s="133"/>
      <c r="Q88" s="133"/>
      <c r="R88" s="133"/>
      <c r="S88" s="133">
        <f>H88</f>
        <v>72172782</v>
      </c>
      <c r="T88" s="133"/>
      <c r="U88" s="133"/>
      <c r="V88" s="133"/>
      <c r="W88" s="133"/>
      <c r="X88" s="132"/>
      <c r="Y88" s="132"/>
      <c r="Z88" s="132"/>
      <c r="AA88" s="131"/>
      <c r="AB88" s="184" t="s">
        <v>178</v>
      </c>
      <c r="AC88" s="211">
        <f t="shared" si="22"/>
        <v>72172782</v>
      </c>
      <c r="AD88" s="211"/>
      <c r="AE88" s="229"/>
    </row>
    <row r="89" spans="1:33" s="152" customFormat="1" x14ac:dyDescent="0.3">
      <c r="A89" s="837"/>
      <c r="B89" s="137">
        <v>78</v>
      </c>
      <c r="C89" s="141" t="s">
        <v>307</v>
      </c>
      <c r="D89" s="140" t="s">
        <v>201</v>
      </c>
      <c r="E89" s="139">
        <v>2015</v>
      </c>
      <c r="F89" s="219" t="s">
        <v>551</v>
      </c>
      <c r="G89" s="137" t="s">
        <v>562</v>
      </c>
      <c r="H89" s="136">
        <v>36086391</v>
      </c>
      <c r="I89" s="136"/>
      <c r="J89" s="136">
        <f t="shared" si="18"/>
        <v>3608639.1</v>
      </c>
      <c r="K89" s="136">
        <f t="shared" si="19"/>
        <v>721727.82000000007</v>
      </c>
      <c r="L89" s="153">
        <f t="shared" si="20"/>
        <v>39695030.100000001</v>
      </c>
      <c r="M89" s="135">
        <f t="shared" si="21"/>
        <v>38973302.280000001</v>
      </c>
      <c r="N89" s="134" t="s">
        <v>180</v>
      </c>
      <c r="O89" s="134" t="s">
        <v>199</v>
      </c>
      <c r="P89" s="133"/>
      <c r="Q89" s="133"/>
      <c r="R89" s="133"/>
      <c r="S89" s="133">
        <f>H89</f>
        <v>36086391</v>
      </c>
      <c r="T89" s="133"/>
      <c r="U89" s="133"/>
      <c r="V89" s="133"/>
      <c r="W89" s="133"/>
      <c r="X89" s="132"/>
      <c r="Y89" s="132"/>
      <c r="Z89" s="132"/>
      <c r="AA89" s="131"/>
      <c r="AB89" s="184" t="s">
        <v>178</v>
      </c>
      <c r="AC89" s="211">
        <f t="shared" si="22"/>
        <v>36086391</v>
      </c>
      <c r="AD89" s="211"/>
      <c r="AE89" s="229"/>
    </row>
    <row r="90" spans="1:33" s="152" customFormat="1" ht="30" x14ac:dyDescent="0.3">
      <c r="A90" s="837"/>
      <c r="B90" s="137">
        <v>79</v>
      </c>
      <c r="C90" s="141" t="s">
        <v>559</v>
      </c>
      <c r="D90" s="140" t="s">
        <v>561</v>
      </c>
      <c r="E90" s="139">
        <v>2015</v>
      </c>
      <c r="F90" s="219" t="s">
        <v>551</v>
      </c>
      <c r="G90" s="137" t="s">
        <v>560</v>
      </c>
      <c r="H90" s="136">
        <v>25235331</v>
      </c>
      <c r="I90" s="136"/>
      <c r="J90" s="136">
        <f t="shared" si="18"/>
        <v>2523533.1</v>
      </c>
      <c r="K90" s="136">
        <f t="shared" si="19"/>
        <v>504706.62</v>
      </c>
      <c r="L90" s="153">
        <f t="shared" si="20"/>
        <v>27758864.100000001</v>
      </c>
      <c r="M90" s="135">
        <f t="shared" si="21"/>
        <v>27254157.48</v>
      </c>
      <c r="N90" s="134" t="s">
        <v>180</v>
      </c>
      <c r="O90" s="134" t="s">
        <v>227</v>
      </c>
      <c r="P90" s="133"/>
      <c r="Q90" s="133"/>
      <c r="R90" s="133"/>
      <c r="S90" s="133"/>
      <c r="T90" s="133"/>
      <c r="U90" s="133"/>
      <c r="V90" s="133"/>
      <c r="W90" s="133"/>
      <c r="X90" s="132"/>
      <c r="Y90" s="132"/>
      <c r="Z90" s="132"/>
      <c r="AA90" s="131"/>
      <c r="AB90" s="184" t="s">
        <v>178</v>
      </c>
      <c r="AC90" s="211">
        <f t="shared" si="22"/>
        <v>25235331</v>
      </c>
      <c r="AD90" s="211"/>
      <c r="AE90" s="229"/>
    </row>
    <row r="91" spans="1:33" s="152" customFormat="1" x14ac:dyDescent="0.3">
      <c r="A91" s="837"/>
      <c r="B91" s="137">
        <v>80</v>
      </c>
      <c r="C91" s="222" t="s">
        <v>559</v>
      </c>
      <c r="D91" s="221" t="s">
        <v>558</v>
      </c>
      <c r="E91" s="139">
        <v>2015</v>
      </c>
      <c r="F91" s="219" t="s">
        <v>551</v>
      </c>
      <c r="G91" s="137" t="s">
        <v>557</v>
      </c>
      <c r="H91" s="136">
        <v>23065119</v>
      </c>
      <c r="I91" s="136"/>
      <c r="J91" s="136"/>
      <c r="K91" s="136"/>
      <c r="L91" s="153"/>
      <c r="M91" s="135"/>
      <c r="N91" s="134" t="s">
        <v>180</v>
      </c>
      <c r="O91" s="134" t="s">
        <v>227</v>
      </c>
      <c r="P91" s="133"/>
      <c r="Q91" s="133"/>
      <c r="R91" s="133"/>
      <c r="S91" s="133"/>
      <c r="T91" s="133"/>
      <c r="U91" s="133"/>
      <c r="V91" s="133"/>
      <c r="W91" s="133"/>
      <c r="X91" s="132"/>
      <c r="Y91" s="132"/>
      <c r="Z91" s="132"/>
      <c r="AA91" s="131"/>
      <c r="AB91" s="184" t="s">
        <v>178</v>
      </c>
      <c r="AC91" s="211"/>
      <c r="AD91" s="211"/>
      <c r="AE91" s="229"/>
    </row>
    <row r="92" spans="1:33" s="152" customFormat="1" x14ac:dyDescent="0.3">
      <c r="A92" s="837"/>
      <c r="B92" s="137">
        <v>81</v>
      </c>
      <c r="C92" s="141" t="s">
        <v>556</v>
      </c>
      <c r="D92" s="221" t="s">
        <v>263</v>
      </c>
      <c r="E92" s="253"/>
      <c r="F92" s="219" t="s">
        <v>551</v>
      </c>
      <c r="G92" s="137" t="s">
        <v>555</v>
      </c>
      <c r="H92" s="136">
        <v>26466000</v>
      </c>
      <c r="I92" s="136"/>
      <c r="J92" s="136">
        <f>H92*10%</f>
        <v>2646600</v>
      </c>
      <c r="K92" s="136">
        <f>H92*2%</f>
        <v>529320</v>
      </c>
      <c r="L92" s="153">
        <f>H92+J92</f>
        <v>29112600</v>
      </c>
      <c r="M92" s="135">
        <f>H92+J92-K92</f>
        <v>28583280</v>
      </c>
      <c r="N92" s="134" t="s">
        <v>180</v>
      </c>
      <c r="O92" s="134" t="s">
        <v>227</v>
      </c>
      <c r="P92" s="133"/>
      <c r="Q92" s="133"/>
      <c r="R92" s="133"/>
      <c r="S92" s="133"/>
      <c r="T92" s="133"/>
      <c r="U92" s="133"/>
      <c r="V92" s="133"/>
      <c r="W92" s="133"/>
      <c r="X92" s="132"/>
      <c r="Y92" s="132"/>
      <c r="Z92" s="132"/>
      <c r="AA92" s="131"/>
      <c r="AB92" s="256" t="s">
        <v>249</v>
      </c>
      <c r="AC92" s="211">
        <f>H92</f>
        <v>26466000</v>
      </c>
      <c r="AD92" s="211"/>
      <c r="AE92" s="229"/>
    </row>
    <row r="93" spans="1:33" s="152" customFormat="1" x14ac:dyDescent="0.3">
      <c r="A93" s="837"/>
      <c r="B93" s="137">
        <v>82</v>
      </c>
      <c r="C93" s="141" t="s">
        <v>185</v>
      </c>
      <c r="D93" s="140" t="s">
        <v>184</v>
      </c>
      <c r="E93" s="253" t="s">
        <v>554</v>
      </c>
      <c r="F93" s="219" t="s">
        <v>551</v>
      </c>
      <c r="G93" s="137" t="s">
        <v>550</v>
      </c>
      <c r="H93" s="136">
        <v>15999600</v>
      </c>
      <c r="I93" s="136"/>
      <c r="J93" s="136">
        <f>H93*10%</f>
        <v>1599960</v>
      </c>
      <c r="K93" s="136">
        <f>H93*2%</f>
        <v>319992</v>
      </c>
      <c r="L93" s="153">
        <f>H93+J93</f>
        <v>17599560</v>
      </c>
      <c r="M93" s="135">
        <f>H93+J93-K93</f>
        <v>17279568</v>
      </c>
      <c r="N93" s="134" t="s">
        <v>180</v>
      </c>
      <c r="O93" s="134" t="s">
        <v>179</v>
      </c>
      <c r="P93" s="133"/>
      <c r="Q93" s="133"/>
      <c r="R93" s="133"/>
      <c r="S93" s="133">
        <f>H93</f>
        <v>15999600</v>
      </c>
      <c r="T93" s="133"/>
      <c r="U93" s="133"/>
      <c r="V93" s="133"/>
      <c r="W93" s="133"/>
      <c r="X93" s="132"/>
      <c r="Y93" s="132"/>
      <c r="Z93" s="132"/>
      <c r="AA93" s="131"/>
      <c r="AB93" s="256" t="s">
        <v>249</v>
      </c>
      <c r="AC93" s="211">
        <f>H93</f>
        <v>15999600</v>
      </c>
      <c r="AD93" s="211"/>
      <c r="AE93" s="229"/>
    </row>
    <row r="94" spans="1:33" s="152" customFormat="1" x14ac:dyDescent="0.3">
      <c r="A94" s="837"/>
      <c r="B94" s="137">
        <v>83</v>
      </c>
      <c r="C94" s="141" t="s">
        <v>185</v>
      </c>
      <c r="D94" s="140" t="s">
        <v>552</v>
      </c>
      <c r="E94" s="139" t="s">
        <v>553</v>
      </c>
      <c r="F94" s="219" t="s">
        <v>551</v>
      </c>
      <c r="G94" s="137" t="s">
        <v>550</v>
      </c>
      <c r="H94" s="136">
        <v>6666500</v>
      </c>
      <c r="I94" s="136"/>
      <c r="J94" s="136">
        <f>H94*10%</f>
        <v>666650</v>
      </c>
      <c r="K94" s="136">
        <f>H94*2%</f>
        <v>133330</v>
      </c>
      <c r="L94" s="153">
        <f>H94+J94</f>
        <v>7333150</v>
      </c>
      <c r="M94" s="135">
        <f>H94+J94-K94</f>
        <v>7199820</v>
      </c>
      <c r="N94" s="134" t="s">
        <v>180</v>
      </c>
      <c r="O94" s="134" t="s">
        <v>179</v>
      </c>
      <c r="P94" s="133"/>
      <c r="Q94" s="133"/>
      <c r="R94" s="133"/>
      <c r="S94" s="133">
        <f>H94</f>
        <v>6666500</v>
      </c>
      <c r="T94" s="133"/>
      <c r="U94" s="133"/>
      <c r="V94" s="133"/>
      <c r="W94" s="133"/>
      <c r="X94" s="132"/>
      <c r="Y94" s="132"/>
      <c r="Z94" s="132"/>
      <c r="AA94" s="131"/>
      <c r="AB94" s="256" t="s">
        <v>249</v>
      </c>
      <c r="AC94" s="211">
        <f>H94</f>
        <v>6666500</v>
      </c>
      <c r="AD94" s="211"/>
      <c r="AE94" s="229"/>
    </row>
    <row r="95" spans="1:33" s="152" customFormat="1" x14ac:dyDescent="0.3">
      <c r="A95" s="837"/>
      <c r="B95" s="137">
        <v>84</v>
      </c>
      <c r="C95" s="141" t="s">
        <v>185</v>
      </c>
      <c r="D95" s="140" t="s">
        <v>552</v>
      </c>
      <c r="E95" s="240" t="s">
        <v>421</v>
      </c>
      <c r="F95" s="219" t="s">
        <v>551</v>
      </c>
      <c r="G95" s="137" t="s">
        <v>550</v>
      </c>
      <c r="H95" s="136">
        <v>6666500</v>
      </c>
      <c r="I95" s="136"/>
      <c r="J95" s="136">
        <f>H95*10%</f>
        <v>666650</v>
      </c>
      <c r="K95" s="136">
        <f>H95*2%</f>
        <v>133330</v>
      </c>
      <c r="L95" s="153">
        <f>H95+J95</f>
        <v>7333150</v>
      </c>
      <c r="M95" s="135">
        <f>H95+J95-K95</f>
        <v>7199820</v>
      </c>
      <c r="N95" s="134" t="s">
        <v>180</v>
      </c>
      <c r="O95" s="134" t="s">
        <v>179</v>
      </c>
      <c r="P95" s="133"/>
      <c r="Q95" s="133"/>
      <c r="R95" s="133"/>
      <c r="S95" s="133">
        <f>H95</f>
        <v>6666500</v>
      </c>
      <c r="T95" s="133"/>
      <c r="U95" s="133"/>
      <c r="V95" s="133"/>
      <c r="W95" s="133"/>
      <c r="X95" s="132"/>
      <c r="Y95" s="132"/>
      <c r="Z95" s="132"/>
      <c r="AA95" s="131"/>
      <c r="AB95" s="256" t="s">
        <v>249</v>
      </c>
      <c r="AC95" s="211">
        <f>H95</f>
        <v>6666500</v>
      </c>
      <c r="AD95" s="211"/>
      <c r="AE95" s="229"/>
    </row>
    <row r="96" spans="1:33" s="89" customFormat="1" x14ac:dyDescent="0.3">
      <c r="A96" s="838"/>
      <c r="B96" s="127" t="s">
        <v>549</v>
      </c>
      <c r="C96" s="126"/>
      <c r="D96" s="126"/>
      <c r="E96" s="126"/>
      <c r="F96" s="126"/>
      <c r="G96" s="125"/>
      <c r="H96" s="124">
        <f>SUM(H68:H95)</f>
        <v>1430474280</v>
      </c>
      <c r="I96" s="124"/>
      <c r="J96" s="124"/>
      <c r="K96" s="124"/>
      <c r="L96" s="124"/>
      <c r="M96" s="124"/>
      <c r="N96" s="124"/>
      <c r="O96" s="124"/>
      <c r="P96" s="151">
        <f t="shared" ref="P96:AA96" si="23">SUM(P68:P95)</f>
        <v>297989000</v>
      </c>
      <c r="Q96" s="151">
        <f t="shared" si="23"/>
        <v>90000000</v>
      </c>
      <c r="R96" s="151">
        <f t="shared" si="23"/>
        <v>169615182</v>
      </c>
      <c r="S96" s="151">
        <f t="shared" si="23"/>
        <v>137591773</v>
      </c>
      <c r="T96" s="151">
        <f t="shared" si="23"/>
        <v>0</v>
      </c>
      <c r="U96" s="151">
        <f t="shared" si="23"/>
        <v>154180500</v>
      </c>
      <c r="V96" s="151">
        <f t="shared" si="23"/>
        <v>0</v>
      </c>
      <c r="W96" s="151">
        <f t="shared" si="23"/>
        <v>354500000</v>
      </c>
      <c r="X96" s="151">
        <f t="shared" si="23"/>
        <v>0</v>
      </c>
      <c r="Y96" s="151">
        <f t="shared" si="23"/>
        <v>0</v>
      </c>
      <c r="Z96" s="151">
        <f t="shared" si="23"/>
        <v>72062625</v>
      </c>
      <c r="AA96" s="120">
        <f t="shared" si="23"/>
        <v>0</v>
      </c>
      <c r="AB96" s="119"/>
      <c r="AC96" s="351">
        <f>SUM(AC68:AC95)</f>
        <v>683148661</v>
      </c>
      <c r="AD96" s="350">
        <f>SUM(AD68:AD68)</f>
        <v>0</v>
      </c>
      <c r="AE96" s="116"/>
      <c r="AG96" s="115">
        <f>L96-(SUM(P96:X96))</f>
        <v>-1203876455</v>
      </c>
    </row>
    <row r="97" spans="1:31" s="89" customFormat="1" x14ac:dyDescent="0.3">
      <c r="A97" s="34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8"/>
      <c r="O97" s="348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46"/>
      <c r="AB97" s="346"/>
      <c r="AC97" s="346"/>
      <c r="AD97" s="346"/>
      <c r="AE97" s="345"/>
    </row>
    <row r="98" spans="1:31" s="152" customFormat="1" ht="16.5" customHeight="1" x14ac:dyDescent="0.3">
      <c r="A98" s="836" t="s">
        <v>548</v>
      </c>
      <c r="B98" s="137">
        <v>85</v>
      </c>
      <c r="C98" s="141" t="s">
        <v>202</v>
      </c>
      <c r="D98" s="140" t="s">
        <v>314</v>
      </c>
      <c r="E98" s="240" t="s">
        <v>546</v>
      </c>
      <c r="F98" s="138">
        <v>42461</v>
      </c>
      <c r="G98" s="137" t="s">
        <v>547</v>
      </c>
      <c r="H98" s="136">
        <v>3969900</v>
      </c>
      <c r="I98" s="136"/>
      <c r="J98" s="136">
        <f t="shared" ref="J98:J108" si="24">H98*10%</f>
        <v>396990</v>
      </c>
      <c r="K98" s="136">
        <f t="shared" ref="K98:K113" si="25">H98*2%</f>
        <v>79398</v>
      </c>
      <c r="L98" s="153">
        <f t="shared" ref="L98:L113" si="26">H98+J98</f>
        <v>4366890</v>
      </c>
      <c r="M98" s="135">
        <f t="shared" ref="M98:M113" si="27">H98+J98-K98</f>
        <v>4287492</v>
      </c>
      <c r="N98" s="134" t="s">
        <v>180</v>
      </c>
      <c r="O98" s="134" t="s">
        <v>199</v>
      </c>
      <c r="P98" s="133">
        <f t="shared" ref="P98:P109" si="28">H98</f>
        <v>3969900</v>
      </c>
      <c r="Q98" s="133"/>
      <c r="R98" s="133"/>
      <c r="S98" s="133"/>
      <c r="T98" s="133"/>
      <c r="U98" s="133"/>
      <c r="V98" s="133"/>
      <c r="W98" s="133"/>
      <c r="X98" s="132"/>
      <c r="Y98" s="132"/>
      <c r="Z98" s="132"/>
      <c r="AA98" s="131"/>
      <c r="AB98" s="256" t="s">
        <v>249</v>
      </c>
      <c r="AC98" s="211">
        <f>H98</f>
        <v>3969900</v>
      </c>
      <c r="AD98" s="211"/>
      <c r="AE98" s="229"/>
    </row>
    <row r="99" spans="1:31" s="152" customFormat="1" ht="16.5" customHeight="1" x14ac:dyDescent="0.3">
      <c r="A99" s="837"/>
      <c r="B99" s="137">
        <v>86</v>
      </c>
      <c r="C99" s="141" t="s">
        <v>202</v>
      </c>
      <c r="D99" s="140" t="s">
        <v>201</v>
      </c>
      <c r="E99" s="220" t="s">
        <v>546</v>
      </c>
      <c r="F99" s="138">
        <v>42461</v>
      </c>
      <c r="G99" s="137" t="s">
        <v>545</v>
      </c>
      <c r="H99" s="136">
        <v>13233000</v>
      </c>
      <c r="I99" s="136"/>
      <c r="J99" s="136">
        <f t="shared" si="24"/>
        <v>1323300</v>
      </c>
      <c r="K99" s="136">
        <f t="shared" si="25"/>
        <v>264660</v>
      </c>
      <c r="L99" s="153">
        <f t="shared" si="26"/>
        <v>14556300</v>
      </c>
      <c r="M99" s="135">
        <f t="shared" si="27"/>
        <v>14291640</v>
      </c>
      <c r="N99" s="134" t="s">
        <v>180</v>
      </c>
      <c r="O99" s="134" t="s">
        <v>199</v>
      </c>
      <c r="P99" s="133">
        <f t="shared" si="28"/>
        <v>13233000</v>
      </c>
      <c r="Q99" s="133"/>
      <c r="R99" s="133"/>
      <c r="S99" s="133"/>
      <c r="T99" s="133"/>
      <c r="U99" s="133"/>
      <c r="V99" s="133"/>
      <c r="W99" s="133"/>
      <c r="X99" s="132"/>
      <c r="Y99" s="132"/>
      <c r="Z99" s="132"/>
      <c r="AA99" s="131"/>
      <c r="AB99" s="256" t="s">
        <v>249</v>
      </c>
      <c r="AC99" s="211">
        <f>H99</f>
        <v>13233000</v>
      </c>
      <c r="AD99" s="211"/>
      <c r="AE99" s="229"/>
    </row>
    <row r="100" spans="1:31" s="152" customFormat="1" ht="16.5" customHeight="1" x14ac:dyDescent="0.3">
      <c r="A100" s="837"/>
      <c r="B100" s="137">
        <v>87</v>
      </c>
      <c r="C100" s="141" t="s">
        <v>198</v>
      </c>
      <c r="D100" s="140" t="s">
        <v>190</v>
      </c>
      <c r="E100" s="220" t="s">
        <v>220</v>
      </c>
      <c r="F100" s="138">
        <v>42461</v>
      </c>
      <c r="G100" s="137" t="s">
        <v>544</v>
      </c>
      <c r="H100" s="136">
        <v>59548500</v>
      </c>
      <c r="I100" s="136"/>
      <c r="J100" s="136">
        <f t="shared" si="24"/>
        <v>5954850</v>
      </c>
      <c r="K100" s="136">
        <f t="shared" si="25"/>
        <v>1190970</v>
      </c>
      <c r="L100" s="153">
        <f t="shared" si="26"/>
        <v>65503350</v>
      </c>
      <c r="M100" s="135">
        <f t="shared" si="27"/>
        <v>64312380</v>
      </c>
      <c r="N100" s="134" t="s">
        <v>180</v>
      </c>
      <c r="O100" s="134" t="s">
        <v>186</v>
      </c>
      <c r="P100" s="133">
        <f t="shared" si="28"/>
        <v>59548500</v>
      </c>
      <c r="Q100" s="133"/>
      <c r="R100" s="133"/>
      <c r="S100" s="133"/>
      <c r="T100" s="133"/>
      <c r="U100" s="133"/>
      <c r="V100" s="133"/>
      <c r="W100" s="133"/>
      <c r="X100" s="132"/>
      <c r="Y100" s="132"/>
      <c r="Z100" s="132"/>
      <c r="AA100" s="131"/>
      <c r="AB100" s="256" t="s">
        <v>249</v>
      </c>
      <c r="AC100" s="211">
        <f>H100</f>
        <v>59548500</v>
      </c>
      <c r="AD100" s="211"/>
      <c r="AE100" s="229"/>
    </row>
    <row r="101" spans="1:31" s="152" customFormat="1" ht="16.5" customHeight="1" x14ac:dyDescent="0.3">
      <c r="A101" s="837"/>
      <c r="B101" s="137">
        <v>88</v>
      </c>
      <c r="C101" s="141" t="s">
        <v>360</v>
      </c>
      <c r="D101" s="140" t="s">
        <v>535</v>
      </c>
      <c r="E101" s="220" t="s">
        <v>220</v>
      </c>
      <c r="F101" s="138">
        <v>42461</v>
      </c>
      <c r="G101" s="137" t="s">
        <v>543</v>
      </c>
      <c r="H101" s="136">
        <v>11909700</v>
      </c>
      <c r="I101" s="136"/>
      <c r="J101" s="136">
        <f t="shared" si="24"/>
        <v>1190970</v>
      </c>
      <c r="K101" s="136">
        <f t="shared" si="25"/>
        <v>238194</v>
      </c>
      <c r="L101" s="153">
        <f t="shared" si="26"/>
        <v>13100670</v>
      </c>
      <c r="M101" s="135">
        <f t="shared" si="27"/>
        <v>12862476</v>
      </c>
      <c r="N101" s="134" t="s">
        <v>180</v>
      </c>
      <c r="O101" s="134" t="s">
        <v>186</v>
      </c>
      <c r="P101" s="133">
        <f t="shared" si="28"/>
        <v>11909700</v>
      </c>
      <c r="Q101" s="133"/>
      <c r="R101" s="133"/>
      <c r="S101" s="133"/>
      <c r="T101" s="133"/>
      <c r="U101" s="133"/>
      <c r="V101" s="133"/>
      <c r="W101" s="133"/>
      <c r="X101" s="132"/>
      <c r="Y101" s="132"/>
      <c r="Z101" s="132"/>
      <c r="AA101" s="131"/>
      <c r="AB101" s="256" t="s">
        <v>249</v>
      </c>
      <c r="AC101" s="211"/>
      <c r="AD101" s="211"/>
      <c r="AE101" s="229"/>
    </row>
    <row r="102" spans="1:31" s="152" customFormat="1" ht="16.5" customHeight="1" x14ac:dyDescent="0.3">
      <c r="A102" s="837"/>
      <c r="B102" s="137">
        <v>89</v>
      </c>
      <c r="C102" s="141" t="s">
        <v>358</v>
      </c>
      <c r="D102" s="140" t="s">
        <v>535</v>
      </c>
      <c r="E102" s="220" t="s">
        <v>220</v>
      </c>
      <c r="F102" s="138">
        <v>42461</v>
      </c>
      <c r="G102" s="137" t="s">
        <v>542</v>
      </c>
      <c r="H102" s="136">
        <v>11909700</v>
      </c>
      <c r="I102" s="136"/>
      <c r="J102" s="136">
        <f t="shared" si="24"/>
        <v>1190970</v>
      </c>
      <c r="K102" s="136">
        <f t="shared" si="25"/>
        <v>238194</v>
      </c>
      <c r="L102" s="153">
        <f t="shared" si="26"/>
        <v>13100670</v>
      </c>
      <c r="M102" s="135">
        <f t="shared" si="27"/>
        <v>12862476</v>
      </c>
      <c r="N102" s="134" t="s">
        <v>180</v>
      </c>
      <c r="O102" s="134" t="s">
        <v>186</v>
      </c>
      <c r="P102" s="236">
        <f t="shared" si="28"/>
        <v>11909700</v>
      </c>
      <c r="Q102" s="236"/>
      <c r="R102" s="236"/>
      <c r="S102" s="236"/>
      <c r="T102" s="236"/>
      <c r="U102" s="236"/>
      <c r="V102" s="236"/>
      <c r="W102" s="236"/>
      <c r="X102" s="235"/>
      <c r="Y102" s="235"/>
      <c r="Z102" s="235"/>
      <c r="AA102" s="254"/>
      <c r="AB102" s="256" t="s">
        <v>249</v>
      </c>
      <c r="AC102" s="233">
        <f t="shared" ref="AC102:AC113" si="29">H102</f>
        <v>11909700</v>
      </c>
      <c r="AD102" s="233"/>
      <c r="AE102" s="232"/>
    </row>
    <row r="103" spans="1:31" s="152" customFormat="1" ht="16.5" customHeight="1" x14ac:dyDescent="0.3">
      <c r="A103" s="837"/>
      <c r="B103" s="137">
        <v>90</v>
      </c>
      <c r="C103" s="141" t="s">
        <v>356</v>
      </c>
      <c r="D103" s="140" t="s">
        <v>535</v>
      </c>
      <c r="E103" s="220" t="s">
        <v>220</v>
      </c>
      <c r="F103" s="138">
        <v>42461</v>
      </c>
      <c r="G103" s="137" t="s">
        <v>541</v>
      </c>
      <c r="H103" s="136">
        <v>11909700</v>
      </c>
      <c r="I103" s="136"/>
      <c r="J103" s="136">
        <f t="shared" si="24"/>
        <v>1190970</v>
      </c>
      <c r="K103" s="136">
        <f t="shared" si="25"/>
        <v>238194</v>
      </c>
      <c r="L103" s="153">
        <f t="shared" si="26"/>
        <v>13100670</v>
      </c>
      <c r="M103" s="135">
        <f t="shared" si="27"/>
        <v>12862476</v>
      </c>
      <c r="N103" s="134" t="s">
        <v>180</v>
      </c>
      <c r="O103" s="134" t="s">
        <v>186</v>
      </c>
      <c r="P103" s="236">
        <f t="shared" si="28"/>
        <v>11909700</v>
      </c>
      <c r="Q103" s="236"/>
      <c r="R103" s="236"/>
      <c r="S103" s="236"/>
      <c r="T103" s="236"/>
      <c r="U103" s="236"/>
      <c r="V103" s="236"/>
      <c r="W103" s="236"/>
      <c r="X103" s="235"/>
      <c r="Y103" s="235"/>
      <c r="Z103" s="235"/>
      <c r="AA103" s="254"/>
      <c r="AB103" s="256" t="s">
        <v>249</v>
      </c>
      <c r="AC103" s="233">
        <f t="shared" si="29"/>
        <v>11909700</v>
      </c>
      <c r="AD103" s="233"/>
      <c r="AE103" s="232"/>
    </row>
    <row r="104" spans="1:31" s="152" customFormat="1" ht="16.5" customHeight="1" x14ac:dyDescent="0.3">
      <c r="A104" s="837"/>
      <c r="B104" s="137">
        <v>91</v>
      </c>
      <c r="C104" s="141" t="s">
        <v>354</v>
      </c>
      <c r="D104" s="140" t="s">
        <v>535</v>
      </c>
      <c r="E104" s="220" t="s">
        <v>220</v>
      </c>
      <c r="F104" s="138">
        <v>42461</v>
      </c>
      <c r="G104" s="137" t="s">
        <v>540</v>
      </c>
      <c r="H104" s="136">
        <v>11909700</v>
      </c>
      <c r="I104" s="136"/>
      <c r="J104" s="136">
        <f t="shared" si="24"/>
        <v>1190970</v>
      </c>
      <c r="K104" s="136">
        <f t="shared" si="25"/>
        <v>238194</v>
      </c>
      <c r="L104" s="153">
        <f t="shared" si="26"/>
        <v>13100670</v>
      </c>
      <c r="M104" s="135">
        <f t="shared" si="27"/>
        <v>12862476</v>
      </c>
      <c r="N104" s="134" t="s">
        <v>180</v>
      </c>
      <c r="O104" s="134" t="s">
        <v>186</v>
      </c>
      <c r="P104" s="236">
        <f t="shared" si="28"/>
        <v>11909700</v>
      </c>
      <c r="Q104" s="236"/>
      <c r="R104" s="236"/>
      <c r="S104" s="236"/>
      <c r="T104" s="236"/>
      <c r="U104" s="236"/>
      <c r="V104" s="236"/>
      <c r="W104" s="236"/>
      <c r="X104" s="235"/>
      <c r="Y104" s="235"/>
      <c r="Z104" s="235"/>
      <c r="AA104" s="254"/>
      <c r="AB104" s="256" t="s">
        <v>249</v>
      </c>
      <c r="AC104" s="233">
        <f t="shared" si="29"/>
        <v>11909700</v>
      </c>
      <c r="AD104" s="233"/>
      <c r="AE104" s="232"/>
    </row>
    <row r="105" spans="1:31" s="152" customFormat="1" ht="16.5" customHeight="1" x14ac:dyDescent="0.3">
      <c r="A105" s="837"/>
      <c r="B105" s="137">
        <v>92</v>
      </c>
      <c r="C105" s="141" t="s">
        <v>352</v>
      </c>
      <c r="D105" s="140" t="s">
        <v>535</v>
      </c>
      <c r="E105" s="220" t="s">
        <v>220</v>
      </c>
      <c r="F105" s="138">
        <v>42461</v>
      </c>
      <c r="G105" s="137" t="s">
        <v>539</v>
      </c>
      <c r="H105" s="136">
        <v>11909700</v>
      </c>
      <c r="I105" s="136"/>
      <c r="J105" s="136">
        <f t="shared" si="24"/>
        <v>1190970</v>
      </c>
      <c r="K105" s="136">
        <f t="shared" si="25"/>
        <v>238194</v>
      </c>
      <c r="L105" s="153">
        <f t="shared" si="26"/>
        <v>13100670</v>
      </c>
      <c r="M105" s="135">
        <f t="shared" si="27"/>
        <v>12862476</v>
      </c>
      <c r="N105" s="134" t="s">
        <v>180</v>
      </c>
      <c r="O105" s="134" t="s">
        <v>186</v>
      </c>
      <c r="P105" s="236">
        <f t="shared" si="28"/>
        <v>11909700</v>
      </c>
      <c r="Q105" s="236"/>
      <c r="R105" s="236"/>
      <c r="S105" s="236"/>
      <c r="T105" s="236"/>
      <c r="U105" s="236"/>
      <c r="V105" s="236"/>
      <c r="W105" s="236"/>
      <c r="X105" s="235"/>
      <c r="Y105" s="235"/>
      <c r="Z105" s="235"/>
      <c r="AA105" s="254"/>
      <c r="AB105" s="256" t="s">
        <v>249</v>
      </c>
      <c r="AC105" s="233">
        <f t="shared" si="29"/>
        <v>11909700</v>
      </c>
      <c r="AD105" s="233"/>
      <c r="AE105" s="232"/>
    </row>
    <row r="106" spans="1:31" s="152" customFormat="1" ht="16.5" customHeight="1" x14ac:dyDescent="0.3">
      <c r="A106" s="837"/>
      <c r="B106" s="137">
        <v>93</v>
      </c>
      <c r="C106" s="141" t="s">
        <v>350</v>
      </c>
      <c r="D106" s="140" t="s">
        <v>535</v>
      </c>
      <c r="E106" s="220" t="s">
        <v>220</v>
      </c>
      <c r="F106" s="138">
        <v>42461</v>
      </c>
      <c r="G106" s="137" t="s">
        <v>538</v>
      </c>
      <c r="H106" s="136">
        <v>11909700</v>
      </c>
      <c r="I106" s="136"/>
      <c r="J106" s="136">
        <f t="shared" si="24"/>
        <v>1190970</v>
      </c>
      <c r="K106" s="136">
        <f t="shared" si="25"/>
        <v>238194</v>
      </c>
      <c r="L106" s="153">
        <f t="shared" si="26"/>
        <v>13100670</v>
      </c>
      <c r="M106" s="135">
        <f t="shared" si="27"/>
        <v>12862476</v>
      </c>
      <c r="N106" s="134" t="s">
        <v>180</v>
      </c>
      <c r="O106" s="134" t="s">
        <v>186</v>
      </c>
      <c r="P106" s="236">
        <f t="shared" si="28"/>
        <v>11909700</v>
      </c>
      <c r="Q106" s="236"/>
      <c r="R106" s="236"/>
      <c r="S106" s="236"/>
      <c r="T106" s="236"/>
      <c r="U106" s="236"/>
      <c r="V106" s="236"/>
      <c r="W106" s="236"/>
      <c r="X106" s="235"/>
      <c r="Y106" s="235"/>
      <c r="Z106" s="235"/>
      <c r="AA106" s="254"/>
      <c r="AB106" s="256" t="s">
        <v>249</v>
      </c>
      <c r="AC106" s="233">
        <f t="shared" si="29"/>
        <v>11909700</v>
      </c>
      <c r="AD106" s="233"/>
      <c r="AE106" s="232"/>
    </row>
    <row r="107" spans="1:31" s="152" customFormat="1" ht="16.5" customHeight="1" x14ac:dyDescent="0.3">
      <c r="A107" s="837"/>
      <c r="B107" s="137">
        <v>94</v>
      </c>
      <c r="C107" s="141" t="s">
        <v>348</v>
      </c>
      <c r="D107" s="140" t="s">
        <v>535</v>
      </c>
      <c r="E107" s="220" t="s">
        <v>220</v>
      </c>
      <c r="F107" s="138">
        <v>42461</v>
      </c>
      <c r="G107" s="137" t="s">
        <v>537</v>
      </c>
      <c r="H107" s="136">
        <v>11909700</v>
      </c>
      <c r="I107" s="136"/>
      <c r="J107" s="136">
        <f t="shared" si="24"/>
        <v>1190970</v>
      </c>
      <c r="K107" s="136">
        <f t="shared" si="25"/>
        <v>238194</v>
      </c>
      <c r="L107" s="153">
        <f t="shared" si="26"/>
        <v>13100670</v>
      </c>
      <c r="M107" s="135">
        <f t="shared" si="27"/>
        <v>12862476</v>
      </c>
      <c r="N107" s="134" t="s">
        <v>180</v>
      </c>
      <c r="O107" s="134" t="s">
        <v>186</v>
      </c>
      <c r="P107" s="236">
        <f t="shared" si="28"/>
        <v>11909700</v>
      </c>
      <c r="Q107" s="236"/>
      <c r="R107" s="236"/>
      <c r="S107" s="236"/>
      <c r="T107" s="236"/>
      <c r="U107" s="236"/>
      <c r="V107" s="236"/>
      <c r="W107" s="236"/>
      <c r="X107" s="235"/>
      <c r="Y107" s="235"/>
      <c r="Z107" s="235"/>
      <c r="AA107" s="254"/>
      <c r="AB107" s="256" t="s">
        <v>249</v>
      </c>
      <c r="AC107" s="233">
        <f t="shared" si="29"/>
        <v>11909700</v>
      </c>
      <c r="AD107" s="233"/>
      <c r="AE107" s="232"/>
    </row>
    <row r="108" spans="1:31" s="152" customFormat="1" ht="16.5" customHeight="1" x14ac:dyDescent="0.3">
      <c r="A108" s="837"/>
      <c r="B108" s="137">
        <v>95</v>
      </c>
      <c r="C108" s="141" t="s">
        <v>346</v>
      </c>
      <c r="D108" s="140" t="s">
        <v>535</v>
      </c>
      <c r="E108" s="220" t="s">
        <v>220</v>
      </c>
      <c r="F108" s="138">
        <v>42461</v>
      </c>
      <c r="G108" s="137" t="s">
        <v>536</v>
      </c>
      <c r="H108" s="136">
        <v>11909700</v>
      </c>
      <c r="I108" s="136"/>
      <c r="J108" s="136">
        <f t="shared" si="24"/>
        <v>1190970</v>
      </c>
      <c r="K108" s="136">
        <f t="shared" si="25"/>
        <v>238194</v>
      </c>
      <c r="L108" s="153">
        <f t="shared" si="26"/>
        <v>13100670</v>
      </c>
      <c r="M108" s="135">
        <f t="shared" si="27"/>
        <v>12862476</v>
      </c>
      <c r="N108" s="134" t="s">
        <v>180</v>
      </c>
      <c r="O108" s="134" t="s">
        <v>186</v>
      </c>
      <c r="P108" s="236">
        <f t="shared" si="28"/>
        <v>11909700</v>
      </c>
      <c r="Q108" s="236"/>
      <c r="R108" s="236"/>
      <c r="S108" s="236"/>
      <c r="T108" s="236"/>
      <c r="U108" s="236"/>
      <c r="V108" s="236"/>
      <c r="W108" s="236"/>
      <c r="X108" s="235"/>
      <c r="Y108" s="235"/>
      <c r="Z108" s="235"/>
      <c r="AA108" s="254"/>
      <c r="AB108" s="256" t="s">
        <v>249</v>
      </c>
      <c r="AC108" s="233">
        <f t="shared" si="29"/>
        <v>11909700</v>
      </c>
      <c r="AD108" s="233"/>
      <c r="AE108" s="232"/>
    </row>
    <row r="109" spans="1:31" s="152" customFormat="1" ht="16.5" customHeight="1" x14ac:dyDescent="0.3">
      <c r="A109" s="837"/>
      <c r="B109" s="137">
        <v>96</v>
      </c>
      <c r="C109" s="141" t="s">
        <v>344</v>
      </c>
      <c r="D109" s="140" t="s">
        <v>535</v>
      </c>
      <c r="E109" s="220" t="s">
        <v>220</v>
      </c>
      <c r="F109" s="138">
        <v>42461</v>
      </c>
      <c r="G109" s="137" t="s">
        <v>534</v>
      </c>
      <c r="H109" s="136">
        <v>11909700</v>
      </c>
      <c r="I109" s="136"/>
      <c r="J109" s="136">
        <v>3239000</v>
      </c>
      <c r="K109" s="136">
        <f t="shared" si="25"/>
        <v>238194</v>
      </c>
      <c r="L109" s="153">
        <f t="shared" si="26"/>
        <v>15148700</v>
      </c>
      <c r="M109" s="135">
        <f t="shared" si="27"/>
        <v>14910506</v>
      </c>
      <c r="N109" s="134" t="s">
        <v>180</v>
      </c>
      <c r="O109" s="134" t="s">
        <v>186</v>
      </c>
      <c r="P109" s="236">
        <f t="shared" si="28"/>
        <v>11909700</v>
      </c>
      <c r="Q109" s="236"/>
      <c r="R109" s="236"/>
      <c r="S109" s="236"/>
      <c r="T109" s="236"/>
      <c r="U109" s="236"/>
      <c r="V109" s="236"/>
      <c r="W109" s="236"/>
      <c r="X109" s="235"/>
      <c r="Y109" s="235"/>
      <c r="Z109" s="235"/>
      <c r="AA109" s="254"/>
      <c r="AB109" s="256" t="s">
        <v>249</v>
      </c>
      <c r="AC109" s="233">
        <f t="shared" si="29"/>
        <v>11909700</v>
      </c>
      <c r="AD109" s="233"/>
      <c r="AE109" s="232"/>
    </row>
    <row r="110" spans="1:31" s="152" customFormat="1" x14ac:dyDescent="0.3">
      <c r="A110" s="837"/>
      <c r="B110" s="137">
        <v>97</v>
      </c>
      <c r="C110" s="141" t="s">
        <v>533</v>
      </c>
      <c r="D110" s="140" t="s">
        <v>532</v>
      </c>
      <c r="E110" s="220" t="s">
        <v>220</v>
      </c>
      <c r="F110" s="138">
        <v>42461</v>
      </c>
      <c r="G110" s="137" t="s">
        <v>531</v>
      </c>
      <c r="H110" s="136">
        <v>47638800</v>
      </c>
      <c r="I110" s="136"/>
      <c r="J110" s="136">
        <f>H110*10%</f>
        <v>4763880</v>
      </c>
      <c r="K110" s="136">
        <f t="shared" si="25"/>
        <v>952776</v>
      </c>
      <c r="L110" s="153">
        <f t="shared" si="26"/>
        <v>52402680</v>
      </c>
      <c r="M110" s="135">
        <f t="shared" si="27"/>
        <v>51449904</v>
      </c>
      <c r="N110" s="255" t="s">
        <v>180</v>
      </c>
      <c r="O110" s="255" t="s">
        <v>199</v>
      </c>
      <c r="P110" s="236"/>
      <c r="Q110" s="236"/>
      <c r="R110" s="236">
        <f>H110</f>
        <v>47638800</v>
      </c>
      <c r="S110" s="236"/>
      <c r="T110" s="236"/>
      <c r="U110" s="236"/>
      <c r="V110" s="236"/>
      <c r="W110" s="236"/>
      <c r="X110" s="235"/>
      <c r="Y110" s="235"/>
      <c r="Z110" s="235"/>
      <c r="AA110" s="254"/>
      <c r="AB110" s="256" t="s">
        <v>249</v>
      </c>
      <c r="AC110" s="233">
        <f t="shared" si="29"/>
        <v>47638800</v>
      </c>
      <c r="AD110" s="233"/>
      <c r="AE110" s="233"/>
    </row>
    <row r="111" spans="1:31" s="152" customFormat="1" ht="16.5" customHeight="1" x14ac:dyDescent="0.3">
      <c r="A111" s="837"/>
      <c r="B111" s="137">
        <v>98</v>
      </c>
      <c r="C111" s="141" t="s">
        <v>530</v>
      </c>
      <c r="D111" s="140" t="s">
        <v>529</v>
      </c>
      <c r="E111" s="220"/>
      <c r="F111" s="138">
        <v>42466</v>
      </c>
      <c r="G111" s="137" t="s">
        <v>528</v>
      </c>
      <c r="H111" s="136">
        <v>22500000</v>
      </c>
      <c r="I111" s="136"/>
      <c r="J111" s="136">
        <f>H111*10%</f>
        <v>2250000</v>
      </c>
      <c r="K111" s="136">
        <f t="shared" si="25"/>
        <v>450000</v>
      </c>
      <c r="L111" s="153">
        <f t="shared" si="26"/>
        <v>24750000</v>
      </c>
      <c r="M111" s="135">
        <f t="shared" si="27"/>
        <v>24300000</v>
      </c>
      <c r="N111" s="255" t="s">
        <v>228</v>
      </c>
      <c r="O111" s="255" t="s">
        <v>527</v>
      </c>
      <c r="P111" s="236"/>
      <c r="Q111" s="236"/>
      <c r="R111" s="236"/>
      <c r="S111" s="236"/>
      <c r="T111" s="236"/>
      <c r="U111" s="236"/>
      <c r="V111" s="236">
        <f>H111</f>
        <v>22500000</v>
      </c>
      <c r="W111" s="236"/>
      <c r="X111" s="235"/>
      <c r="Y111" s="235"/>
      <c r="Z111" s="235"/>
      <c r="AA111" s="254"/>
      <c r="AB111" s="256" t="s">
        <v>249</v>
      </c>
      <c r="AC111" s="233">
        <f t="shared" si="29"/>
        <v>22500000</v>
      </c>
      <c r="AD111" s="233"/>
      <c r="AE111" s="232"/>
    </row>
    <row r="112" spans="1:31" s="152" customFormat="1" x14ac:dyDescent="0.3">
      <c r="A112" s="837"/>
      <c r="B112" s="137">
        <v>99</v>
      </c>
      <c r="C112" s="141" t="s">
        <v>526</v>
      </c>
      <c r="D112" s="140" t="s">
        <v>525</v>
      </c>
      <c r="E112" s="139">
        <v>2015</v>
      </c>
      <c r="F112" s="208" t="s">
        <v>524</v>
      </c>
      <c r="G112" s="137" t="s">
        <v>523</v>
      </c>
      <c r="H112" s="136">
        <v>80000000</v>
      </c>
      <c r="I112" s="136"/>
      <c r="J112" s="136">
        <f>0.1*H112</f>
        <v>8000000</v>
      </c>
      <c r="K112" s="136">
        <f t="shared" si="25"/>
        <v>1600000</v>
      </c>
      <c r="L112" s="153">
        <f t="shared" si="26"/>
        <v>88000000</v>
      </c>
      <c r="M112" s="135">
        <f t="shared" si="27"/>
        <v>86400000</v>
      </c>
      <c r="N112" s="255" t="s">
        <v>522</v>
      </c>
      <c r="O112" s="255" t="s">
        <v>521</v>
      </c>
      <c r="P112" s="236"/>
      <c r="Q112" s="236"/>
      <c r="R112" s="236"/>
      <c r="S112" s="236"/>
      <c r="T112" s="236"/>
      <c r="U112" s="236"/>
      <c r="V112" s="236"/>
      <c r="W112" s="236"/>
      <c r="X112" s="235">
        <f>H112</f>
        <v>80000000</v>
      </c>
      <c r="Y112" s="235"/>
      <c r="Z112" s="235"/>
      <c r="AA112" s="254"/>
      <c r="AB112" s="256" t="s">
        <v>249</v>
      </c>
      <c r="AC112" s="233">
        <f t="shared" si="29"/>
        <v>80000000</v>
      </c>
      <c r="AD112" s="233"/>
      <c r="AE112" s="232"/>
    </row>
    <row r="113" spans="1:33" s="152" customFormat="1" x14ac:dyDescent="0.3">
      <c r="A113" s="837"/>
      <c r="B113" s="137">
        <v>100</v>
      </c>
      <c r="C113" s="239" t="s">
        <v>450</v>
      </c>
      <c r="D113" s="238" t="s">
        <v>520</v>
      </c>
      <c r="E113" s="139" t="s">
        <v>448</v>
      </c>
      <c r="F113" s="208" t="s">
        <v>519</v>
      </c>
      <c r="G113" s="137" t="s">
        <v>446</v>
      </c>
      <c r="H113" s="136">
        <f>45000*13179</f>
        <v>593055000</v>
      </c>
      <c r="I113" s="136"/>
      <c r="J113" s="136">
        <v>2250000</v>
      </c>
      <c r="K113" s="136">
        <f t="shared" si="25"/>
        <v>11861100</v>
      </c>
      <c r="L113" s="153">
        <f t="shared" si="26"/>
        <v>595305000</v>
      </c>
      <c r="M113" s="135">
        <f t="shared" si="27"/>
        <v>583443900</v>
      </c>
      <c r="N113" s="255" t="s">
        <v>241</v>
      </c>
      <c r="O113" s="255" t="s">
        <v>240</v>
      </c>
      <c r="P113" s="236"/>
      <c r="Q113" s="236"/>
      <c r="R113" s="236"/>
      <c r="S113" s="236"/>
      <c r="T113" s="236"/>
      <c r="U113" s="236"/>
      <c r="V113" s="236"/>
      <c r="W113" s="236"/>
      <c r="X113" s="235"/>
      <c r="Y113" s="235"/>
      <c r="Z113" s="235">
        <f>H113</f>
        <v>593055000</v>
      </c>
      <c r="AA113" s="254"/>
      <c r="AB113" s="184" t="s">
        <v>178</v>
      </c>
      <c r="AC113" s="233">
        <f t="shared" si="29"/>
        <v>593055000</v>
      </c>
      <c r="AD113" s="233"/>
      <c r="AE113" s="232"/>
    </row>
    <row r="114" spans="1:33" s="152" customFormat="1" x14ac:dyDescent="0.3">
      <c r="A114" s="837"/>
      <c r="B114" s="137">
        <v>101</v>
      </c>
      <c r="C114" s="249" t="s">
        <v>518</v>
      </c>
      <c r="D114" s="238" t="s">
        <v>517</v>
      </c>
      <c r="E114" s="139"/>
      <c r="F114" s="208" t="s">
        <v>516</v>
      </c>
      <c r="G114" s="137" t="s">
        <v>515</v>
      </c>
      <c r="H114" s="136">
        <f>4800*13179</f>
        <v>63259200</v>
      </c>
      <c r="I114" s="136"/>
      <c r="J114" s="136"/>
      <c r="K114" s="136"/>
      <c r="L114" s="153"/>
      <c r="M114" s="135"/>
      <c r="N114" s="255" t="s">
        <v>228</v>
      </c>
      <c r="O114" s="255" t="s">
        <v>240</v>
      </c>
      <c r="P114" s="236"/>
      <c r="Q114" s="236"/>
      <c r="R114" s="236"/>
      <c r="S114" s="236"/>
      <c r="T114" s="236"/>
      <c r="U114" s="236"/>
      <c r="V114" s="236">
        <f>H114</f>
        <v>63259200</v>
      </c>
      <c r="W114" s="236"/>
      <c r="X114" s="235"/>
      <c r="Y114" s="235"/>
      <c r="Z114" s="235"/>
      <c r="AA114" s="254"/>
      <c r="AB114" s="184" t="s">
        <v>178</v>
      </c>
      <c r="AC114" s="233"/>
      <c r="AD114" s="233"/>
      <c r="AE114" s="232"/>
    </row>
    <row r="115" spans="1:33" s="152" customFormat="1" x14ac:dyDescent="0.3">
      <c r="A115" s="837"/>
      <c r="B115" s="137">
        <v>102</v>
      </c>
      <c r="C115" s="222" t="s">
        <v>216</v>
      </c>
      <c r="D115" s="140" t="s">
        <v>190</v>
      </c>
      <c r="E115" s="240" t="s">
        <v>310</v>
      </c>
      <c r="F115" s="208" t="s">
        <v>510</v>
      </c>
      <c r="G115" s="137" t="s">
        <v>512</v>
      </c>
      <c r="H115" s="136">
        <v>19752000</v>
      </c>
      <c r="I115" s="136"/>
      <c r="J115" s="136">
        <f>0.1*H115</f>
        <v>1975200</v>
      </c>
      <c r="K115" s="136">
        <f t="shared" ref="K115:K122" si="30">H115*2%</f>
        <v>395040</v>
      </c>
      <c r="L115" s="153">
        <f>H115+J115</f>
        <v>21727200</v>
      </c>
      <c r="M115" s="135">
        <f>H115+J115-K115</f>
        <v>21332160</v>
      </c>
      <c r="N115" s="255" t="s">
        <v>180</v>
      </c>
      <c r="O115" s="255" t="s">
        <v>186</v>
      </c>
      <c r="P115" s="236"/>
      <c r="Q115" s="236"/>
      <c r="R115" s="236">
        <f>H115</f>
        <v>19752000</v>
      </c>
      <c r="S115" s="236"/>
      <c r="T115" s="236"/>
      <c r="U115" s="236"/>
      <c r="V115" s="236"/>
      <c r="W115" s="236"/>
      <c r="X115" s="235"/>
      <c r="Y115" s="235"/>
      <c r="Z115" s="235"/>
      <c r="AA115" s="254"/>
      <c r="AB115" s="184" t="s">
        <v>178</v>
      </c>
      <c r="AC115" s="233">
        <f t="shared" ref="AC115:AC122" si="31">H115</f>
        <v>19752000</v>
      </c>
      <c r="AD115" s="233"/>
      <c r="AE115" s="232"/>
    </row>
    <row r="116" spans="1:33" s="152" customFormat="1" x14ac:dyDescent="0.3">
      <c r="A116" s="837"/>
      <c r="B116" s="137">
        <v>103</v>
      </c>
      <c r="C116" s="222" t="s">
        <v>216</v>
      </c>
      <c r="D116" s="140" t="s">
        <v>514</v>
      </c>
      <c r="E116" s="139" t="s">
        <v>513</v>
      </c>
      <c r="F116" s="208" t="s">
        <v>510</v>
      </c>
      <c r="G116" s="137" t="s">
        <v>512</v>
      </c>
      <c r="H116" s="136">
        <v>6584000</v>
      </c>
      <c r="I116" s="136"/>
      <c r="J116" s="136">
        <v>5028270</v>
      </c>
      <c r="K116" s="136">
        <f t="shared" si="30"/>
        <v>131680</v>
      </c>
      <c r="L116" s="153">
        <f>H116+J116</f>
        <v>11612270</v>
      </c>
      <c r="M116" s="135">
        <f>H116+J116-K116</f>
        <v>11480590</v>
      </c>
      <c r="N116" s="255" t="s">
        <v>180</v>
      </c>
      <c r="O116" s="255" t="s">
        <v>186</v>
      </c>
      <c r="P116" s="236"/>
      <c r="Q116" s="236"/>
      <c r="R116" s="236">
        <f>H116</f>
        <v>6584000</v>
      </c>
      <c r="S116" s="236"/>
      <c r="T116" s="236"/>
      <c r="U116" s="236"/>
      <c r="V116" s="236"/>
      <c r="W116" s="236"/>
      <c r="X116" s="235"/>
      <c r="Y116" s="235"/>
      <c r="Z116" s="235"/>
      <c r="AA116" s="254"/>
      <c r="AB116" s="184" t="s">
        <v>178</v>
      </c>
      <c r="AC116" s="233">
        <f t="shared" si="31"/>
        <v>6584000</v>
      </c>
      <c r="AD116" s="233"/>
      <c r="AE116" s="232"/>
    </row>
    <row r="117" spans="1:33" s="152" customFormat="1" x14ac:dyDescent="0.3">
      <c r="A117" s="837"/>
      <c r="B117" s="137">
        <v>104</v>
      </c>
      <c r="C117" s="222" t="s">
        <v>216</v>
      </c>
      <c r="D117" s="140" t="s">
        <v>215</v>
      </c>
      <c r="E117" s="139" t="s">
        <v>511</v>
      </c>
      <c r="F117" s="208" t="s">
        <v>510</v>
      </c>
      <c r="G117" s="137" t="s">
        <v>509</v>
      </c>
      <c r="H117" s="136">
        <v>21068800</v>
      </c>
      <c r="I117" s="136"/>
      <c r="J117" s="136">
        <v>5801850</v>
      </c>
      <c r="K117" s="136">
        <f t="shared" si="30"/>
        <v>421376</v>
      </c>
      <c r="L117" s="153">
        <f>H117+J117</f>
        <v>26870650</v>
      </c>
      <c r="M117" s="135">
        <f>H117+J117-K117</f>
        <v>26449274</v>
      </c>
      <c r="N117" s="255" t="s">
        <v>180</v>
      </c>
      <c r="O117" s="255" t="s">
        <v>212</v>
      </c>
      <c r="P117" s="236"/>
      <c r="Q117" s="236"/>
      <c r="R117" s="236">
        <f>H117</f>
        <v>21068800</v>
      </c>
      <c r="S117" s="236"/>
      <c r="T117" s="236"/>
      <c r="U117" s="236"/>
      <c r="V117" s="236"/>
      <c r="W117" s="236"/>
      <c r="X117" s="235"/>
      <c r="Y117" s="235"/>
      <c r="Z117" s="235"/>
      <c r="AA117" s="254"/>
      <c r="AB117" s="256" t="s">
        <v>249</v>
      </c>
      <c r="AC117" s="233">
        <f t="shared" si="31"/>
        <v>21068800</v>
      </c>
      <c r="AD117" s="233"/>
      <c r="AE117" s="232"/>
    </row>
    <row r="118" spans="1:33" s="152" customFormat="1" x14ac:dyDescent="0.3">
      <c r="A118" s="837"/>
      <c r="B118" s="137">
        <v>105</v>
      </c>
      <c r="C118" s="222" t="s">
        <v>216</v>
      </c>
      <c r="D118" s="140" t="s">
        <v>215</v>
      </c>
      <c r="E118" s="145">
        <v>42461</v>
      </c>
      <c r="F118" s="208" t="s">
        <v>510</v>
      </c>
      <c r="G118" s="137" t="s">
        <v>509</v>
      </c>
      <c r="H118" s="136">
        <v>4608800</v>
      </c>
      <c r="I118" s="136"/>
      <c r="J118" s="136">
        <v>6446500</v>
      </c>
      <c r="K118" s="136">
        <f t="shared" si="30"/>
        <v>92176</v>
      </c>
      <c r="L118" s="153">
        <f>H118+J118</f>
        <v>11055300</v>
      </c>
      <c r="M118" s="135">
        <f>H118+J118-K118</f>
        <v>10963124</v>
      </c>
      <c r="N118" s="255" t="s">
        <v>180</v>
      </c>
      <c r="O118" s="255" t="s">
        <v>212</v>
      </c>
      <c r="P118" s="236"/>
      <c r="Q118" s="236"/>
      <c r="R118" s="236">
        <f>H118</f>
        <v>4608800</v>
      </c>
      <c r="S118" s="236"/>
      <c r="T118" s="236"/>
      <c r="U118" s="236"/>
      <c r="V118" s="236"/>
      <c r="W118" s="236"/>
      <c r="X118" s="235"/>
      <c r="Y118" s="235"/>
      <c r="Z118" s="235"/>
      <c r="AA118" s="254"/>
      <c r="AB118" s="256" t="s">
        <v>249</v>
      </c>
      <c r="AC118" s="233">
        <f t="shared" si="31"/>
        <v>4608800</v>
      </c>
      <c r="AD118" s="233"/>
      <c r="AE118" s="232"/>
    </row>
    <row r="119" spans="1:33" s="152" customFormat="1" x14ac:dyDescent="0.3">
      <c r="A119" s="837"/>
      <c r="B119" s="137">
        <v>106</v>
      </c>
      <c r="C119" s="222" t="s">
        <v>426</v>
      </c>
      <c r="D119" s="221" t="s">
        <v>458</v>
      </c>
      <c r="E119" s="145" t="s">
        <v>220</v>
      </c>
      <c r="F119" s="208" t="s">
        <v>505</v>
      </c>
      <c r="G119" s="137" t="s">
        <v>508</v>
      </c>
      <c r="H119" s="136">
        <v>300000000</v>
      </c>
      <c r="I119" s="136"/>
      <c r="J119" s="136"/>
      <c r="K119" s="136">
        <f t="shared" si="30"/>
        <v>6000000</v>
      </c>
      <c r="L119" s="153"/>
      <c r="M119" s="135"/>
      <c r="N119" s="255" t="s">
        <v>222</v>
      </c>
      <c r="O119" s="255" t="s">
        <v>221</v>
      </c>
      <c r="P119" s="236"/>
      <c r="Q119" s="236"/>
      <c r="R119" s="236"/>
      <c r="S119" s="236"/>
      <c r="T119" s="236"/>
      <c r="U119" s="236"/>
      <c r="V119" s="236"/>
      <c r="W119" s="236">
        <f>H119</f>
        <v>300000000</v>
      </c>
      <c r="X119" s="235"/>
      <c r="Y119" s="235"/>
      <c r="Z119" s="235"/>
      <c r="AA119" s="254"/>
      <c r="AB119" s="256" t="s">
        <v>249</v>
      </c>
      <c r="AC119" s="233">
        <f t="shared" si="31"/>
        <v>300000000</v>
      </c>
      <c r="AD119" s="233"/>
      <c r="AE119" s="232"/>
    </row>
    <row r="120" spans="1:33" s="152" customFormat="1" x14ac:dyDescent="0.3">
      <c r="A120" s="837"/>
      <c r="B120" s="137">
        <v>107</v>
      </c>
      <c r="C120" s="141" t="s">
        <v>507</v>
      </c>
      <c r="D120" s="221" t="s">
        <v>506</v>
      </c>
      <c r="E120" s="139"/>
      <c r="F120" s="208" t="s">
        <v>505</v>
      </c>
      <c r="G120" s="137" t="s">
        <v>504</v>
      </c>
      <c r="H120" s="136">
        <v>54500000</v>
      </c>
      <c r="I120" s="136"/>
      <c r="J120" s="136">
        <v>640500</v>
      </c>
      <c r="K120" s="136">
        <f t="shared" si="30"/>
        <v>1090000</v>
      </c>
      <c r="L120" s="153">
        <f>H120+J120</f>
        <v>55140500</v>
      </c>
      <c r="M120" s="135">
        <f>H120+J120-K120</f>
        <v>54050500</v>
      </c>
      <c r="N120" s="255" t="s">
        <v>503</v>
      </c>
      <c r="O120" s="255"/>
      <c r="P120" s="236"/>
      <c r="Q120" s="236"/>
      <c r="R120" s="236"/>
      <c r="S120" s="236"/>
      <c r="T120" s="236"/>
      <c r="U120" s="236"/>
      <c r="V120" s="236"/>
      <c r="W120" s="236">
        <f>H120</f>
        <v>54500000</v>
      </c>
      <c r="X120" s="235"/>
      <c r="Y120" s="235"/>
      <c r="Z120" s="235"/>
      <c r="AA120" s="254"/>
      <c r="AB120" s="256" t="s">
        <v>249</v>
      </c>
      <c r="AC120" s="233">
        <f t="shared" si="31"/>
        <v>54500000</v>
      </c>
      <c r="AD120" s="233"/>
      <c r="AE120" s="232"/>
    </row>
    <row r="121" spans="1:33" s="152" customFormat="1" x14ac:dyDescent="0.3">
      <c r="A121" s="837"/>
      <c r="B121" s="137">
        <v>108</v>
      </c>
      <c r="C121" s="141" t="s">
        <v>502</v>
      </c>
      <c r="D121" s="140" t="s">
        <v>206</v>
      </c>
      <c r="E121" s="139">
        <v>2015</v>
      </c>
      <c r="F121" s="208" t="s">
        <v>501</v>
      </c>
      <c r="G121" s="137" t="s">
        <v>500</v>
      </c>
      <c r="H121" s="136">
        <v>34020000</v>
      </c>
      <c r="I121" s="136"/>
      <c r="J121" s="136">
        <v>3223250</v>
      </c>
      <c r="K121" s="136">
        <f t="shared" si="30"/>
        <v>680400</v>
      </c>
      <c r="L121" s="153">
        <f>H121+J121</f>
        <v>37243250</v>
      </c>
      <c r="M121" s="135">
        <f>H121+J121-K121</f>
        <v>36562850</v>
      </c>
      <c r="N121" s="255" t="s">
        <v>180</v>
      </c>
      <c r="O121" s="255" t="s">
        <v>199</v>
      </c>
      <c r="P121" s="236"/>
      <c r="Q121" s="236"/>
      <c r="R121" s="236"/>
      <c r="S121" s="236">
        <f>H121</f>
        <v>34020000</v>
      </c>
      <c r="T121" s="236"/>
      <c r="U121" s="236"/>
      <c r="V121" s="236"/>
      <c r="W121" s="236"/>
      <c r="X121" s="235"/>
      <c r="Y121" s="235"/>
      <c r="Z121" s="235"/>
      <c r="AA121" s="254"/>
      <c r="AB121" s="256" t="s">
        <v>249</v>
      </c>
      <c r="AC121" s="233">
        <f t="shared" si="31"/>
        <v>34020000</v>
      </c>
      <c r="AD121" s="233"/>
      <c r="AE121" s="232"/>
    </row>
    <row r="122" spans="1:33" s="152" customFormat="1" x14ac:dyDescent="0.3">
      <c r="A122" s="837"/>
      <c r="B122" s="137">
        <v>109</v>
      </c>
      <c r="C122" s="141" t="s">
        <v>185</v>
      </c>
      <c r="D122" s="140" t="s">
        <v>184</v>
      </c>
      <c r="E122" s="240">
        <v>42461</v>
      </c>
      <c r="F122" s="208" t="s">
        <v>494</v>
      </c>
      <c r="G122" s="137" t="s">
        <v>499</v>
      </c>
      <c r="H122" s="136">
        <v>15810000</v>
      </c>
      <c r="I122" s="136"/>
      <c r="J122" s="136">
        <f>H122*10%</f>
        <v>1581000</v>
      </c>
      <c r="K122" s="136">
        <f t="shared" si="30"/>
        <v>316200</v>
      </c>
      <c r="L122" s="153">
        <f>H122+J122</f>
        <v>17391000</v>
      </c>
      <c r="M122" s="135">
        <f>H122+J122-K122</f>
        <v>17074800</v>
      </c>
      <c r="N122" s="134" t="s">
        <v>180</v>
      </c>
      <c r="O122" s="134" t="s">
        <v>179</v>
      </c>
      <c r="P122" s="133"/>
      <c r="Q122" s="133"/>
      <c r="R122" s="133"/>
      <c r="S122" s="133">
        <f>H122</f>
        <v>15810000</v>
      </c>
      <c r="T122" s="133"/>
      <c r="U122" s="133"/>
      <c r="V122" s="133"/>
      <c r="W122" s="133"/>
      <c r="X122" s="132"/>
      <c r="Y122" s="132"/>
      <c r="Z122" s="132"/>
      <c r="AA122" s="131"/>
      <c r="AB122" s="256" t="s">
        <v>249</v>
      </c>
      <c r="AC122" s="211">
        <f t="shared" si="31"/>
        <v>15810000</v>
      </c>
      <c r="AD122" s="211"/>
      <c r="AE122" s="229"/>
    </row>
    <row r="123" spans="1:33" s="152" customFormat="1" x14ac:dyDescent="0.3">
      <c r="A123" s="837"/>
      <c r="B123" s="137">
        <v>110</v>
      </c>
      <c r="C123" s="239" t="s">
        <v>498</v>
      </c>
      <c r="D123" s="238" t="s">
        <v>184</v>
      </c>
      <c r="E123" s="240" t="s">
        <v>220</v>
      </c>
      <c r="F123" s="208" t="s">
        <v>494</v>
      </c>
      <c r="G123" s="137" t="s">
        <v>497</v>
      </c>
      <c r="H123" s="136">
        <v>31615200</v>
      </c>
      <c r="I123" s="136"/>
      <c r="J123" s="153"/>
      <c r="K123" s="153"/>
      <c r="L123" s="153"/>
      <c r="M123" s="231"/>
      <c r="N123" s="131" t="s">
        <v>180</v>
      </c>
      <c r="O123" s="131" t="s">
        <v>179</v>
      </c>
      <c r="P123" s="132"/>
      <c r="Q123" s="132"/>
      <c r="R123" s="132"/>
      <c r="S123" s="132">
        <f>H123</f>
        <v>31615200</v>
      </c>
      <c r="T123" s="132"/>
      <c r="U123" s="132"/>
      <c r="V123" s="132"/>
      <c r="W123" s="132"/>
      <c r="X123" s="132"/>
      <c r="Y123" s="132"/>
      <c r="Z123" s="132"/>
      <c r="AA123" s="131"/>
      <c r="AB123" s="184" t="s">
        <v>178</v>
      </c>
      <c r="AC123" s="211"/>
      <c r="AD123" s="211"/>
      <c r="AE123" s="229"/>
    </row>
    <row r="124" spans="1:33" s="152" customFormat="1" x14ac:dyDescent="0.3">
      <c r="A124" s="837"/>
      <c r="B124" s="137">
        <v>111</v>
      </c>
      <c r="C124" s="222" t="s">
        <v>496</v>
      </c>
      <c r="D124" s="221" t="s">
        <v>495</v>
      </c>
      <c r="E124" s="220" t="s">
        <v>220</v>
      </c>
      <c r="F124" s="208" t="s">
        <v>494</v>
      </c>
      <c r="G124" s="137" t="s">
        <v>493</v>
      </c>
      <c r="H124" s="217">
        <v>59278500</v>
      </c>
      <c r="I124" s="136"/>
      <c r="J124" s="136">
        <f>H124*10%</f>
        <v>5927850</v>
      </c>
      <c r="K124" s="136">
        <f>H124*2%</f>
        <v>1185570</v>
      </c>
      <c r="L124" s="153">
        <f>H124+J124</f>
        <v>65206350</v>
      </c>
      <c r="M124" s="135">
        <f>H124+J124-K124</f>
        <v>64020780</v>
      </c>
      <c r="N124" s="216" t="s">
        <v>180</v>
      </c>
      <c r="O124" s="216" t="s">
        <v>199</v>
      </c>
      <c r="P124" s="213"/>
      <c r="Q124" s="215"/>
      <c r="R124" s="215"/>
      <c r="S124" s="215">
        <f>H124</f>
        <v>59278500</v>
      </c>
      <c r="T124" s="215"/>
      <c r="U124" s="215"/>
      <c r="V124" s="215"/>
      <c r="W124" s="215"/>
      <c r="X124" s="214"/>
      <c r="Y124" s="213"/>
      <c r="Z124" s="213"/>
      <c r="AA124" s="212"/>
      <c r="AB124" s="184" t="s">
        <v>178</v>
      </c>
      <c r="AC124" s="211">
        <f>H124</f>
        <v>59278500</v>
      </c>
      <c r="AD124" s="211"/>
      <c r="AE124" s="210"/>
    </row>
    <row r="125" spans="1:33" s="89" customFormat="1" x14ac:dyDescent="0.3">
      <c r="A125" s="838"/>
      <c r="B125" s="127" t="s">
        <v>492</v>
      </c>
      <c r="C125" s="126"/>
      <c r="D125" s="126"/>
      <c r="E125" s="126"/>
      <c r="F125" s="126"/>
      <c r="G125" s="125"/>
      <c r="H125" s="124">
        <f>SUM(H98:H124)</f>
        <v>1537629000</v>
      </c>
      <c r="I125" s="124"/>
      <c r="J125" s="124">
        <f>SUM(J98:J123)</f>
        <v>62402350</v>
      </c>
      <c r="K125" s="124">
        <f>SUM(K98:K123)</f>
        <v>27669522</v>
      </c>
      <c r="L125" s="123">
        <f>SUM(L98:L123)</f>
        <v>1145878450</v>
      </c>
      <c r="M125" s="123">
        <f>SUM(M98:M123)</f>
        <v>1124208928</v>
      </c>
      <c r="N125" s="122"/>
      <c r="O125" s="122"/>
      <c r="P125" s="151">
        <f t="shared" ref="P125:AA125" si="32">SUM(P98:P124)</f>
        <v>183938700</v>
      </c>
      <c r="Q125" s="151">
        <f t="shared" si="32"/>
        <v>0</v>
      </c>
      <c r="R125" s="151">
        <f t="shared" si="32"/>
        <v>99652400</v>
      </c>
      <c r="S125" s="151">
        <f t="shared" si="32"/>
        <v>140723700</v>
      </c>
      <c r="T125" s="151">
        <f t="shared" si="32"/>
        <v>0</v>
      </c>
      <c r="U125" s="151">
        <f t="shared" si="32"/>
        <v>0</v>
      </c>
      <c r="V125" s="151">
        <f t="shared" si="32"/>
        <v>85759200</v>
      </c>
      <c r="W125" s="151">
        <f t="shared" si="32"/>
        <v>354500000</v>
      </c>
      <c r="X125" s="151">
        <f t="shared" si="32"/>
        <v>80000000</v>
      </c>
      <c r="Y125" s="151">
        <f t="shared" si="32"/>
        <v>0</v>
      </c>
      <c r="Z125" s="151">
        <f t="shared" si="32"/>
        <v>593055000</v>
      </c>
      <c r="AA125" s="357">
        <f t="shared" si="32"/>
        <v>0</v>
      </c>
      <c r="AB125" s="119"/>
      <c r="AC125" s="351">
        <f>SUM(AC98:AC123)</f>
        <v>1371566400</v>
      </c>
      <c r="AD125" s="350">
        <f>SUM(AD98:AD101)</f>
        <v>0</v>
      </c>
      <c r="AE125" s="116"/>
      <c r="AG125" s="115">
        <f>L125-(SUM(P125:X125))</f>
        <v>201304450</v>
      </c>
    </row>
    <row r="126" spans="1:33" s="89" customFormat="1" x14ac:dyDescent="0.3">
      <c r="A126" s="349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8"/>
      <c r="O126" s="348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46"/>
      <c r="AB126" s="346"/>
      <c r="AC126" s="346"/>
      <c r="AD126" s="346"/>
      <c r="AE126" s="345"/>
    </row>
    <row r="127" spans="1:33" s="152" customFormat="1" x14ac:dyDescent="0.3">
      <c r="A127" s="836" t="s">
        <v>68</v>
      </c>
      <c r="B127" s="137">
        <v>112</v>
      </c>
      <c r="C127" s="239" t="s">
        <v>403</v>
      </c>
      <c r="D127" s="238" t="s">
        <v>491</v>
      </c>
      <c r="E127" s="145" t="s">
        <v>401</v>
      </c>
      <c r="F127" s="208">
        <v>42499</v>
      </c>
      <c r="G127" s="137" t="s">
        <v>490</v>
      </c>
      <c r="H127" s="136">
        <v>56000000</v>
      </c>
      <c r="I127" s="136"/>
      <c r="J127" s="136">
        <v>2250000</v>
      </c>
      <c r="K127" s="136">
        <f t="shared" ref="K127:K137" si="33">H127*2%</f>
        <v>1120000</v>
      </c>
      <c r="L127" s="153">
        <f>H127+J127</f>
        <v>58250000</v>
      </c>
      <c r="M127" s="135">
        <f>H127+J127-K127</f>
        <v>57130000</v>
      </c>
      <c r="N127" s="134" t="s">
        <v>391</v>
      </c>
      <c r="O127" s="134" t="s">
        <v>227</v>
      </c>
      <c r="P127" s="133"/>
      <c r="Q127" s="133"/>
      <c r="R127" s="133"/>
      <c r="S127" s="133"/>
      <c r="T127" s="133"/>
      <c r="U127" s="133">
        <f t="shared" ref="U127:U134" si="34">H127</f>
        <v>56000000</v>
      </c>
      <c r="V127" s="133"/>
      <c r="W127" s="133"/>
      <c r="X127" s="132"/>
      <c r="Y127" s="132"/>
      <c r="Z127" s="132"/>
      <c r="AA127" s="252"/>
      <c r="AB127" s="184" t="s">
        <v>178</v>
      </c>
      <c r="AC127" s="233">
        <f t="shared" ref="AC127:AC137" si="35">H127</f>
        <v>56000000</v>
      </c>
      <c r="AD127" s="233"/>
      <c r="AE127" s="232"/>
    </row>
    <row r="128" spans="1:33" s="152" customFormat="1" x14ac:dyDescent="0.3">
      <c r="A128" s="837"/>
      <c r="B128" s="137">
        <v>113</v>
      </c>
      <c r="C128" s="239" t="s">
        <v>489</v>
      </c>
      <c r="D128" s="238" t="s">
        <v>394</v>
      </c>
      <c r="E128" s="240" t="s">
        <v>488</v>
      </c>
      <c r="F128" s="208">
        <v>42499</v>
      </c>
      <c r="G128" s="137" t="s">
        <v>487</v>
      </c>
      <c r="H128" s="136">
        <v>70000000</v>
      </c>
      <c r="I128" s="136"/>
      <c r="J128" s="136">
        <v>2250000</v>
      </c>
      <c r="K128" s="136">
        <f t="shared" si="33"/>
        <v>1400000</v>
      </c>
      <c r="L128" s="153">
        <f>H128+J128</f>
        <v>72250000</v>
      </c>
      <c r="M128" s="135">
        <f>H128+J128-K128</f>
        <v>70850000</v>
      </c>
      <c r="N128" s="134" t="s">
        <v>391</v>
      </c>
      <c r="O128" s="134" t="s">
        <v>227</v>
      </c>
      <c r="P128" s="133"/>
      <c r="Q128" s="133"/>
      <c r="R128" s="133"/>
      <c r="S128" s="133"/>
      <c r="T128" s="133"/>
      <c r="U128" s="133">
        <f t="shared" si="34"/>
        <v>70000000</v>
      </c>
      <c r="V128" s="133"/>
      <c r="W128" s="133"/>
      <c r="X128" s="132"/>
      <c r="Y128" s="132"/>
      <c r="Z128" s="132"/>
      <c r="AA128" s="252"/>
      <c r="AB128" s="184" t="s">
        <v>178</v>
      </c>
      <c r="AC128" s="233">
        <f t="shared" si="35"/>
        <v>70000000</v>
      </c>
      <c r="AD128" s="233"/>
      <c r="AE128" s="232"/>
    </row>
    <row r="129" spans="1:31" s="152" customFormat="1" x14ac:dyDescent="0.3">
      <c r="A129" s="837"/>
      <c r="B129" s="137">
        <v>114</v>
      </c>
      <c r="C129" s="239" t="s">
        <v>395</v>
      </c>
      <c r="D129" s="238" t="s">
        <v>394</v>
      </c>
      <c r="E129" s="145">
        <v>42339</v>
      </c>
      <c r="F129" s="208">
        <v>42499</v>
      </c>
      <c r="G129" s="137" t="s">
        <v>485</v>
      </c>
      <c r="H129" s="136">
        <v>13636364</v>
      </c>
      <c r="I129" s="136"/>
      <c r="J129" s="136">
        <v>2250000</v>
      </c>
      <c r="K129" s="136">
        <f t="shared" si="33"/>
        <v>272727.28000000003</v>
      </c>
      <c r="L129" s="153">
        <f>H129+J129</f>
        <v>15886364</v>
      </c>
      <c r="M129" s="135">
        <f>H129+J129-K129</f>
        <v>15613636.720000001</v>
      </c>
      <c r="N129" s="134" t="s">
        <v>391</v>
      </c>
      <c r="O129" s="134" t="s">
        <v>227</v>
      </c>
      <c r="P129" s="133"/>
      <c r="Q129" s="133"/>
      <c r="R129" s="133"/>
      <c r="S129" s="133"/>
      <c r="T129" s="133"/>
      <c r="U129" s="133">
        <f t="shared" si="34"/>
        <v>13636364</v>
      </c>
      <c r="V129" s="133"/>
      <c r="W129" s="133"/>
      <c r="X129" s="132"/>
      <c r="Y129" s="132"/>
      <c r="Z129" s="132"/>
      <c r="AA129" s="252"/>
      <c r="AB129" s="184" t="s">
        <v>178</v>
      </c>
      <c r="AC129" s="233">
        <f t="shared" si="35"/>
        <v>13636364</v>
      </c>
      <c r="AD129" s="233"/>
      <c r="AE129" s="232"/>
    </row>
    <row r="130" spans="1:31" s="152" customFormat="1" x14ac:dyDescent="0.3">
      <c r="A130" s="837"/>
      <c r="B130" s="137">
        <v>115</v>
      </c>
      <c r="C130" s="239" t="s">
        <v>395</v>
      </c>
      <c r="D130" s="238" t="s">
        <v>394</v>
      </c>
      <c r="E130" s="145" t="s">
        <v>486</v>
      </c>
      <c r="F130" s="208">
        <v>42499</v>
      </c>
      <c r="G130" s="137" t="s">
        <v>485</v>
      </c>
      <c r="H130" s="136">
        <v>40000000</v>
      </c>
      <c r="I130" s="136"/>
      <c r="J130" s="136">
        <v>2250000</v>
      </c>
      <c r="K130" s="136">
        <f t="shared" si="33"/>
        <v>800000</v>
      </c>
      <c r="L130" s="153">
        <f>H130+J130</f>
        <v>42250000</v>
      </c>
      <c r="M130" s="135">
        <f>H130+J130-K130</f>
        <v>41450000</v>
      </c>
      <c r="N130" s="134" t="s">
        <v>391</v>
      </c>
      <c r="O130" s="134" t="s">
        <v>227</v>
      </c>
      <c r="P130" s="133"/>
      <c r="Q130" s="133"/>
      <c r="R130" s="133"/>
      <c r="S130" s="133"/>
      <c r="T130" s="133"/>
      <c r="U130" s="133">
        <f t="shared" si="34"/>
        <v>40000000</v>
      </c>
      <c r="V130" s="133"/>
      <c r="W130" s="133"/>
      <c r="X130" s="132"/>
      <c r="Y130" s="132"/>
      <c r="Z130" s="132"/>
      <c r="AA130" s="252"/>
      <c r="AB130" s="184" t="s">
        <v>178</v>
      </c>
      <c r="AC130" s="233">
        <f t="shared" si="35"/>
        <v>40000000</v>
      </c>
      <c r="AD130" s="233"/>
      <c r="AE130" s="232"/>
    </row>
    <row r="131" spans="1:31" s="152" customFormat="1" x14ac:dyDescent="0.3">
      <c r="A131" s="837"/>
      <c r="B131" s="137">
        <v>116</v>
      </c>
      <c r="C131" s="239" t="s">
        <v>484</v>
      </c>
      <c r="D131" s="238" t="s">
        <v>483</v>
      </c>
      <c r="E131" s="145"/>
      <c r="F131" s="208">
        <v>42499</v>
      </c>
      <c r="G131" s="137" t="s">
        <v>482</v>
      </c>
      <c r="H131" s="136">
        <v>37500000</v>
      </c>
      <c r="I131" s="136"/>
      <c r="J131" s="136"/>
      <c r="K131" s="136">
        <f t="shared" si="33"/>
        <v>750000</v>
      </c>
      <c r="L131" s="153"/>
      <c r="M131" s="135"/>
      <c r="N131" s="134" t="s">
        <v>391</v>
      </c>
      <c r="O131" s="134" t="s">
        <v>336</v>
      </c>
      <c r="P131" s="133"/>
      <c r="Q131" s="133"/>
      <c r="R131" s="133"/>
      <c r="S131" s="133"/>
      <c r="T131" s="133"/>
      <c r="U131" s="133">
        <f t="shared" si="34"/>
        <v>37500000</v>
      </c>
      <c r="V131" s="133"/>
      <c r="W131" s="133"/>
      <c r="X131" s="132"/>
      <c r="Y131" s="132"/>
      <c r="Z131" s="132"/>
      <c r="AA131" s="252"/>
      <c r="AB131" s="184" t="s">
        <v>178</v>
      </c>
      <c r="AC131" s="233">
        <f t="shared" si="35"/>
        <v>37500000</v>
      </c>
      <c r="AD131" s="233"/>
      <c r="AE131" s="232"/>
    </row>
    <row r="132" spans="1:31" s="152" customFormat="1" x14ac:dyDescent="0.3">
      <c r="A132" s="837"/>
      <c r="B132" s="137">
        <v>117</v>
      </c>
      <c r="C132" s="239" t="s">
        <v>399</v>
      </c>
      <c r="D132" s="238" t="s">
        <v>481</v>
      </c>
      <c r="E132" s="145">
        <v>42005</v>
      </c>
      <c r="F132" s="208">
        <v>42499</v>
      </c>
      <c r="G132" s="137" t="s">
        <v>480</v>
      </c>
      <c r="H132" s="136">
        <v>4545455</v>
      </c>
      <c r="I132" s="136"/>
      <c r="J132" s="136">
        <v>2250000</v>
      </c>
      <c r="K132" s="136">
        <f t="shared" si="33"/>
        <v>90909.1</v>
      </c>
      <c r="L132" s="153">
        <f>H132+J132</f>
        <v>6795455</v>
      </c>
      <c r="M132" s="135">
        <f>H132+J132-K132</f>
        <v>6704545.9000000004</v>
      </c>
      <c r="N132" s="134" t="s">
        <v>391</v>
      </c>
      <c r="O132" s="134" t="s">
        <v>227</v>
      </c>
      <c r="P132" s="133"/>
      <c r="Q132" s="133"/>
      <c r="R132" s="133"/>
      <c r="S132" s="133"/>
      <c r="T132" s="133"/>
      <c r="U132" s="133">
        <f t="shared" si="34"/>
        <v>4545455</v>
      </c>
      <c r="V132" s="133"/>
      <c r="W132" s="133"/>
      <c r="X132" s="132"/>
      <c r="Y132" s="132"/>
      <c r="Z132" s="132"/>
      <c r="AA132" s="252"/>
      <c r="AB132" s="256" t="s">
        <v>249</v>
      </c>
      <c r="AC132" s="233">
        <f t="shared" si="35"/>
        <v>4545455</v>
      </c>
      <c r="AD132" s="233"/>
      <c r="AE132" s="232"/>
    </row>
    <row r="133" spans="1:31" s="152" customFormat="1" x14ac:dyDescent="0.3">
      <c r="A133" s="837"/>
      <c r="B133" s="137">
        <v>118</v>
      </c>
      <c r="C133" s="239" t="s">
        <v>395</v>
      </c>
      <c r="D133" s="238" t="s">
        <v>394</v>
      </c>
      <c r="E133" s="145">
        <v>42430</v>
      </c>
      <c r="F133" s="208">
        <v>42499</v>
      </c>
      <c r="G133" s="137" t="s">
        <v>478</v>
      </c>
      <c r="H133" s="136">
        <v>20000000</v>
      </c>
      <c r="I133" s="136"/>
      <c r="J133" s="136">
        <v>2250000</v>
      </c>
      <c r="K133" s="136">
        <f t="shared" si="33"/>
        <v>400000</v>
      </c>
      <c r="L133" s="153">
        <f>H133+J133</f>
        <v>22250000</v>
      </c>
      <c r="M133" s="135">
        <f>H133+J133-K133</f>
        <v>21850000</v>
      </c>
      <c r="N133" s="134" t="s">
        <v>391</v>
      </c>
      <c r="O133" s="134" t="s">
        <v>227</v>
      </c>
      <c r="P133" s="133"/>
      <c r="Q133" s="133"/>
      <c r="R133" s="133"/>
      <c r="S133" s="133"/>
      <c r="T133" s="133"/>
      <c r="U133" s="133">
        <f t="shared" si="34"/>
        <v>20000000</v>
      </c>
      <c r="V133" s="133"/>
      <c r="W133" s="133"/>
      <c r="X133" s="132"/>
      <c r="Y133" s="132"/>
      <c r="Z133" s="132"/>
      <c r="AA133" s="252"/>
      <c r="AB133" s="184" t="s">
        <v>178</v>
      </c>
      <c r="AC133" s="233">
        <f t="shared" si="35"/>
        <v>20000000</v>
      </c>
      <c r="AD133" s="233"/>
      <c r="AE133" s="232"/>
    </row>
    <row r="134" spans="1:31" s="152" customFormat="1" x14ac:dyDescent="0.3">
      <c r="A134" s="837"/>
      <c r="B134" s="137">
        <v>119</v>
      </c>
      <c r="C134" s="239" t="s">
        <v>395</v>
      </c>
      <c r="D134" s="238" t="s">
        <v>479</v>
      </c>
      <c r="E134" s="145"/>
      <c r="F134" s="208">
        <v>42499</v>
      </c>
      <c r="G134" s="137" t="s">
        <v>478</v>
      </c>
      <c r="H134" s="136">
        <v>20000000</v>
      </c>
      <c r="I134" s="136"/>
      <c r="J134" s="136">
        <v>2250000</v>
      </c>
      <c r="K134" s="136">
        <f t="shared" si="33"/>
        <v>400000</v>
      </c>
      <c r="L134" s="153">
        <f>H134+J134</f>
        <v>22250000</v>
      </c>
      <c r="M134" s="135">
        <f>H134+J134-K134</f>
        <v>21850000</v>
      </c>
      <c r="N134" s="134" t="s">
        <v>391</v>
      </c>
      <c r="O134" s="134" t="s">
        <v>227</v>
      </c>
      <c r="P134" s="133"/>
      <c r="Q134" s="133"/>
      <c r="R134" s="133"/>
      <c r="S134" s="133"/>
      <c r="T134" s="133"/>
      <c r="U134" s="133">
        <f t="shared" si="34"/>
        <v>20000000</v>
      </c>
      <c r="V134" s="133"/>
      <c r="W134" s="133"/>
      <c r="X134" s="132"/>
      <c r="Y134" s="132"/>
      <c r="Z134" s="132"/>
      <c r="AA134" s="252"/>
      <c r="AB134" s="184" t="s">
        <v>178</v>
      </c>
      <c r="AC134" s="233">
        <f t="shared" si="35"/>
        <v>20000000</v>
      </c>
      <c r="AD134" s="233"/>
      <c r="AE134" s="232"/>
    </row>
    <row r="135" spans="1:31" s="152" customFormat="1" x14ac:dyDescent="0.3">
      <c r="A135" s="837"/>
      <c r="B135" s="137">
        <v>120</v>
      </c>
      <c r="C135" s="239" t="s">
        <v>207</v>
      </c>
      <c r="D135" s="238" t="s">
        <v>206</v>
      </c>
      <c r="E135" s="145" t="s">
        <v>477</v>
      </c>
      <c r="F135" s="208">
        <v>42499</v>
      </c>
      <c r="G135" s="137" t="s">
        <v>476</v>
      </c>
      <c r="H135" s="136">
        <v>10556000</v>
      </c>
      <c r="I135" s="136"/>
      <c r="J135" s="136">
        <v>2250000</v>
      </c>
      <c r="K135" s="136">
        <f t="shared" si="33"/>
        <v>211120</v>
      </c>
      <c r="L135" s="153">
        <f>H135+J135</f>
        <v>12806000</v>
      </c>
      <c r="M135" s="135">
        <f>H135+J135-K135</f>
        <v>12594880</v>
      </c>
      <c r="N135" s="237" t="s">
        <v>180</v>
      </c>
      <c r="O135" s="134" t="s">
        <v>199</v>
      </c>
      <c r="P135" s="133"/>
      <c r="Q135" s="236">
        <f>H135</f>
        <v>10556000</v>
      </c>
      <c r="R135" s="236"/>
      <c r="S135" s="236"/>
      <c r="T135" s="236"/>
      <c r="U135" s="236"/>
      <c r="V135" s="236"/>
      <c r="W135" s="236"/>
      <c r="X135" s="235"/>
      <c r="Y135" s="235"/>
      <c r="Z135" s="235"/>
      <c r="AA135" s="234"/>
      <c r="AB135" s="256" t="s">
        <v>249</v>
      </c>
      <c r="AC135" s="233">
        <f t="shared" si="35"/>
        <v>10556000</v>
      </c>
      <c r="AD135" s="233"/>
      <c r="AE135" s="232"/>
    </row>
    <row r="136" spans="1:31" s="152" customFormat="1" x14ac:dyDescent="0.3">
      <c r="A136" s="837"/>
      <c r="B136" s="137">
        <v>121</v>
      </c>
      <c r="C136" s="249" t="s">
        <v>234</v>
      </c>
      <c r="D136" s="248" t="s">
        <v>206</v>
      </c>
      <c r="E136" s="313" t="s">
        <v>475</v>
      </c>
      <c r="F136" s="208">
        <v>42500</v>
      </c>
      <c r="G136" s="137" t="s">
        <v>474</v>
      </c>
      <c r="H136" s="217">
        <v>35626500</v>
      </c>
      <c r="I136" s="136"/>
      <c r="J136" s="136"/>
      <c r="K136" s="136">
        <f t="shared" si="33"/>
        <v>712530</v>
      </c>
      <c r="L136" s="153"/>
      <c r="M136" s="135"/>
      <c r="N136" s="237" t="s">
        <v>180</v>
      </c>
      <c r="O136" s="134" t="s">
        <v>199</v>
      </c>
      <c r="P136" s="226"/>
      <c r="Q136" s="133">
        <f>H136</f>
        <v>35626500</v>
      </c>
      <c r="R136" s="247"/>
      <c r="S136" s="247"/>
      <c r="T136" s="247"/>
      <c r="U136" s="246"/>
      <c r="V136" s="247"/>
      <c r="W136" s="246"/>
      <c r="X136" s="244"/>
      <c r="Y136" s="245"/>
      <c r="Z136" s="244"/>
      <c r="AA136" s="243"/>
      <c r="AB136" s="256" t="s">
        <v>249</v>
      </c>
      <c r="AC136" s="242">
        <f t="shared" si="35"/>
        <v>35626500</v>
      </c>
      <c r="AD136" s="233"/>
      <c r="AE136" s="232"/>
    </row>
    <row r="137" spans="1:31" s="152" customFormat="1" x14ac:dyDescent="0.3">
      <c r="A137" s="837"/>
      <c r="B137" s="137">
        <v>122</v>
      </c>
      <c r="C137" s="249" t="s">
        <v>234</v>
      </c>
      <c r="D137" s="248" t="s">
        <v>201</v>
      </c>
      <c r="E137" s="313">
        <v>42401</v>
      </c>
      <c r="F137" s="208">
        <v>42500</v>
      </c>
      <c r="G137" s="137" t="s">
        <v>474</v>
      </c>
      <c r="H137" s="217">
        <v>10556000</v>
      </c>
      <c r="I137" s="136"/>
      <c r="J137" s="136"/>
      <c r="K137" s="136">
        <f t="shared" si="33"/>
        <v>211120</v>
      </c>
      <c r="L137" s="153"/>
      <c r="M137" s="135"/>
      <c r="N137" s="237" t="s">
        <v>180</v>
      </c>
      <c r="O137" s="134" t="s">
        <v>199</v>
      </c>
      <c r="P137" s="226"/>
      <c r="Q137" s="133">
        <f>H137</f>
        <v>10556000</v>
      </c>
      <c r="R137" s="247"/>
      <c r="S137" s="247"/>
      <c r="T137" s="247"/>
      <c r="U137" s="246"/>
      <c r="V137" s="247"/>
      <c r="W137" s="246"/>
      <c r="X137" s="244"/>
      <c r="Y137" s="245"/>
      <c r="Z137" s="244"/>
      <c r="AA137" s="243"/>
      <c r="AB137" s="256" t="s">
        <v>249</v>
      </c>
      <c r="AC137" s="242">
        <f t="shared" si="35"/>
        <v>10556000</v>
      </c>
      <c r="AD137" s="233"/>
      <c r="AE137" s="232"/>
    </row>
    <row r="138" spans="1:31" s="152" customFormat="1" x14ac:dyDescent="0.3">
      <c r="A138" s="837"/>
      <c r="B138" s="137">
        <v>123</v>
      </c>
      <c r="C138" s="222" t="s">
        <v>259</v>
      </c>
      <c r="D138" s="221" t="s">
        <v>305</v>
      </c>
      <c r="E138" s="220" t="s">
        <v>421</v>
      </c>
      <c r="F138" s="208">
        <v>42501</v>
      </c>
      <c r="G138" s="137" t="s">
        <v>473</v>
      </c>
      <c r="H138" s="217">
        <v>101250000</v>
      </c>
      <c r="I138" s="136"/>
      <c r="J138" s="136"/>
      <c r="K138" s="136"/>
      <c r="L138" s="153"/>
      <c r="M138" s="135"/>
      <c r="N138" s="237" t="s">
        <v>180</v>
      </c>
      <c r="O138" s="282" t="s">
        <v>199</v>
      </c>
      <c r="P138" s="213"/>
      <c r="Q138" s="215">
        <f>H138</f>
        <v>101250000</v>
      </c>
      <c r="R138" s="335"/>
      <c r="S138" s="335"/>
      <c r="T138" s="335"/>
      <c r="U138" s="356"/>
      <c r="V138" s="335"/>
      <c r="W138" s="356"/>
      <c r="X138" s="334"/>
      <c r="Y138" s="355"/>
      <c r="Z138" s="334"/>
      <c r="AA138" s="243"/>
      <c r="AB138" s="256" t="s">
        <v>249</v>
      </c>
      <c r="AC138" s="242"/>
      <c r="AD138" s="233"/>
      <c r="AE138" s="161"/>
    </row>
    <row r="139" spans="1:31" s="152" customFormat="1" x14ac:dyDescent="0.3">
      <c r="A139" s="837"/>
      <c r="B139" s="137">
        <v>124</v>
      </c>
      <c r="C139" s="141" t="s">
        <v>37</v>
      </c>
      <c r="D139" s="140" t="s">
        <v>201</v>
      </c>
      <c r="E139" s="240" t="s">
        <v>214</v>
      </c>
      <c r="F139" s="208">
        <v>42501</v>
      </c>
      <c r="G139" s="137" t="s">
        <v>472</v>
      </c>
      <c r="H139" s="136">
        <v>84280000</v>
      </c>
      <c r="I139" s="136"/>
      <c r="J139" s="136">
        <f>H139*10%</f>
        <v>8428000</v>
      </c>
      <c r="K139" s="136">
        <f>H139*2%</f>
        <v>1685600</v>
      </c>
      <c r="L139" s="153">
        <f>H139+J139</f>
        <v>92708000</v>
      </c>
      <c r="M139" s="135">
        <f>H139+J139-K139</f>
        <v>91022400</v>
      </c>
      <c r="N139" s="134" t="s">
        <v>180</v>
      </c>
      <c r="O139" s="134" t="s">
        <v>199</v>
      </c>
      <c r="P139" s="133"/>
      <c r="Q139" s="226"/>
      <c r="R139" s="226">
        <f>H139</f>
        <v>84280000</v>
      </c>
      <c r="S139" s="226"/>
      <c r="T139" s="226"/>
      <c r="U139" s="226"/>
      <c r="V139" s="289"/>
      <c r="W139" s="288"/>
      <c r="X139" s="225"/>
      <c r="Y139" s="225"/>
      <c r="Z139" s="287"/>
      <c r="AA139" s="286"/>
      <c r="AB139" s="256" t="s">
        <v>249</v>
      </c>
      <c r="AC139" s="211">
        <f>H139</f>
        <v>84280000</v>
      </c>
      <c r="AD139" s="211"/>
      <c r="AE139" s="229"/>
    </row>
    <row r="140" spans="1:31" s="152" customFormat="1" x14ac:dyDescent="0.3">
      <c r="A140" s="837"/>
      <c r="B140" s="137">
        <v>125</v>
      </c>
      <c r="C140" s="239" t="s">
        <v>470</v>
      </c>
      <c r="D140" s="238" t="s">
        <v>471</v>
      </c>
      <c r="E140" s="145"/>
      <c r="F140" s="208">
        <v>42501</v>
      </c>
      <c r="G140" s="137" t="s">
        <v>468</v>
      </c>
      <c r="H140" s="136">
        <v>20826125</v>
      </c>
      <c r="I140" s="136"/>
      <c r="J140" s="136"/>
      <c r="K140" s="136">
        <f>H140*2%</f>
        <v>416522.5</v>
      </c>
      <c r="L140" s="153"/>
      <c r="M140" s="135"/>
      <c r="N140" s="134" t="s">
        <v>228</v>
      </c>
      <c r="O140" s="134" t="s">
        <v>336</v>
      </c>
      <c r="P140" s="133"/>
      <c r="Q140" s="133"/>
      <c r="R140" s="133"/>
      <c r="S140" s="133"/>
      <c r="T140" s="133"/>
      <c r="U140" s="133"/>
      <c r="V140" s="133">
        <f>H140</f>
        <v>20826125</v>
      </c>
      <c r="W140" s="133"/>
      <c r="X140" s="132"/>
      <c r="Y140" s="132"/>
      <c r="Z140" s="132"/>
      <c r="AA140" s="131"/>
      <c r="AB140" s="256" t="s">
        <v>249</v>
      </c>
      <c r="AC140" s="233">
        <f>H140</f>
        <v>20826125</v>
      </c>
      <c r="AD140" s="233"/>
      <c r="AE140" s="232"/>
    </row>
    <row r="141" spans="1:31" s="152" customFormat="1" x14ac:dyDescent="0.3">
      <c r="A141" s="837"/>
      <c r="B141" s="137">
        <v>126</v>
      </c>
      <c r="C141" s="239" t="s">
        <v>470</v>
      </c>
      <c r="D141" s="238" t="s">
        <v>469</v>
      </c>
      <c r="E141" s="145"/>
      <c r="F141" s="208">
        <v>42501</v>
      </c>
      <c r="G141" s="137" t="s">
        <v>468</v>
      </c>
      <c r="H141" s="136">
        <v>2657800</v>
      </c>
      <c r="I141" s="136"/>
      <c r="J141" s="136"/>
      <c r="K141" s="136">
        <f>H141*2%</f>
        <v>53156</v>
      </c>
      <c r="L141" s="153"/>
      <c r="M141" s="135"/>
      <c r="N141" s="134" t="s">
        <v>228</v>
      </c>
      <c r="O141" s="134" t="s">
        <v>336</v>
      </c>
      <c r="P141" s="133"/>
      <c r="Q141" s="133"/>
      <c r="R141" s="133"/>
      <c r="S141" s="133"/>
      <c r="T141" s="133"/>
      <c r="U141" s="133"/>
      <c r="V141" s="133">
        <f>H141</f>
        <v>2657800</v>
      </c>
      <c r="W141" s="133"/>
      <c r="X141" s="132"/>
      <c r="Y141" s="132"/>
      <c r="Z141" s="132"/>
      <c r="AA141" s="131"/>
      <c r="AB141" s="256" t="s">
        <v>249</v>
      </c>
      <c r="AC141" s="233">
        <f>H141</f>
        <v>2657800</v>
      </c>
      <c r="AD141" s="233"/>
      <c r="AE141" s="232"/>
    </row>
    <row r="142" spans="1:31" s="152" customFormat="1" x14ac:dyDescent="0.3">
      <c r="A142" s="837"/>
      <c r="B142" s="137">
        <v>127</v>
      </c>
      <c r="C142" s="141" t="s">
        <v>467</v>
      </c>
      <c r="D142" s="221" t="s">
        <v>263</v>
      </c>
      <c r="E142" s="220"/>
      <c r="F142" s="208" t="s">
        <v>466</v>
      </c>
      <c r="G142" s="137" t="s">
        <v>465</v>
      </c>
      <c r="H142" s="136">
        <v>20232000</v>
      </c>
      <c r="I142" s="136"/>
      <c r="J142" s="136"/>
      <c r="K142" s="136"/>
      <c r="L142" s="153"/>
      <c r="M142" s="135"/>
      <c r="N142" s="134" t="s">
        <v>180</v>
      </c>
      <c r="O142" s="134" t="s">
        <v>227</v>
      </c>
      <c r="P142" s="133">
        <f>H142</f>
        <v>20232000</v>
      </c>
      <c r="Q142" s="133"/>
      <c r="R142" s="133"/>
      <c r="S142" s="133"/>
      <c r="T142" s="133"/>
      <c r="U142" s="133"/>
      <c r="V142" s="133"/>
      <c r="W142" s="133"/>
      <c r="X142" s="132"/>
      <c r="Y142" s="132"/>
      <c r="Z142" s="132"/>
      <c r="AA142" s="131"/>
      <c r="AB142" s="256" t="s">
        <v>249</v>
      </c>
      <c r="AC142" s="211"/>
      <c r="AD142" s="211"/>
      <c r="AE142" s="229"/>
    </row>
    <row r="143" spans="1:31" s="152" customFormat="1" ht="16.5" customHeight="1" x14ac:dyDescent="0.3">
      <c r="A143" s="837"/>
      <c r="B143" s="137">
        <v>128</v>
      </c>
      <c r="C143" s="141" t="s">
        <v>202</v>
      </c>
      <c r="D143" s="140" t="s">
        <v>314</v>
      </c>
      <c r="E143" s="240" t="s">
        <v>463</v>
      </c>
      <c r="F143" s="208">
        <v>42502</v>
      </c>
      <c r="G143" s="137" t="s">
        <v>464</v>
      </c>
      <c r="H143" s="136">
        <v>3986700</v>
      </c>
      <c r="I143" s="136"/>
      <c r="J143" s="136">
        <f>H143*10%</f>
        <v>398670</v>
      </c>
      <c r="K143" s="136">
        <f t="shared" ref="K143:K151" si="36">H143*2%</f>
        <v>79734</v>
      </c>
      <c r="L143" s="153">
        <f>H143+J143</f>
        <v>4385370</v>
      </c>
      <c r="M143" s="135">
        <f>H143+J143-K143</f>
        <v>4305636</v>
      </c>
      <c r="N143" s="134" t="s">
        <v>180</v>
      </c>
      <c r="O143" s="134" t="s">
        <v>199</v>
      </c>
      <c r="P143" s="133">
        <f>H143</f>
        <v>3986700</v>
      </c>
      <c r="Q143" s="133"/>
      <c r="R143" s="133"/>
      <c r="S143" s="133"/>
      <c r="T143" s="133"/>
      <c r="U143" s="133"/>
      <c r="V143" s="133"/>
      <c r="W143" s="133"/>
      <c r="X143" s="132"/>
      <c r="Y143" s="132"/>
      <c r="Z143" s="132"/>
      <c r="AA143" s="131"/>
      <c r="AB143" s="256" t="s">
        <v>249</v>
      </c>
      <c r="AC143" s="211">
        <f t="shared" ref="AC143:AC151" si="37">H143</f>
        <v>3986700</v>
      </c>
      <c r="AD143" s="211"/>
      <c r="AE143" s="229"/>
    </row>
    <row r="144" spans="1:31" s="152" customFormat="1" ht="16.5" customHeight="1" x14ac:dyDescent="0.3">
      <c r="A144" s="837"/>
      <c r="B144" s="137">
        <v>129</v>
      </c>
      <c r="C144" s="141" t="s">
        <v>202</v>
      </c>
      <c r="D144" s="140" t="s">
        <v>201</v>
      </c>
      <c r="E144" s="240" t="s">
        <v>463</v>
      </c>
      <c r="F144" s="208">
        <v>42502</v>
      </c>
      <c r="G144" s="137" t="s">
        <v>462</v>
      </c>
      <c r="H144" s="136">
        <v>13289000</v>
      </c>
      <c r="I144" s="136"/>
      <c r="J144" s="136">
        <f>H144*10%</f>
        <v>1328900</v>
      </c>
      <c r="K144" s="136">
        <f t="shared" si="36"/>
        <v>265780</v>
      </c>
      <c r="L144" s="153">
        <f>H144+J144</f>
        <v>14617900</v>
      </c>
      <c r="M144" s="135">
        <f>H144+J144-K144</f>
        <v>14352120</v>
      </c>
      <c r="N144" s="134" t="s">
        <v>180</v>
      </c>
      <c r="O144" s="134" t="s">
        <v>199</v>
      </c>
      <c r="P144" s="133">
        <f>H144</f>
        <v>13289000</v>
      </c>
      <c r="Q144" s="133"/>
      <c r="R144" s="133"/>
      <c r="S144" s="133"/>
      <c r="T144" s="133"/>
      <c r="U144" s="133"/>
      <c r="V144" s="133"/>
      <c r="W144" s="133"/>
      <c r="X144" s="132"/>
      <c r="Y144" s="132"/>
      <c r="Z144" s="132"/>
      <c r="AA144" s="131"/>
      <c r="AB144" s="256" t="s">
        <v>249</v>
      </c>
      <c r="AC144" s="211">
        <f t="shared" si="37"/>
        <v>13289000</v>
      </c>
      <c r="AD144" s="211"/>
      <c r="AE144" s="229"/>
    </row>
    <row r="145" spans="1:33" s="152" customFormat="1" x14ac:dyDescent="0.3">
      <c r="A145" s="837"/>
      <c r="B145" s="137">
        <v>130</v>
      </c>
      <c r="C145" s="239" t="s">
        <v>248</v>
      </c>
      <c r="D145" s="238" t="s">
        <v>461</v>
      </c>
      <c r="E145" s="139" t="s">
        <v>448</v>
      </c>
      <c r="F145" s="208" t="s">
        <v>460</v>
      </c>
      <c r="G145" s="137" t="s">
        <v>459</v>
      </c>
      <c r="H145" s="136">
        <v>312000000</v>
      </c>
      <c r="I145" s="136"/>
      <c r="J145" s="136">
        <v>2250000</v>
      </c>
      <c r="K145" s="136">
        <f t="shared" si="36"/>
        <v>6240000</v>
      </c>
      <c r="L145" s="153">
        <f>H145+J145</f>
        <v>314250000</v>
      </c>
      <c r="M145" s="135">
        <f>H145+J145-K145</f>
        <v>308010000</v>
      </c>
      <c r="N145" s="255" t="s">
        <v>391</v>
      </c>
      <c r="O145" s="255" t="s">
        <v>227</v>
      </c>
      <c r="P145" s="236"/>
      <c r="Q145" s="236"/>
      <c r="R145" s="236"/>
      <c r="S145" s="236"/>
      <c r="T145" s="236"/>
      <c r="U145" s="236">
        <f>H145</f>
        <v>312000000</v>
      </c>
      <c r="V145" s="236"/>
      <c r="W145" s="236"/>
      <c r="X145" s="235"/>
      <c r="Y145" s="235"/>
      <c r="Z145" s="235"/>
      <c r="AA145" s="254"/>
      <c r="AB145" s="256" t="s">
        <v>249</v>
      </c>
      <c r="AC145" s="233">
        <f t="shared" si="37"/>
        <v>312000000</v>
      </c>
      <c r="AD145" s="233"/>
      <c r="AE145" s="232"/>
    </row>
    <row r="146" spans="1:33" s="152" customFormat="1" x14ac:dyDescent="0.3">
      <c r="A146" s="837"/>
      <c r="B146" s="137">
        <v>131</v>
      </c>
      <c r="C146" s="239" t="s">
        <v>426</v>
      </c>
      <c r="D146" s="238" t="s">
        <v>458</v>
      </c>
      <c r="E146" s="139" t="s">
        <v>209</v>
      </c>
      <c r="F146" s="208" t="s">
        <v>457</v>
      </c>
      <c r="G146" s="137" t="s">
        <v>456</v>
      </c>
      <c r="H146" s="136">
        <v>300000000</v>
      </c>
      <c r="I146" s="136"/>
      <c r="J146" s="136"/>
      <c r="K146" s="136">
        <f t="shared" si="36"/>
        <v>6000000</v>
      </c>
      <c r="L146" s="153"/>
      <c r="M146" s="135"/>
      <c r="N146" s="255" t="s">
        <v>222</v>
      </c>
      <c r="O146" s="255" t="s">
        <v>221</v>
      </c>
      <c r="P146" s="236"/>
      <c r="Q146" s="236"/>
      <c r="R146" s="236"/>
      <c r="S146" s="236"/>
      <c r="T146" s="236"/>
      <c r="U146" s="236"/>
      <c r="V146" s="236"/>
      <c r="W146" s="236">
        <f>H146</f>
        <v>300000000</v>
      </c>
      <c r="X146" s="235"/>
      <c r="Y146" s="235"/>
      <c r="Z146" s="235"/>
      <c r="AA146" s="254"/>
      <c r="AB146" s="256" t="s">
        <v>249</v>
      </c>
      <c r="AC146" s="233">
        <f t="shared" si="37"/>
        <v>300000000</v>
      </c>
      <c r="AD146" s="233"/>
      <c r="AE146" s="232"/>
    </row>
    <row r="147" spans="1:33" s="152" customFormat="1" x14ac:dyDescent="0.3">
      <c r="A147" s="837"/>
      <c r="B147" s="137">
        <v>132</v>
      </c>
      <c r="C147" s="239" t="s">
        <v>455</v>
      </c>
      <c r="D147" s="238" t="s">
        <v>454</v>
      </c>
      <c r="E147" s="139"/>
      <c r="F147" s="208" t="s">
        <v>452</v>
      </c>
      <c r="G147" s="137" t="s">
        <v>453</v>
      </c>
      <c r="H147" s="136">
        <f>4500*13312</f>
        <v>59904000</v>
      </c>
      <c r="I147" s="136"/>
      <c r="J147" s="136">
        <v>2250000</v>
      </c>
      <c r="K147" s="136">
        <f t="shared" si="36"/>
        <v>1198080</v>
      </c>
      <c r="L147" s="153">
        <f>H147+J147</f>
        <v>62154000</v>
      </c>
      <c r="M147" s="135">
        <f>H147+J147-K147</f>
        <v>60955920</v>
      </c>
      <c r="N147" s="134" t="s">
        <v>241</v>
      </c>
      <c r="O147" s="134" t="s">
        <v>240</v>
      </c>
      <c r="P147" s="133"/>
      <c r="Q147" s="133"/>
      <c r="R147" s="133"/>
      <c r="S147" s="133"/>
      <c r="T147" s="133"/>
      <c r="U147" s="133"/>
      <c r="V147" s="133"/>
      <c r="W147" s="133"/>
      <c r="X147" s="132"/>
      <c r="Y147" s="132"/>
      <c r="Z147" s="132">
        <f>H147</f>
        <v>59904000</v>
      </c>
      <c r="AA147" s="252"/>
      <c r="AB147" s="256" t="s">
        <v>249</v>
      </c>
      <c r="AC147" s="233">
        <f t="shared" si="37"/>
        <v>59904000</v>
      </c>
      <c r="AD147" s="233"/>
      <c r="AE147" s="232"/>
    </row>
    <row r="148" spans="1:33" s="152" customFormat="1" x14ac:dyDescent="0.3">
      <c r="A148" s="837"/>
      <c r="B148" s="137">
        <v>133</v>
      </c>
      <c r="C148" s="222" t="s">
        <v>363</v>
      </c>
      <c r="D148" s="221" t="s">
        <v>206</v>
      </c>
      <c r="E148" s="220" t="s">
        <v>214</v>
      </c>
      <c r="F148" s="208" t="s">
        <v>452</v>
      </c>
      <c r="G148" s="137" t="s">
        <v>451</v>
      </c>
      <c r="H148" s="217">
        <v>19968000</v>
      </c>
      <c r="I148" s="136"/>
      <c r="J148" s="136">
        <f>H148*10%</f>
        <v>1996800</v>
      </c>
      <c r="K148" s="136">
        <f t="shared" si="36"/>
        <v>399360</v>
      </c>
      <c r="L148" s="153">
        <f>H148+J148</f>
        <v>21964800</v>
      </c>
      <c r="M148" s="135">
        <f>H148+J148-K148</f>
        <v>21565440</v>
      </c>
      <c r="N148" s="216" t="s">
        <v>180</v>
      </c>
      <c r="O148" s="216" t="s">
        <v>199</v>
      </c>
      <c r="P148" s="213">
        <f>H148</f>
        <v>19968000</v>
      </c>
      <c r="Q148" s="215"/>
      <c r="R148" s="215"/>
      <c r="S148" s="215"/>
      <c r="T148" s="215"/>
      <c r="U148" s="215"/>
      <c r="V148" s="215"/>
      <c r="W148" s="215"/>
      <c r="X148" s="214"/>
      <c r="Y148" s="213"/>
      <c r="Z148" s="213"/>
      <c r="AA148" s="212"/>
      <c r="AB148" s="256" t="s">
        <v>249</v>
      </c>
      <c r="AC148" s="211">
        <f t="shared" si="37"/>
        <v>19968000</v>
      </c>
      <c r="AD148" s="211"/>
      <c r="AE148" s="210"/>
    </row>
    <row r="149" spans="1:33" s="152" customFormat="1" x14ac:dyDescent="0.3">
      <c r="A149" s="837"/>
      <c r="B149" s="137">
        <v>134</v>
      </c>
      <c r="C149" s="222" t="s">
        <v>363</v>
      </c>
      <c r="D149" s="221" t="s">
        <v>190</v>
      </c>
      <c r="E149" s="220" t="s">
        <v>214</v>
      </c>
      <c r="F149" s="208" t="s">
        <v>452</v>
      </c>
      <c r="G149" s="137" t="s">
        <v>451</v>
      </c>
      <c r="H149" s="217">
        <v>13312000</v>
      </c>
      <c r="I149" s="136"/>
      <c r="J149" s="136">
        <f>H149*10%</f>
        <v>1331200</v>
      </c>
      <c r="K149" s="136">
        <f t="shared" si="36"/>
        <v>266240</v>
      </c>
      <c r="L149" s="153">
        <f>H149+J149</f>
        <v>14643200</v>
      </c>
      <c r="M149" s="135">
        <f>H149+J149-K149</f>
        <v>14376960</v>
      </c>
      <c r="N149" s="216" t="s">
        <v>180</v>
      </c>
      <c r="O149" s="216" t="s">
        <v>199</v>
      </c>
      <c r="P149" s="213">
        <f>H149</f>
        <v>13312000</v>
      </c>
      <c r="Q149" s="215"/>
      <c r="R149" s="215"/>
      <c r="S149" s="215"/>
      <c r="T149" s="215"/>
      <c r="U149" s="215"/>
      <c r="V149" s="215"/>
      <c r="W149" s="215"/>
      <c r="X149" s="214"/>
      <c r="Y149" s="213"/>
      <c r="Z149" s="213"/>
      <c r="AA149" s="212"/>
      <c r="AB149" s="256" t="s">
        <v>249</v>
      </c>
      <c r="AC149" s="211">
        <f t="shared" si="37"/>
        <v>13312000</v>
      </c>
      <c r="AD149" s="211"/>
      <c r="AE149" s="210"/>
    </row>
    <row r="150" spans="1:33" s="152" customFormat="1" x14ac:dyDescent="0.3">
      <c r="A150" s="837"/>
      <c r="B150" s="137">
        <v>135</v>
      </c>
      <c r="C150" s="239" t="s">
        <v>450</v>
      </c>
      <c r="D150" s="238" t="s">
        <v>449</v>
      </c>
      <c r="E150" s="139" t="s">
        <v>448</v>
      </c>
      <c r="F150" s="208" t="s">
        <v>447</v>
      </c>
      <c r="G150" s="137" t="s">
        <v>446</v>
      </c>
      <c r="H150" s="136">
        <f>14771*13312</f>
        <v>196631552</v>
      </c>
      <c r="I150" s="136"/>
      <c r="J150" s="136">
        <v>2250000</v>
      </c>
      <c r="K150" s="136">
        <f t="shared" si="36"/>
        <v>3932631.04</v>
      </c>
      <c r="L150" s="153">
        <f>H150+J150</f>
        <v>198881552</v>
      </c>
      <c r="M150" s="135">
        <f>H150+J150-K150</f>
        <v>194948920.96000001</v>
      </c>
      <c r="N150" s="134" t="s">
        <v>241</v>
      </c>
      <c r="O150" s="134" t="s">
        <v>240</v>
      </c>
      <c r="P150" s="133"/>
      <c r="Q150" s="133"/>
      <c r="R150" s="133"/>
      <c r="S150" s="133"/>
      <c r="T150" s="133"/>
      <c r="U150" s="133"/>
      <c r="V150" s="133"/>
      <c r="W150" s="133"/>
      <c r="X150" s="132"/>
      <c r="Y150" s="132"/>
      <c r="Z150" s="132">
        <f>H150</f>
        <v>196631552</v>
      </c>
      <c r="AA150" s="252"/>
      <c r="AB150" s="256" t="s">
        <v>249</v>
      </c>
      <c r="AC150" s="233">
        <f t="shared" si="37"/>
        <v>196631552</v>
      </c>
      <c r="AD150" s="233"/>
      <c r="AE150" s="232"/>
    </row>
    <row r="151" spans="1:33" s="152" customFormat="1" x14ac:dyDescent="0.3">
      <c r="A151" s="837"/>
      <c r="B151" s="137">
        <v>136</v>
      </c>
      <c r="C151" s="141" t="s">
        <v>185</v>
      </c>
      <c r="D151" s="140" t="s">
        <v>184</v>
      </c>
      <c r="E151" s="240">
        <v>42491</v>
      </c>
      <c r="F151" s="208" t="s">
        <v>445</v>
      </c>
      <c r="G151" s="137" t="s">
        <v>444</v>
      </c>
      <c r="H151" s="136">
        <v>16282200</v>
      </c>
      <c r="I151" s="136"/>
      <c r="J151" s="136">
        <f>H151*10%</f>
        <v>1628220</v>
      </c>
      <c r="K151" s="136">
        <f t="shared" si="36"/>
        <v>325644</v>
      </c>
      <c r="L151" s="153">
        <f>H151+J151</f>
        <v>17910420</v>
      </c>
      <c r="M151" s="135">
        <f>H151+J151-K151</f>
        <v>17584776</v>
      </c>
      <c r="N151" s="134" t="s">
        <v>180</v>
      </c>
      <c r="O151" s="134" t="s">
        <v>179</v>
      </c>
      <c r="P151" s="133"/>
      <c r="Q151" s="133"/>
      <c r="R151" s="133"/>
      <c r="S151" s="133">
        <f>H151</f>
        <v>16282200</v>
      </c>
      <c r="T151" s="133"/>
      <c r="U151" s="133"/>
      <c r="V151" s="133"/>
      <c r="W151" s="133"/>
      <c r="X151" s="132"/>
      <c r="Y151" s="132"/>
      <c r="Z151" s="132"/>
      <c r="AA151" s="131"/>
      <c r="AB151" s="256" t="s">
        <v>249</v>
      </c>
      <c r="AC151" s="211">
        <f t="shared" si="37"/>
        <v>16282200</v>
      </c>
      <c r="AD151" s="211"/>
      <c r="AE151" s="229"/>
    </row>
    <row r="152" spans="1:33" s="89" customFormat="1" x14ac:dyDescent="0.3">
      <c r="A152" s="838"/>
      <c r="B152" s="127" t="s">
        <v>443</v>
      </c>
      <c r="C152" s="126"/>
      <c r="D152" s="126"/>
      <c r="E152" s="126"/>
      <c r="F152" s="126"/>
      <c r="G152" s="125"/>
      <c r="H152" s="124">
        <f>SUM(H127:H151)</f>
        <v>1483039696</v>
      </c>
      <c r="I152" s="124"/>
      <c r="J152" s="124" t="e">
        <f>SUM(#REF!)</f>
        <v>#REF!</v>
      </c>
      <c r="K152" s="124" t="e">
        <f>SUM(#REF!)</f>
        <v>#REF!</v>
      </c>
      <c r="L152" s="354" t="e">
        <f>SUM(#REF!)</f>
        <v>#REF!</v>
      </c>
      <c r="M152" s="354" t="e">
        <f>SUM(#REF!)</f>
        <v>#REF!</v>
      </c>
      <c r="N152" s="353"/>
      <c r="O152" s="353"/>
      <c r="P152" s="352">
        <f t="shared" ref="P152:AA152" si="38">SUM(P127:P151)</f>
        <v>70787700</v>
      </c>
      <c r="Q152" s="352">
        <f t="shared" si="38"/>
        <v>157988500</v>
      </c>
      <c r="R152" s="352">
        <f t="shared" si="38"/>
        <v>84280000</v>
      </c>
      <c r="S152" s="352">
        <f t="shared" si="38"/>
        <v>16282200</v>
      </c>
      <c r="T152" s="352">
        <f t="shared" si="38"/>
        <v>0</v>
      </c>
      <c r="U152" s="352">
        <f t="shared" si="38"/>
        <v>573681819</v>
      </c>
      <c r="V152" s="352">
        <f t="shared" si="38"/>
        <v>23483925</v>
      </c>
      <c r="W152" s="352">
        <f t="shared" si="38"/>
        <v>300000000</v>
      </c>
      <c r="X152" s="352">
        <f t="shared" si="38"/>
        <v>0</v>
      </c>
      <c r="Y152" s="352">
        <f t="shared" si="38"/>
        <v>0</v>
      </c>
      <c r="Z152" s="352">
        <f t="shared" si="38"/>
        <v>256535552</v>
      </c>
      <c r="AA152" s="321">
        <f t="shared" si="38"/>
        <v>0</v>
      </c>
      <c r="AB152" s="119"/>
      <c r="AC152" s="351" t="e">
        <f>SUM(#REF!)</f>
        <v>#REF!</v>
      </c>
      <c r="AD152" s="350" t="e">
        <f>SUM(#REF!)</f>
        <v>#REF!</v>
      </c>
      <c r="AE152" s="116"/>
      <c r="AG152" s="115" t="e">
        <f>L152-(SUM(P152:X152))</f>
        <v>#REF!</v>
      </c>
    </row>
    <row r="153" spans="1:33" s="89" customFormat="1" x14ac:dyDescent="0.3">
      <c r="A153" s="349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8"/>
      <c r="O153" s="348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6"/>
      <c r="AB153" s="346"/>
      <c r="AC153" s="346"/>
      <c r="AD153" s="346"/>
      <c r="AE153" s="345"/>
    </row>
    <row r="154" spans="1:33" s="152" customFormat="1" x14ac:dyDescent="0.3">
      <c r="A154" s="837" t="s">
        <v>442</v>
      </c>
      <c r="B154" s="137">
        <v>137</v>
      </c>
      <c r="C154" s="344" t="s">
        <v>440</v>
      </c>
      <c r="D154" s="343" t="s">
        <v>441</v>
      </c>
      <c r="E154" s="342"/>
      <c r="F154" s="324">
        <v>42524</v>
      </c>
      <c r="G154" s="137" t="s">
        <v>439</v>
      </c>
      <c r="H154" s="341">
        <v>80000000</v>
      </c>
      <c r="I154" s="275"/>
      <c r="J154" s="275">
        <f>H154*10%</f>
        <v>8000000</v>
      </c>
      <c r="K154" s="275">
        <f>H154*2%</f>
        <v>1600000</v>
      </c>
      <c r="L154" s="274">
        <f>H154+J154</f>
        <v>88000000</v>
      </c>
      <c r="M154" s="273">
        <f>H154+J154-K154</f>
        <v>86400000</v>
      </c>
      <c r="N154" s="272" t="s">
        <v>222</v>
      </c>
      <c r="O154" s="272" t="s">
        <v>261</v>
      </c>
      <c r="P154" s="271"/>
      <c r="Q154" s="215"/>
      <c r="R154" s="215"/>
      <c r="S154" s="215"/>
      <c r="T154" s="215"/>
      <c r="U154" s="215"/>
      <c r="V154" s="215"/>
      <c r="W154" s="215">
        <f>H154</f>
        <v>80000000</v>
      </c>
      <c r="X154" s="214"/>
      <c r="Y154" s="213"/>
      <c r="Z154" s="213"/>
      <c r="AA154" s="212"/>
      <c r="AB154" s="256" t="s">
        <v>249</v>
      </c>
      <c r="AC154" s="211">
        <f>H154</f>
        <v>80000000</v>
      </c>
      <c r="AD154" s="211"/>
      <c r="AE154" s="229"/>
    </row>
    <row r="155" spans="1:33" s="152" customFormat="1" x14ac:dyDescent="0.3">
      <c r="A155" s="837"/>
      <c r="B155" s="137">
        <v>138</v>
      </c>
      <c r="C155" s="344" t="s">
        <v>440</v>
      </c>
      <c r="D155" s="343" t="s">
        <v>247</v>
      </c>
      <c r="E155" s="342"/>
      <c r="F155" s="324">
        <v>42524</v>
      </c>
      <c r="G155" s="137" t="s">
        <v>439</v>
      </c>
      <c r="H155" s="341">
        <v>6400000</v>
      </c>
      <c r="I155" s="275"/>
      <c r="J155" s="275">
        <f>H155*10%</f>
        <v>640000</v>
      </c>
      <c r="K155" s="275">
        <f>H155*2%</f>
        <v>128000</v>
      </c>
      <c r="L155" s="274">
        <f>H155+J155</f>
        <v>7040000</v>
      </c>
      <c r="M155" s="273">
        <f>H155+J155-K155</f>
        <v>6912000</v>
      </c>
      <c r="N155" s="272" t="s">
        <v>222</v>
      </c>
      <c r="O155" s="272" t="s">
        <v>261</v>
      </c>
      <c r="P155" s="271"/>
      <c r="Q155" s="215"/>
      <c r="R155" s="215"/>
      <c r="S155" s="215"/>
      <c r="T155" s="215"/>
      <c r="U155" s="215"/>
      <c r="V155" s="215"/>
      <c r="W155" s="215">
        <f>H155</f>
        <v>6400000</v>
      </c>
      <c r="X155" s="214"/>
      <c r="Y155" s="213"/>
      <c r="Z155" s="213"/>
      <c r="AA155" s="212"/>
      <c r="AB155" s="256" t="s">
        <v>249</v>
      </c>
      <c r="AC155" s="211">
        <f>H155</f>
        <v>6400000</v>
      </c>
      <c r="AD155" s="211"/>
      <c r="AE155" s="229"/>
    </row>
    <row r="156" spans="1:33" s="152" customFormat="1" ht="30" x14ac:dyDescent="0.3">
      <c r="A156" s="837"/>
      <c r="B156" s="137">
        <v>139</v>
      </c>
      <c r="C156" s="141" t="s">
        <v>211</v>
      </c>
      <c r="D156" s="140" t="s">
        <v>438</v>
      </c>
      <c r="E156" s="240" t="s">
        <v>220</v>
      </c>
      <c r="F156" s="324">
        <v>42524</v>
      </c>
      <c r="G156" s="137" t="s">
        <v>437</v>
      </c>
      <c r="H156" s="136">
        <v>88435100</v>
      </c>
      <c r="I156" s="136"/>
      <c r="J156" s="136">
        <f>H156*10%</f>
        <v>8843510</v>
      </c>
      <c r="K156" s="136">
        <f>H156*2%</f>
        <v>1768702</v>
      </c>
      <c r="L156" s="153">
        <f>H156+J156</f>
        <v>97278610</v>
      </c>
      <c r="M156" s="135">
        <f>H156+J156-K156</f>
        <v>95509908</v>
      </c>
      <c r="N156" s="134" t="s">
        <v>180</v>
      </c>
      <c r="O156" s="134" t="s">
        <v>199</v>
      </c>
      <c r="P156" s="133"/>
      <c r="Q156" s="133"/>
      <c r="R156" s="133">
        <f>H156</f>
        <v>88435100</v>
      </c>
      <c r="S156" s="133"/>
      <c r="T156" s="133"/>
      <c r="U156" s="133"/>
      <c r="V156" s="133"/>
      <c r="W156" s="133"/>
      <c r="X156" s="132"/>
      <c r="Y156" s="235"/>
      <c r="Z156" s="235"/>
      <c r="AA156" s="254"/>
      <c r="AB156" s="338" t="s">
        <v>249</v>
      </c>
      <c r="AC156" s="211">
        <f>H156</f>
        <v>88435100</v>
      </c>
      <c r="AD156" s="211"/>
      <c r="AE156" s="229"/>
    </row>
    <row r="157" spans="1:33" s="152" customFormat="1" x14ac:dyDescent="0.3">
      <c r="A157" s="837"/>
      <c r="B157" s="137">
        <v>140</v>
      </c>
      <c r="C157" s="239" t="s">
        <v>207</v>
      </c>
      <c r="D157" s="238" t="s">
        <v>206</v>
      </c>
      <c r="E157" s="145">
        <v>42491</v>
      </c>
      <c r="F157" s="324">
        <v>42524</v>
      </c>
      <c r="G157" s="137" t="s">
        <v>436</v>
      </c>
      <c r="H157" s="136">
        <v>5447600</v>
      </c>
      <c r="I157" s="136"/>
      <c r="J157" s="136">
        <v>2250000</v>
      </c>
      <c r="K157" s="136">
        <f>H157*2%</f>
        <v>108952</v>
      </c>
      <c r="L157" s="153">
        <f>H157+J157</f>
        <v>7697600</v>
      </c>
      <c r="M157" s="135">
        <f>H157+J157-K157</f>
        <v>7588648</v>
      </c>
      <c r="N157" s="237" t="s">
        <v>180</v>
      </c>
      <c r="O157" s="134" t="s">
        <v>199</v>
      </c>
      <c r="P157" s="133"/>
      <c r="Q157" s="236">
        <f>H157</f>
        <v>5447600</v>
      </c>
      <c r="R157" s="236"/>
      <c r="S157" s="236"/>
      <c r="T157" s="236"/>
      <c r="U157" s="236"/>
      <c r="V157" s="236"/>
      <c r="W157" s="236"/>
      <c r="X157" s="235"/>
      <c r="Y157" s="340"/>
      <c r="Z157" s="340"/>
      <c r="AA157" s="339"/>
      <c r="AB157" s="338" t="s">
        <v>249</v>
      </c>
      <c r="AC157" s="242">
        <f>H157</f>
        <v>5447600</v>
      </c>
      <c r="AD157" s="233"/>
      <c r="AE157" s="232"/>
    </row>
    <row r="158" spans="1:33" s="152" customFormat="1" x14ac:dyDescent="0.3">
      <c r="A158" s="837"/>
      <c r="B158" s="137">
        <v>141</v>
      </c>
      <c r="C158" s="278" t="s">
        <v>290</v>
      </c>
      <c r="D158" s="277" t="s">
        <v>435</v>
      </c>
      <c r="E158" s="240" t="s">
        <v>432</v>
      </c>
      <c r="F158" s="324">
        <v>42527</v>
      </c>
      <c r="G158" s="137" t="s">
        <v>434</v>
      </c>
      <c r="H158" s="136">
        <v>7831560</v>
      </c>
      <c r="I158" s="275"/>
      <c r="J158" s="275"/>
      <c r="K158" s="275"/>
      <c r="L158" s="274"/>
      <c r="M158" s="273"/>
      <c r="N158" s="272" t="s">
        <v>180</v>
      </c>
      <c r="O158" s="272" t="s">
        <v>199</v>
      </c>
      <c r="P158" s="271"/>
      <c r="Q158" s="270"/>
      <c r="R158" s="270"/>
      <c r="S158" s="270"/>
      <c r="T158" s="270">
        <f>H158</f>
        <v>7831560</v>
      </c>
      <c r="U158" s="270"/>
      <c r="V158" s="270"/>
      <c r="W158" s="270"/>
      <c r="X158" s="269"/>
      <c r="Y158" s="334"/>
      <c r="Z158" s="334"/>
      <c r="AA158" s="252"/>
      <c r="AB158" s="337" t="s">
        <v>178</v>
      </c>
      <c r="AC158" s="242"/>
      <c r="AD158" s="233"/>
      <c r="AE158" s="232"/>
    </row>
    <row r="159" spans="1:33" s="152" customFormat="1" x14ac:dyDescent="0.3">
      <c r="A159" s="837"/>
      <c r="B159" s="137">
        <v>142</v>
      </c>
      <c r="C159" s="278" t="s">
        <v>290</v>
      </c>
      <c r="D159" s="277" t="s">
        <v>433</v>
      </c>
      <c r="E159" s="240" t="s">
        <v>432</v>
      </c>
      <c r="F159" s="324">
        <v>42527</v>
      </c>
      <c r="G159" s="137" t="s">
        <v>431</v>
      </c>
      <c r="H159" s="136">
        <v>15663120</v>
      </c>
      <c r="I159" s="275"/>
      <c r="J159" s="275"/>
      <c r="K159" s="275"/>
      <c r="L159" s="274"/>
      <c r="M159" s="273"/>
      <c r="N159" s="272" t="s">
        <v>180</v>
      </c>
      <c r="O159" s="272" t="s">
        <v>199</v>
      </c>
      <c r="P159" s="271"/>
      <c r="Q159" s="270"/>
      <c r="R159" s="270"/>
      <c r="S159" s="270"/>
      <c r="T159" s="270">
        <f>H159</f>
        <v>15663120</v>
      </c>
      <c r="U159" s="270"/>
      <c r="V159" s="270"/>
      <c r="W159" s="270"/>
      <c r="X159" s="269"/>
      <c r="Y159" s="334"/>
      <c r="Z159" s="334"/>
      <c r="AA159" s="252"/>
      <c r="AB159" s="337" t="s">
        <v>178</v>
      </c>
      <c r="AC159" s="242"/>
      <c r="AD159" s="233"/>
      <c r="AE159" s="232"/>
    </row>
    <row r="160" spans="1:33" s="152" customFormat="1" x14ac:dyDescent="0.3">
      <c r="A160" s="837"/>
      <c r="B160" s="137">
        <v>143</v>
      </c>
      <c r="C160" s="278" t="s">
        <v>428</v>
      </c>
      <c r="D160" s="277" t="s">
        <v>430</v>
      </c>
      <c r="E160" s="240" t="s">
        <v>294</v>
      </c>
      <c r="F160" s="324">
        <v>42529</v>
      </c>
      <c r="G160" s="137" t="s">
        <v>427</v>
      </c>
      <c r="H160" s="136">
        <v>24300000</v>
      </c>
      <c r="I160" s="275"/>
      <c r="J160" s="275"/>
      <c r="K160" s="275"/>
      <c r="L160" s="274"/>
      <c r="M160" s="273"/>
      <c r="N160" s="272"/>
      <c r="O160" s="272"/>
      <c r="P160" s="271"/>
      <c r="Q160" s="270"/>
      <c r="R160" s="270"/>
      <c r="S160" s="270"/>
      <c r="T160" s="270"/>
      <c r="U160" s="270"/>
      <c r="V160" s="336"/>
      <c r="W160" s="270"/>
      <c r="X160" s="269"/>
      <c r="Y160" s="334"/>
      <c r="Z160" s="334"/>
      <c r="AA160" s="252"/>
      <c r="AB160" s="333" t="s">
        <v>249</v>
      </c>
      <c r="AC160" s="242"/>
      <c r="AD160" s="233"/>
      <c r="AE160" s="232"/>
    </row>
    <row r="161" spans="1:31" s="152" customFormat="1" x14ac:dyDescent="0.3">
      <c r="A161" s="837"/>
      <c r="B161" s="137">
        <v>144</v>
      </c>
      <c r="C161" s="278" t="s">
        <v>428</v>
      </c>
      <c r="D161" s="277" t="s">
        <v>429</v>
      </c>
      <c r="E161" s="240" t="s">
        <v>294</v>
      </c>
      <c r="F161" s="324">
        <v>42529</v>
      </c>
      <c r="G161" s="137" t="s">
        <v>427</v>
      </c>
      <c r="H161" s="136">
        <v>30375000</v>
      </c>
      <c r="I161" s="275"/>
      <c r="J161" s="275"/>
      <c r="K161" s="275"/>
      <c r="L161" s="274"/>
      <c r="M161" s="273"/>
      <c r="N161" s="272"/>
      <c r="O161" s="272"/>
      <c r="P161" s="271"/>
      <c r="Q161" s="270"/>
      <c r="R161" s="270"/>
      <c r="S161" s="270"/>
      <c r="T161" s="270"/>
      <c r="U161" s="270"/>
      <c r="V161" s="336"/>
      <c r="W161" s="270"/>
      <c r="X161" s="214"/>
      <c r="Y161" s="330"/>
      <c r="Z161" s="330"/>
      <c r="AA161" s="328"/>
      <c r="AB161" s="256" t="s">
        <v>249</v>
      </c>
      <c r="AC161" s="242"/>
      <c r="AD161" s="233"/>
      <c r="AE161" s="232"/>
    </row>
    <row r="162" spans="1:31" s="152" customFormat="1" x14ac:dyDescent="0.3">
      <c r="A162" s="837"/>
      <c r="B162" s="137">
        <v>145</v>
      </c>
      <c r="C162" s="278" t="s">
        <v>428</v>
      </c>
      <c r="D162" s="277" t="s">
        <v>215</v>
      </c>
      <c r="E162" s="240" t="s">
        <v>294</v>
      </c>
      <c r="F162" s="324">
        <v>42529</v>
      </c>
      <c r="G162" s="137" t="s">
        <v>427</v>
      </c>
      <c r="H162" s="136">
        <v>30375000</v>
      </c>
      <c r="I162" s="275"/>
      <c r="J162" s="275"/>
      <c r="K162" s="275"/>
      <c r="L162" s="274"/>
      <c r="M162" s="273"/>
      <c r="N162" s="272"/>
      <c r="O162" s="272"/>
      <c r="P162" s="271"/>
      <c r="Q162" s="215"/>
      <c r="R162" s="215"/>
      <c r="S162" s="215"/>
      <c r="T162" s="215"/>
      <c r="U162" s="215"/>
      <c r="V162" s="335"/>
      <c r="W162" s="215"/>
      <c r="X162" s="214"/>
      <c r="Y162" s="334"/>
      <c r="Z162" s="334"/>
      <c r="AA162" s="252"/>
      <c r="AB162" s="333" t="s">
        <v>249</v>
      </c>
      <c r="AC162" s="242"/>
      <c r="AD162" s="233"/>
      <c r="AE162" s="232"/>
    </row>
    <row r="163" spans="1:31" s="152" customFormat="1" ht="18.75" customHeight="1" x14ac:dyDescent="0.3">
      <c r="A163" s="837"/>
      <c r="B163" s="137">
        <v>146</v>
      </c>
      <c r="C163" s="222" t="s">
        <v>426</v>
      </c>
      <c r="D163" s="221" t="s">
        <v>425</v>
      </c>
      <c r="E163" s="228" t="s">
        <v>424</v>
      </c>
      <c r="F163" s="219" t="s">
        <v>423</v>
      </c>
      <c r="G163" s="137" t="s">
        <v>422</v>
      </c>
      <c r="H163" s="217">
        <v>300000000</v>
      </c>
      <c r="I163" s="217"/>
      <c r="J163" s="217"/>
      <c r="K163" s="217"/>
      <c r="L163" s="153"/>
      <c r="M163" s="227"/>
      <c r="N163" s="216" t="s">
        <v>222</v>
      </c>
      <c r="O163" s="216" t="s">
        <v>221</v>
      </c>
      <c r="P163" s="226"/>
      <c r="Q163" s="226"/>
      <c r="R163" s="226"/>
      <c r="S163" s="226"/>
      <c r="T163" s="226"/>
      <c r="U163" s="226"/>
      <c r="V163" s="226"/>
      <c r="W163" s="226">
        <f>H163</f>
        <v>300000000</v>
      </c>
      <c r="X163" s="225"/>
      <c r="Y163" s="287"/>
      <c r="Z163" s="225"/>
      <c r="AA163" s="328"/>
      <c r="AB163" s="332" t="s">
        <v>249</v>
      </c>
      <c r="AC163" s="331"/>
      <c r="AD163" s="224"/>
      <c r="AE163" s="223"/>
    </row>
    <row r="164" spans="1:31" s="152" customFormat="1" x14ac:dyDescent="0.3">
      <c r="A164" s="837"/>
      <c r="B164" s="137">
        <v>147</v>
      </c>
      <c r="C164" s="222" t="s">
        <v>298</v>
      </c>
      <c r="D164" s="221" t="s">
        <v>201</v>
      </c>
      <c r="E164" s="220" t="s">
        <v>421</v>
      </c>
      <c r="F164" s="208">
        <v>42536</v>
      </c>
      <c r="G164" s="137" t="s">
        <v>420</v>
      </c>
      <c r="H164" s="217">
        <v>82533091</v>
      </c>
      <c r="I164" s="136"/>
      <c r="J164" s="136">
        <f t="shared" ref="J164:J169" si="39">H164*10%</f>
        <v>8253309.1000000006</v>
      </c>
      <c r="K164" s="136">
        <f t="shared" ref="K164:K169" si="40">H164*2%</f>
        <v>1650661.82</v>
      </c>
      <c r="L164" s="153">
        <f t="shared" ref="L164:L169" si="41">H164+J164</f>
        <v>90786400.099999994</v>
      </c>
      <c r="M164" s="135">
        <f t="shared" ref="M164:M169" si="42">H164+J164-K164</f>
        <v>89135738.280000001</v>
      </c>
      <c r="N164" s="216" t="s">
        <v>180</v>
      </c>
      <c r="O164" s="216" t="s">
        <v>199</v>
      </c>
      <c r="P164" s="213"/>
      <c r="Q164" s="215">
        <f>H164</f>
        <v>82533091</v>
      </c>
      <c r="R164" s="215"/>
      <c r="S164" s="215"/>
      <c r="T164" s="215"/>
      <c r="U164" s="215"/>
      <c r="V164" s="215"/>
      <c r="W164" s="215"/>
      <c r="X164" s="214"/>
      <c r="Y164" s="330"/>
      <c r="Z164" s="329"/>
      <c r="AA164" s="328"/>
      <c r="AB164" s="327" t="s">
        <v>249</v>
      </c>
      <c r="AC164" s="326"/>
      <c r="AD164" s="211"/>
      <c r="AE164" s="210"/>
    </row>
    <row r="165" spans="1:31" s="152" customFormat="1" ht="16.5" customHeight="1" x14ac:dyDescent="0.3">
      <c r="A165" s="837"/>
      <c r="B165" s="137">
        <v>148</v>
      </c>
      <c r="C165" s="141" t="s">
        <v>202</v>
      </c>
      <c r="D165" s="140" t="s">
        <v>419</v>
      </c>
      <c r="E165" s="240">
        <v>42522</v>
      </c>
      <c r="F165" s="208">
        <v>42537</v>
      </c>
      <c r="G165" s="137" t="s">
        <v>418</v>
      </c>
      <c r="H165" s="136">
        <v>3987300</v>
      </c>
      <c r="I165" s="136"/>
      <c r="J165" s="136">
        <f t="shared" si="39"/>
        <v>398730</v>
      </c>
      <c r="K165" s="136">
        <f t="shared" si="40"/>
        <v>79746</v>
      </c>
      <c r="L165" s="153">
        <f t="shared" si="41"/>
        <v>4386030</v>
      </c>
      <c r="M165" s="135">
        <f t="shared" si="42"/>
        <v>4306284</v>
      </c>
      <c r="N165" s="134" t="s">
        <v>180</v>
      </c>
      <c r="O165" s="134" t="s">
        <v>199</v>
      </c>
      <c r="P165" s="133"/>
      <c r="Q165" s="133"/>
      <c r="R165" s="133"/>
      <c r="S165" s="133">
        <f t="shared" ref="S165:S170" si="43">H165</f>
        <v>3987300</v>
      </c>
      <c r="T165" s="133"/>
      <c r="U165" s="133"/>
      <c r="V165" s="133"/>
      <c r="W165" s="133"/>
      <c r="X165" s="132"/>
      <c r="Y165" s="225"/>
      <c r="Z165" s="225"/>
      <c r="AA165" s="212"/>
      <c r="AB165" s="325" t="s">
        <v>178</v>
      </c>
      <c r="AC165" s="211">
        <f>H165</f>
        <v>3987300</v>
      </c>
      <c r="AD165" s="211"/>
      <c r="AE165" s="229"/>
    </row>
    <row r="166" spans="1:31" s="152" customFormat="1" ht="16.5" customHeight="1" x14ac:dyDescent="0.3">
      <c r="A166" s="837"/>
      <c r="B166" s="137">
        <v>149</v>
      </c>
      <c r="C166" s="141" t="s">
        <v>202</v>
      </c>
      <c r="D166" s="140" t="s">
        <v>201</v>
      </c>
      <c r="E166" s="240">
        <v>42522</v>
      </c>
      <c r="F166" s="208">
        <v>42537</v>
      </c>
      <c r="G166" s="137" t="s">
        <v>417</v>
      </c>
      <c r="H166" s="136">
        <v>13291000</v>
      </c>
      <c r="I166" s="136"/>
      <c r="J166" s="136">
        <f t="shared" si="39"/>
        <v>1329100</v>
      </c>
      <c r="K166" s="136">
        <f t="shared" si="40"/>
        <v>265820</v>
      </c>
      <c r="L166" s="153">
        <f t="shared" si="41"/>
        <v>14620100</v>
      </c>
      <c r="M166" s="135">
        <f t="shared" si="42"/>
        <v>14354280</v>
      </c>
      <c r="N166" s="134" t="s">
        <v>180</v>
      </c>
      <c r="O166" s="134" t="s">
        <v>199</v>
      </c>
      <c r="P166" s="133"/>
      <c r="Q166" s="133"/>
      <c r="R166" s="133"/>
      <c r="S166" s="133">
        <f t="shared" si="43"/>
        <v>13291000</v>
      </c>
      <c r="T166" s="133"/>
      <c r="U166" s="133"/>
      <c r="V166" s="133"/>
      <c r="W166" s="133"/>
      <c r="X166" s="132"/>
      <c r="Y166" s="132"/>
      <c r="Z166" s="132"/>
      <c r="AA166" s="131"/>
      <c r="AB166" s="184" t="s">
        <v>178</v>
      </c>
      <c r="AC166" s="211">
        <f>H166</f>
        <v>13291000</v>
      </c>
      <c r="AD166" s="211"/>
      <c r="AE166" s="229"/>
    </row>
    <row r="167" spans="1:31" s="152" customFormat="1" ht="16.5" customHeight="1" x14ac:dyDescent="0.3">
      <c r="A167" s="837"/>
      <c r="B167" s="137">
        <v>150</v>
      </c>
      <c r="C167" s="141" t="s">
        <v>198</v>
      </c>
      <c r="D167" s="140" t="s">
        <v>190</v>
      </c>
      <c r="E167" s="220" t="s">
        <v>209</v>
      </c>
      <c r="F167" s="138">
        <v>42537</v>
      </c>
      <c r="G167" s="137" t="s">
        <v>416</v>
      </c>
      <c r="H167" s="136">
        <v>59809500</v>
      </c>
      <c r="I167" s="136"/>
      <c r="J167" s="136">
        <f t="shared" si="39"/>
        <v>5980950</v>
      </c>
      <c r="K167" s="136">
        <f t="shared" si="40"/>
        <v>1196190</v>
      </c>
      <c r="L167" s="153">
        <f t="shared" si="41"/>
        <v>65790450</v>
      </c>
      <c r="M167" s="135">
        <f t="shared" si="42"/>
        <v>64594260</v>
      </c>
      <c r="N167" s="134" t="s">
        <v>180</v>
      </c>
      <c r="O167" s="134" t="s">
        <v>186</v>
      </c>
      <c r="P167" s="133"/>
      <c r="Q167" s="133"/>
      <c r="R167" s="133"/>
      <c r="S167" s="133">
        <f t="shared" si="43"/>
        <v>59809500</v>
      </c>
      <c r="T167" s="133"/>
      <c r="U167" s="133"/>
      <c r="V167" s="133"/>
      <c r="W167" s="133"/>
      <c r="X167" s="132"/>
      <c r="Y167" s="132"/>
      <c r="Z167" s="132"/>
      <c r="AA167" s="131"/>
      <c r="AB167" s="256" t="s">
        <v>249</v>
      </c>
      <c r="AC167" s="211">
        <f>H167</f>
        <v>59809500</v>
      </c>
      <c r="AD167" s="211"/>
      <c r="AE167" s="229"/>
    </row>
    <row r="168" spans="1:31" s="152" customFormat="1" ht="16.5" customHeight="1" x14ac:dyDescent="0.3">
      <c r="A168" s="837"/>
      <c r="B168" s="137">
        <v>151</v>
      </c>
      <c r="C168" s="141" t="s">
        <v>193</v>
      </c>
      <c r="D168" s="140" t="s">
        <v>190</v>
      </c>
      <c r="E168" s="220" t="s">
        <v>218</v>
      </c>
      <c r="F168" s="138">
        <v>42537</v>
      </c>
      <c r="G168" s="137" t="s">
        <v>415</v>
      </c>
      <c r="H168" s="136">
        <v>9721662</v>
      </c>
      <c r="I168" s="136"/>
      <c r="J168" s="136">
        <f t="shared" si="39"/>
        <v>972166.20000000007</v>
      </c>
      <c r="K168" s="136">
        <f t="shared" si="40"/>
        <v>194433.24</v>
      </c>
      <c r="L168" s="153">
        <f t="shared" si="41"/>
        <v>10693828.199999999</v>
      </c>
      <c r="M168" s="135">
        <f t="shared" si="42"/>
        <v>10499394.959999999</v>
      </c>
      <c r="N168" s="134" t="s">
        <v>180</v>
      </c>
      <c r="O168" s="134" t="s">
        <v>186</v>
      </c>
      <c r="P168" s="133"/>
      <c r="Q168" s="133"/>
      <c r="R168" s="133"/>
      <c r="S168" s="133">
        <f t="shared" si="43"/>
        <v>9721662</v>
      </c>
      <c r="T168" s="133"/>
      <c r="U168" s="133"/>
      <c r="V168" s="133"/>
      <c r="W168" s="133"/>
      <c r="X168" s="132"/>
      <c r="Y168" s="132"/>
      <c r="Z168" s="132"/>
      <c r="AA168" s="131"/>
      <c r="AB168" s="184" t="s">
        <v>178</v>
      </c>
      <c r="AC168" s="211">
        <f>H168</f>
        <v>9721662</v>
      </c>
      <c r="AD168" s="211"/>
      <c r="AE168" s="229"/>
    </row>
    <row r="169" spans="1:31" s="152" customFormat="1" ht="16.5" customHeight="1" x14ac:dyDescent="0.3">
      <c r="A169" s="837"/>
      <c r="B169" s="137">
        <v>152</v>
      </c>
      <c r="C169" s="141" t="s">
        <v>193</v>
      </c>
      <c r="D169" s="140" t="s">
        <v>190</v>
      </c>
      <c r="E169" s="220" t="s">
        <v>218</v>
      </c>
      <c r="F169" s="138">
        <v>42537</v>
      </c>
      <c r="G169" s="137" t="s">
        <v>414</v>
      </c>
      <c r="H169" s="136">
        <v>9721662</v>
      </c>
      <c r="I169" s="136"/>
      <c r="J169" s="136">
        <f t="shared" si="39"/>
        <v>972166.20000000007</v>
      </c>
      <c r="K169" s="136">
        <f t="shared" si="40"/>
        <v>194433.24</v>
      </c>
      <c r="L169" s="153">
        <f t="shared" si="41"/>
        <v>10693828.199999999</v>
      </c>
      <c r="M169" s="135">
        <f t="shared" si="42"/>
        <v>10499394.959999999</v>
      </c>
      <c r="N169" s="134" t="s">
        <v>180</v>
      </c>
      <c r="O169" s="134" t="s">
        <v>186</v>
      </c>
      <c r="P169" s="133"/>
      <c r="Q169" s="133"/>
      <c r="R169" s="133"/>
      <c r="S169" s="133">
        <f t="shared" si="43"/>
        <v>9721662</v>
      </c>
      <c r="T169" s="133"/>
      <c r="U169" s="133"/>
      <c r="V169" s="133"/>
      <c r="W169" s="133"/>
      <c r="X169" s="132"/>
      <c r="Y169" s="132"/>
      <c r="Z169" s="132"/>
      <c r="AA169" s="131"/>
      <c r="AB169" s="184" t="s">
        <v>178</v>
      </c>
      <c r="AC169" s="211">
        <f>H169</f>
        <v>9721662</v>
      </c>
      <c r="AD169" s="211"/>
      <c r="AE169" s="229"/>
    </row>
    <row r="170" spans="1:31" s="152" customFormat="1" ht="18.75" customHeight="1" x14ac:dyDescent="0.3">
      <c r="A170" s="837"/>
      <c r="B170" s="137">
        <v>153</v>
      </c>
      <c r="C170" s="222" t="s">
        <v>191</v>
      </c>
      <c r="D170" s="221" t="s">
        <v>190</v>
      </c>
      <c r="E170" s="228" t="s">
        <v>218</v>
      </c>
      <c r="F170" s="219" t="s">
        <v>413</v>
      </c>
      <c r="G170" s="137" t="s">
        <v>412</v>
      </c>
      <c r="H170" s="217">
        <v>9721662</v>
      </c>
      <c r="I170" s="217"/>
      <c r="J170" s="217"/>
      <c r="K170" s="217"/>
      <c r="L170" s="153"/>
      <c r="M170" s="227"/>
      <c r="N170" s="216" t="s">
        <v>180</v>
      </c>
      <c r="O170" s="216" t="s">
        <v>186</v>
      </c>
      <c r="P170" s="226"/>
      <c r="Q170" s="226"/>
      <c r="R170" s="226"/>
      <c r="S170" s="226">
        <f t="shared" si="43"/>
        <v>9721662</v>
      </c>
      <c r="T170" s="226"/>
      <c r="U170" s="226"/>
      <c r="V170" s="226"/>
      <c r="W170" s="226"/>
      <c r="X170" s="225"/>
      <c r="Y170" s="225"/>
      <c r="Z170" s="225"/>
      <c r="AA170" s="212"/>
      <c r="AB170" s="256" t="s">
        <v>249</v>
      </c>
      <c r="AC170" s="224"/>
      <c r="AD170" s="224"/>
      <c r="AE170" s="223"/>
    </row>
    <row r="171" spans="1:31" s="152" customFormat="1" x14ac:dyDescent="0.3">
      <c r="A171" s="837"/>
      <c r="B171" s="137">
        <v>154</v>
      </c>
      <c r="C171" s="141" t="s">
        <v>239</v>
      </c>
      <c r="D171" s="140" t="s">
        <v>184</v>
      </c>
      <c r="E171" s="240" t="s">
        <v>220</v>
      </c>
      <c r="F171" s="138">
        <v>42537</v>
      </c>
      <c r="G171" s="137" t="s">
        <v>406</v>
      </c>
      <c r="H171" s="136">
        <v>28800000</v>
      </c>
      <c r="I171" s="136"/>
      <c r="J171" s="136">
        <f t="shared" ref="J171:J176" si="44">H171*10%</f>
        <v>2880000</v>
      </c>
      <c r="K171" s="136">
        <f t="shared" ref="K171:K176" si="45">H171*2%</f>
        <v>576000</v>
      </c>
      <c r="L171" s="153">
        <f t="shared" ref="L171:L176" si="46">H171+J171</f>
        <v>31680000</v>
      </c>
      <c r="M171" s="135">
        <f t="shared" ref="M171:M176" si="47">H171+J171-K171</f>
        <v>31104000</v>
      </c>
      <c r="N171" s="134" t="s">
        <v>180</v>
      </c>
      <c r="O171" s="134" t="s">
        <v>199</v>
      </c>
      <c r="P171" s="133"/>
      <c r="Q171" s="133">
        <f t="shared" ref="Q171:Q176" si="48">H171</f>
        <v>28800000</v>
      </c>
      <c r="R171" s="133"/>
      <c r="S171" s="133"/>
      <c r="T171" s="133"/>
      <c r="U171" s="133"/>
      <c r="V171" s="133"/>
      <c r="W171" s="133"/>
      <c r="X171" s="132"/>
      <c r="Y171" s="132"/>
      <c r="Z171" s="132"/>
      <c r="AA171" s="131"/>
      <c r="AB171" s="256" t="s">
        <v>249</v>
      </c>
      <c r="AC171" s="211">
        <f t="shared" ref="AC171:AC176" si="49">H171</f>
        <v>28800000</v>
      </c>
      <c r="AD171" s="211"/>
      <c r="AE171" s="229"/>
    </row>
    <row r="172" spans="1:31" s="152" customFormat="1" x14ac:dyDescent="0.3">
      <c r="A172" s="837"/>
      <c r="B172" s="137">
        <v>155</v>
      </c>
      <c r="C172" s="141" t="s">
        <v>239</v>
      </c>
      <c r="D172" s="140" t="s">
        <v>411</v>
      </c>
      <c r="E172" s="240" t="s">
        <v>220</v>
      </c>
      <c r="F172" s="138">
        <v>42537</v>
      </c>
      <c r="G172" s="137" t="s">
        <v>406</v>
      </c>
      <c r="H172" s="136">
        <v>36000000</v>
      </c>
      <c r="I172" s="136"/>
      <c r="J172" s="136">
        <f t="shared" si="44"/>
        <v>3600000</v>
      </c>
      <c r="K172" s="136">
        <f t="shared" si="45"/>
        <v>720000</v>
      </c>
      <c r="L172" s="153">
        <f t="shared" si="46"/>
        <v>39600000</v>
      </c>
      <c r="M172" s="135">
        <f t="shared" si="47"/>
        <v>38880000</v>
      </c>
      <c r="N172" s="134" t="s">
        <v>180</v>
      </c>
      <c r="O172" s="134" t="s">
        <v>199</v>
      </c>
      <c r="P172" s="133"/>
      <c r="Q172" s="133">
        <f t="shared" si="48"/>
        <v>36000000</v>
      </c>
      <c r="R172" s="133"/>
      <c r="S172" s="133"/>
      <c r="T172" s="133"/>
      <c r="U172" s="133"/>
      <c r="V172" s="133"/>
      <c r="W172" s="133"/>
      <c r="X172" s="132"/>
      <c r="Y172" s="132"/>
      <c r="Z172" s="132"/>
      <c r="AA172" s="131"/>
      <c r="AB172" s="256" t="s">
        <v>249</v>
      </c>
      <c r="AC172" s="211">
        <f t="shared" si="49"/>
        <v>36000000</v>
      </c>
      <c r="AD172" s="211"/>
      <c r="AE172" s="229"/>
    </row>
    <row r="173" spans="1:31" s="152" customFormat="1" x14ac:dyDescent="0.3">
      <c r="A173" s="837"/>
      <c r="B173" s="137">
        <v>156</v>
      </c>
      <c r="C173" s="141" t="s">
        <v>239</v>
      </c>
      <c r="D173" s="140" t="s">
        <v>410</v>
      </c>
      <c r="E173" s="240" t="s">
        <v>220</v>
      </c>
      <c r="F173" s="138">
        <v>42537</v>
      </c>
      <c r="G173" s="137" t="s">
        <v>406</v>
      </c>
      <c r="H173" s="136">
        <v>6000000</v>
      </c>
      <c r="I173" s="136"/>
      <c r="J173" s="136">
        <f t="shared" si="44"/>
        <v>600000</v>
      </c>
      <c r="K173" s="136">
        <f t="shared" si="45"/>
        <v>120000</v>
      </c>
      <c r="L173" s="153">
        <f t="shared" si="46"/>
        <v>6600000</v>
      </c>
      <c r="M173" s="135">
        <f t="shared" si="47"/>
        <v>6480000</v>
      </c>
      <c r="N173" s="134" t="s">
        <v>180</v>
      </c>
      <c r="O173" s="134" t="s">
        <v>199</v>
      </c>
      <c r="P173" s="133"/>
      <c r="Q173" s="133">
        <f t="shared" si="48"/>
        <v>6000000</v>
      </c>
      <c r="R173" s="133"/>
      <c r="S173" s="133"/>
      <c r="T173" s="133"/>
      <c r="U173" s="133"/>
      <c r="V173" s="133"/>
      <c r="W173" s="133"/>
      <c r="X173" s="132"/>
      <c r="Y173" s="132"/>
      <c r="Z173" s="132"/>
      <c r="AA173" s="131"/>
      <c r="AB173" s="256" t="s">
        <v>249</v>
      </c>
      <c r="AC173" s="211">
        <f t="shared" si="49"/>
        <v>6000000</v>
      </c>
      <c r="AD173" s="211"/>
      <c r="AE173" s="229"/>
    </row>
    <row r="174" spans="1:31" s="152" customFormat="1" x14ac:dyDescent="0.3">
      <c r="A174" s="837"/>
      <c r="B174" s="137">
        <v>157</v>
      </c>
      <c r="C174" s="141" t="s">
        <v>239</v>
      </c>
      <c r="D174" s="221" t="s">
        <v>409</v>
      </c>
      <c r="E174" s="240" t="s">
        <v>220</v>
      </c>
      <c r="F174" s="138">
        <v>42537</v>
      </c>
      <c r="G174" s="137" t="s">
        <v>406</v>
      </c>
      <c r="H174" s="136">
        <v>12000000</v>
      </c>
      <c r="I174" s="136"/>
      <c r="J174" s="136">
        <f t="shared" si="44"/>
        <v>1200000</v>
      </c>
      <c r="K174" s="136">
        <f t="shared" si="45"/>
        <v>240000</v>
      </c>
      <c r="L174" s="153">
        <f t="shared" si="46"/>
        <v>13200000</v>
      </c>
      <c r="M174" s="135">
        <f t="shared" si="47"/>
        <v>12960000</v>
      </c>
      <c r="N174" s="134" t="s">
        <v>180</v>
      </c>
      <c r="O174" s="134" t="s">
        <v>199</v>
      </c>
      <c r="P174" s="133"/>
      <c r="Q174" s="133">
        <f t="shared" si="48"/>
        <v>12000000</v>
      </c>
      <c r="R174" s="133"/>
      <c r="S174" s="133"/>
      <c r="T174" s="133"/>
      <c r="U174" s="133"/>
      <c r="V174" s="133"/>
      <c r="W174" s="133"/>
      <c r="X174" s="132"/>
      <c r="Y174" s="132"/>
      <c r="Z174" s="132"/>
      <c r="AA174" s="131"/>
      <c r="AB174" s="256" t="s">
        <v>249</v>
      </c>
      <c r="AC174" s="211">
        <f t="shared" si="49"/>
        <v>12000000</v>
      </c>
      <c r="AD174" s="211"/>
      <c r="AE174" s="229"/>
    </row>
    <row r="175" spans="1:31" s="152" customFormat="1" x14ac:dyDescent="0.3">
      <c r="A175" s="837"/>
      <c r="B175" s="137">
        <v>158</v>
      </c>
      <c r="C175" s="141" t="s">
        <v>239</v>
      </c>
      <c r="D175" s="140" t="s">
        <v>408</v>
      </c>
      <c r="E175" s="240" t="s">
        <v>220</v>
      </c>
      <c r="F175" s="138">
        <v>42537</v>
      </c>
      <c r="G175" s="137" t="s">
        <v>406</v>
      </c>
      <c r="H175" s="136">
        <v>7200000</v>
      </c>
      <c r="I175" s="136"/>
      <c r="J175" s="136">
        <f t="shared" si="44"/>
        <v>720000</v>
      </c>
      <c r="K175" s="136">
        <f t="shared" si="45"/>
        <v>144000</v>
      </c>
      <c r="L175" s="153">
        <f t="shared" si="46"/>
        <v>7920000</v>
      </c>
      <c r="M175" s="135">
        <f t="shared" si="47"/>
        <v>7776000</v>
      </c>
      <c r="N175" s="134" t="s">
        <v>180</v>
      </c>
      <c r="O175" s="134" t="s">
        <v>199</v>
      </c>
      <c r="P175" s="133"/>
      <c r="Q175" s="133">
        <f t="shared" si="48"/>
        <v>7200000</v>
      </c>
      <c r="R175" s="133"/>
      <c r="S175" s="133"/>
      <c r="T175" s="133"/>
      <c r="U175" s="133"/>
      <c r="V175" s="133"/>
      <c r="W175" s="133"/>
      <c r="X175" s="132"/>
      <c r="Y175" s="132"/>
      <c r="Z175" s="132"/>
      <c r="AA175" s="131"/>
      <c r="AB175" s="256" t="s">
        <v>249</v>
      </c>
      <c r="AC175" s="211">
        <f t="shared" si="49"/>
        <v>7200000</v>
      </c>
      <c r="AD175" s="211"/>
      <c r="AE175" s="229"/>
    </row>
    <row r="176" spans="1:31" s="152" customFormat="1" x14ac:dyDescent="0.3">
      <c r="A176" s="837"/>
      <c r="B176" s="137">
        <v>159</v>
      </c>
      <c r="C176" s="141" t="s">
        <v>239</v>
      </c>
      <c r="D176" s="140" t="s">
        <v>407</v>
      </c>
      <c r="E176" s="240" t="s">
        <v>220</v>
      </c>
      <c r="F176" s="138">
        <v>42537</v>
      </c>
      <c r="G176" s="137" t="s">
        <v>406</v>
      </c>
      <c r="H176" s="136">
        <v>240000</v>
      </c>
      <c r="I176" s="136"/>
      <c r="J176" s="136">
        <f t="shared" si="44"/>
        <v>24000</v>
      </c>
      <c r="K176" s="136">
        <f t="shared" si="45"/>
        <v>4800</v>
      </c>
      <c r="L176" s="153">
        <f t="shared" si="46"/>
        <v>264000</v>
      </c>
      <c r="M176" s="135">
        <f t="shared" si="47"/>
        <v>259200</v>
      </c>
      <c r="N176" s="134" t="s">
        <v>180</v>
      </c>
      <c r="O176" s="134" t="s">
        <v>199</v>
      </c>
      <c r="P176" s="133"/>
      <c r="Q176" s="133">
        <f t="shared" si="48"/>
        <v>240000</v>
      </c>
      <c r="R176" s="133"/>
      <c r="S176" s="133"/>
      <c r="T176" s="133"/>
      <c r="U176" s="133"/>
      <c r="V176" s="133"/>
      <c r="W176" s="133"/>
      <c r="X176" s="132"/>
      <c r="Y176" s="132"/>
      <c r="Z176" s="132"/>
      <c r="AA176" s="131"/>
      <c r="AB176" s="256" t="s">
        <v>249</v>
      </c>
      <c r="AC176" s="211">
        <f t="shared" si="49"/>
        <v>240000</v>
      </c>
      <c r="AD176" s="211"/>
      <c r="AE176" s="229"/>
    </row>
    <row r="177" spans="1:33" s="152" customFormat="1" ht="18.75" customHeight="1" x14ac:dyDescent="0.3">
      <c r="A177" s="837"/>
      <c r="B177" s="137">
        <v>160</v>
      </c>
      <c r="C177" s="222" t="s">
        <v>231</v>
      </c>
      <c r="D177" s="221" t="s">
        <v>230</v>
      </c>
      <c r="E177" s="228"/>
      <c r="F177" s="219" t="s">
        <v>405</v>
      </c>
      <c r="G177" s="137" t="s">
        <v>404</v>
      </c>
      <c r="H177" s="217">
        <v>110000000</v>
      </c>
      <c r="I177" s="217"/>
      <c r="J177" s="217"/>
      <c r="K177" s="217"/>
      <c r="L177" s="153"/>
      <c r="M177" s="227"/>
      <c r="N177" s="216" t="s">
        <v>391</v>
      </c>
      <c r="O177" s="216" t="s">
        <v>227</v>
      </c>
      <c r="P177" s="226"/>
      <c r="Q177" s="226"/>
      <c r="R177" s="226"/>
      <c r="S177" s="226"/>
      <c r="T177" s="226"/>
      <c r="U177" s="226">
        <f>H177</f>
        <v>110000000</v>
      </c>
      <c r="V177" s="226"/>
      <c r="W177" s="226"/>
      <c r="X177" s="225"/>
      <c r="Y177" s="225"/>
      <c r="Z177" s="225"/>
      <c r="AA177" s="212"/>
      <c r="AB177" s="184" t="s">
        <v>178</v>
      </c>
      <c r="AC177" s="224"/>
      <c r="AD177" s="224"/>
      <c r="AE177" s="223"/>
    </row>
    <row r="178" spans="1:33" s="152" customFormat="1" x14ac:dyDescent="0.3">
      <c r="A178" s="837"/>
      <c r="B178" s="137">
        <v>161</v>
      </c>
      <c r="C178" s="239" t="s">
        <v>403</v>
      </c>
      <c r="D178" s="238" t="s">
        <v>402</v>
      </c>
      <c r="E178" s="145" t="s">
        <v>401</v>
      </c>
      <c r="F178" s="219" t="s">
        <v>393</v>
      </c>
      <c r="G178" s="137" t="s">
        <v>400</v>
      </c>
      <c r="H178" s="136">
        <v>14000000</v>
      </c>
      <c r="I178" s="136"/>
      <c r="J178" s="136">
        <v>2250000</v>
      </c>
      <c r="K178" s="136">
        <f t="shared" ref="K178:K186" si="50">H178*2%</f>
        <v>280000</v>
      </c>
      <c r="L178" s="153">
        <f t="shared" ref="L178:L186" si="51">H178+J178</f>
        <v>16250000</v>
      </c>
      <c r="M178" s="135">
        <f t="shared" ref="M178:M186" si="52">H178+J178-K178</f>
        <v>15970000</v>
      </c>
      <c r="N178" s="134" t="s">
        <v>391</v>
      </c>
      <c r="O178" s="134" t="s">
        <v>227</v>
      </c>
      <c r="P178" s="133"/>
      <c r="Q178" s="133"/>
      <c r="R178" s="133"/>
      <c r="S178" s="133"/>
      <c r="T178" s="133"/>
      <c r="U178" s="133">
        <f>H178</f>
        <v>14000000</v>
      </c>
      <c r="V178" s="133"/>
      <c r="W178" s="133"/>
      <c r="X178" s="132"/>
      <c r="Y178" s="132"/>
      <c r="Z178" s="132"/>
      <c r="AA178" s="252"/>
      <c r="AB178" s="256" t="s">
        <v>249</v>
      </c>
      <c r="AC178" s="233">
        <f t="shared" ref="AC178:AC186" si="53">H178</f>
        <v>14000000</v>
      </c>
      <c r="AD178" s="233"/>
      <c r="AE178" s="232"/>
    </row>
    <row r="179" spans="1:33" s="152" customFormat="1" x14ac:dyDescent="0.3">
      <c r="A179" s="837"/>
      <c r="B179" s="137">
        <v>162</v>
      </c>
      <c r="C179" s="239" t="s">
        <v>399</v>
      </c>
      <c r="D179" s="238" t="s">
        <v>398</v>
      </c>
      <c r="E179" s="145" t="s">
        <v>397</v>
      </c>
      <c r="F179" s="219" t="s">
        <v>393</v>
      </c>
      <c r="G179" s="137" t="s">
        <v>396</v>
      </c>
      <c r="H179" s="136">
        <v>50000000</v>
      </c>
      <c r="I179" s="136"/>
      <c r="J179" s="136">
        <v>2250000</v>
      </c>
      <c r="K179" s="136">
        <f t="shared" si="50"/>
        <v>1000000</v>
      </c>
      <c r="L179" s="153">
        <f t="shared" si="51"/>
        <v>52250000</v>
      </c>
      <c r="M179" s="135">
        <f t="shared" si="52"/>
        <v>51250000</v>
      </c>
      <c r="N179" s="134" t="s">
        <v>391</v>
      </c>
      <c r="O179" s="134" t="s">
        <v>227</v>
      </c>
      <c r="P179" s="133"/>
      <c r="Q179" s="133"/>
      <c r="R179" s="133"/>
      <c r="S179" s="133"/>
      <c r="T179" s="133"/>
      <c r="U179" s="133">
        <f>H179</f>
        <v>50000000</v>
      </c>
      <c r="V179" s="133"/>
      <c r="W179" s="133"/>
      <c r="X179" s="132"/>
      <c r="Y179" s="132"/>
      <c r="Z179" s="132"/>
      <c r="AA179" s="252"/>
      <c r="AB179" s="256" t="s">
        <v>249</v>
      </c>
      <c r="AC179" s="233">
        <f t="shared" si="53"/>
        <v>50000000</v>
      </c>
      <c r="AD179" s="233"/>
      <c r="AE179" s="232"/>
    </row>
    <row r="180" spans="1:33" s="152" customFormat="1" x14ac:dyDescent="0.3">
      <c r="A180" s="837"/>
      <c r="B180" s="137">
        <v>163</v>
      </c>
      <c r="C180" s="239" t="s">
        <v>395</v>
      </c>
      <c r="D180" s="238" t="s">
        <v>394</v>
      </c>
      <c r="E180" s="145">
        <v>42461</v>
      </c>
      <c r="F180" s="219" t="s">
        <v>393</v>
      </c>
      <c r="G180" s="137" t="s">
        <v>392</v>
      </c>
      <c r="H180" s="136">
        <v>20000000</v>
      </c>
      <c r="I180" s="136"/>
      <c r="J180" s="136">
        <v>2250000</v>
      </c>
      <c r="K180" s="136">
        <f t="shared" si="50"/>
        <v>400000</v>
      </c>
      <c r="L180" s="153">
        <f t="shared" si="51"/>
        <v>22250000</v>
      </c>
      <c r="M180" s="135">
        <f t="shared" si="52"/>
        <v>21850000</v>
      </c>
      <c r="N180" s="134" t="s">
        <v>391</v>
      </c>
      <c r="O180" s="134" t="s">
        <v>227</v>
      </c>
      <c r="P180" s="133"/>
      <c r="Q180" s="133"/>
      <c r="R180" s="133"/>
      <c r="S180" s="133"/>
      <c r="T180" s="133"/>
      <c r="U180" s="133">
        <f>H180</f>
        <v>20000000</v>
      </c>
      <c r="V180" s="133"/>
      <c r="W180" s="133"/>
      <c r="X180" s="132"/>
      <c r="Y180" s="132"/>
      <c r="Z180" s="132"/>
      <c r="AA180" s="252"/>
      <c r="AB180" s="184" t="s">
        <v>178</v>
      </c>
      <c r="AC180" s="233">
        <f t="shared" si="53"/>
        <v>20000000</v>
      </c>
      <c r="AD180" s="233"/>
      <c r="AE180" s="232"/>
    </row>
    <row r="181" spans="1:33" s="152" customFormat="1" x14ac:dyDescent="0.3">
      <c r="A181" s="837"/>
      <c r="B181" s="137">
        <v>164</v>
      </c>
      <c r="C181" s="222" t="s">
        <v>185</v>
      </c>
      <c r="D181" s="221" t="s">
        <v>184</v>
      </c>
      <c r="E181" s="220">
        <v>42522</v>
      </c>
      <c r="F181" s="219" t="s">
        <v>384</v>
      </c>
      <c r="G181" s="137" t="s">
        <v>390</v>
      </c>
      <c r="H181" s="217">
        <v>15873000</v>
      </c>
      <c r="I181" s="136"/>
      <c r="J181" s="136">
        <f t="shared" ref="J181:J186" si="54">H181*10%</f>
        <v>1587300</v>
      </c>
      <c r="K181" s="136">
        <f t="shared" si="50"/>
        <v>317460</v>
      </c>
      <c r="L181" s="153">
        <f t="shared" si="51"/>
        <v>17460300</v>
      </c>
      <c r="M181" s="135">
        <f t="shared" si="52"/>
        <v>17142840</v>
      </c>
      <c r="N181" s="216" t="s">
        <v>180</v>
      </c>
      <c r="O181" s="216" t="s">
        <v>179</v>
      </c>
      <c r="P181" s="213"/>
      <c r="Q181" s="215"/>
      <c r="R181" s="215"/>
      <c r="S181" s="215">
        <f t="shared" ref="S181:S186" si="55">H181</f>
        <v>15873000</v>
      </c>
      <c r="T181" s="215"/>
      <c r="U181" s="215"/>
      <c r="V181" s="215"/>
      <c r="W181" s="215"/>
      <c r="X181" s="214"/>
      <c r="Y181" s="213"/>
      <c r="Z181" s="213"/>
      <c r="AA181" s="212"/>
      <c r="AB181" s="256" t="s">
        <v>249</v>
      </c>
      <c r="AC181" s="211">
        <f t="shared" si="53"/>
        <v>15873000</v>
      </c>
      <c r="AD181" s="211"/>
      <c r="AE181" s="210"/>
    </row>
    <row r="182" spans="1:33" s="152" customFormat="1" x14ac:dyDescent="0.3">
      <c r="A182" s="837"/>
      <c r="B182" s="137">
        <v>165</v>
      </c>
      <c r="C182" s="141" t="s">
        <v>307</v>
      </c>
      <c r="D182" s="140" t="s">
        <v>385</v>
      </c>
      <c r="E182" s="145">
        <v>42370</v>
      </c>
      <c r="F182" s="219" t="s">
        <v>384</v>
      </c>
      <c r="G182" s="137" t="s">
        <v>389</v>
      </c>
      <c r="H182" s="136">
        <v>15170233</v>
      </c>
      <c r="I182" s="136"/>
      <c r="J182" s="136">
        <f t="shared" si="54"/>
        <v>1517023.3</v>
      </c>
      <c r="K182" s="136">
        <f t="shared" si="50"/>
        <v>303404.66000000003</v>
      </c>
      <c r="L182" s="153">
        <f t="shared" si="51"/>
        <v>16687256.300000001</v>
      </c>
      <c r="M182" s="135">
        <f t="shared" si="52"/>
        <v>16383851.640000001</v>
      </c>
      <c r="N182" s="134" t="s">
        <v>180</v>
      </c>
      <c r="O182" s="134" t="s">
        <v>227</v>
      </c>
      <c r="P182" s="133"/>
      <c r="Q182" s="133"/>
      <c r="R182" s="133"/>
      <c r="S182" s="133">
        <f t="shared" si="55"/>
        <v>15170233</v>
      </c>
      <c r="T182" s="133"/>
      <c r="U182" s="133"/>
      <c r="V182" s="133"/>
      <c r="W182" s="133"/>
      <c r="X182" s="132"/>
      <c r="Y182" s="132"/>
      <c r="Z182" s="132"/>
      <c r="AA182" s="131"/>
      <c r="AB182" s="184" t="s">
        <v>178</v>
      </c>
      <c r="AC182" s="211">
        <f t="shared" si="53"/>
        <v>15170233</v>
      </c>
      <c r="AD182" s="211"/>
      <c r="AE182" s="229"/>
    </row>
    <row r="183" spans="1:33" s="152" customFormat="1" x14ac:dyDescent="0.3">
      <c r="A183" s="837"/>
      <c r="B183" s="137">
        <v>166</v>
      </c>
      <c r="C183" s="141" t="s">
        <v>307</v>
      </c>
      <c r="D183" s="140" t="s">
        <v>385</v>
      </c>
      <c r="E183" s="145">
        <v>42401</v>
      </c>
      <c r="F183" s="219" t="s">
        <v>384</v>
      </c>
      <c r="G183" s="137" t="s">
        <v>388</v>
      </c>
      <c r="H183" s="136">
        <v>16639233</v>
      </c>
      <c r="I183" s="136"/>
      <c r="J183" s="136">
        <f t="shared" si="54"/>
        <v>1663923.3</v>
      </c>
      <c r="K183" s="136">
        <f t="shared" si="50"/>
        <v>332784.66000000003</v>
      </c>
      <c r="L183" s="153">
        <f t="shared" si="51"/>
        <v>18303156.300000001</v>
      </c>
      <c r="M183" s="135">
        <f t="shared" si="52"/>
        <v>17970371.640000001</v>
      </c>
      <c r="N183" s="134" t="s">
        <v>180</v>
      </c>
      <c r="O183" s="134" t="s">
        <v>227</v>
      </c>
      <c r="P183" s="133"/>
      <c r="Q183" s="133"/>
      <c r="R183" s="133"/>
      <c r="S183" s="133">
        <f t="shared" si="55"/>
        <v>16639233</v>
      </c>
      <c r="T183" s="133"/>
      <c r="U183" s="133"/>
      <c r="V183" s="133"/>
      <c r="W183" s="133"/>
      <c r="X183" s="132"/>
      <c r="Y183" s="132"/>
      <c r="Z183" s="132"/>
      <c r="AA183" s="131"/>
      <c r="AB183" s="184" t="s">
        <v>178</v>
      </c>
      <c r="AC183" s="211">
        <f t="shared" si="53"/>
        <v>16639233</v>
      </c>
      <c r="AD183" s="211"/>
      <c r="AE183" s="229"/>
    </row>
    <row r="184" spans="1:33" s="152" customFormat="1" x14ac:dyDescent="0.3">
      <c r="A184" s="837"/>
      <c r="B184" s="137">
        <v>167</v>
      </c>
      <c r="C184" s="141" t="s">
        <v>307</v>
      </c>
      <c r="D184" s="140" t="s">
        <v>385</v>
      </c>
      <c r="E184" s="145">
        <v>42430</v>
      </c>
      <c r="F184" s="219" t="s">
        <v>384</v>
      </c>
      <c r="G184" s="137" t="s">
        <v>387</v>
      </c>
      <c r="H184" s="136">
        <v>18173233</v>
      </c>
      <c r="I184" s="136"/>
      <c r="J184" s="136">
        <f t="shared" si="54"/>
        <v>1817323.3</v>
      </c>
      <c r="K184" s="136">
        <f t="shared" si="50"/>
        <v>363464.66000000003</v>
      </c>
      <c r="L184" s="153">
        <f t="shared" si="51"/>
        <v>19990556.300000001</v>
      </c>
      <c r="M184" s="135">
        <f t="shared" si="52"/>
        <v>19627091.640000001</v>
      </c>
      <c r="N184" s="134" t="s">
        <v>180</v>
      </c>
      <c r="O184" s="134" t="s">
        <v>227</v>
      </c>
      <c r="P184" s="133"/>
      <c r="Q184" s="133"/>
      <c r="R184" s="133"/>
      <c r="S184" s="133">
        <f t="shared" si="55"/>
        <v>18173233</v>
      </c>
      <c r="T184" s="133"/>
      <c r="U184" s="133"/>
      <c r="V184" s="133"/>
      <c r="W184" s="133"/>
      <c r="X184" s="132"/>
      <c r="Y184" s="132"/>
      <c r="Z184" s="132"/>
      <c r="AA184" s="131"/>
      <c r="AB184" s="184" t="s">
        <v>178</v>
      </c>
      <c r="AC184" s="211">
        <f t="shared" si="53"/>
        <v>18173233</v>
      </c>
      <c r="AD184" s="211"/>
      <c r="AE184" s="229"/>
    </row>
    <row r="185" spans="1:33" s="152" customFormat="1" x14ac:dyDescent="0.3">
      <c r="A185" s="837"/>
      <c r="B185" s="137">
        <v>168</v>
      </c>
      <c r="C185" s="141" t="s">
        <v>307</v>
      </c>
      <c r="D185" s="140" t="s">
        <v>385</v>
      </c>
      <c r="E185" s="145">
        <v>42461</v>
      </c>
      <c r="F185" s="219" t="s">
        <v>384</v>
      </c>
      <c r="G185" s="137" t="s">
        <v>386</v>
      </c>
      <c r="H185" s="136">
        <v>16182233</v>
      </c>
      <c r="I185" s="136"/>
      <c r="J185" s="136">
        <f t="shared" si="54"/>
        <v>1618223.3</v>
      </c>
      <c r="K185" s="136">
        <f t="shared" si="50"/>
        <v>323644.66000000003</v>
      </c>
      <c r="L185" s="153">
        <f t="shared" si="51"/>
        <v>17800456.300000001</v>
      </c>
      <c r="M185" s="135">
        <f t="shared" si="52"/>
        <v>17476811.640000001</v>
      </c>
      <c r="N185" s="134" t="s">
        <v>180</v>
      </c>
      <c r="O185" s="134" t="s">
        <v>227</v>
      </c>
      <c r="P185" s="133"/>
      <c r="Q185" s="133"/>
      <c r="R185" s="133"/>
      <c r="S185" s="133">
        <f t="shared" si="55"/>
        <v>16182233</v>
      </c>
      <c r="T185" s="133"/>
      <c r="U185" s="133"/>
      <c r="V185" s="133"/>
      <c r="W185" s="133"/>
      <c r="X185" s="132"/>
      <c r="Y185" s="132"/>
      <c r="Z185" s="132"/>
      <c r="AA185" s="131"/>
      <c r="AB185" s="184" t="s">
        <v>178</v>
      </c>
      <c r="AC185" s="211">
        <f t="shared" si="53"/>
        <v>16182233</v>
      </c>
      <c r="AD185" s="211"/>
      <c r="AE185" s="229"/>
    </row>
    <row r="186" spans="1:33" s="152" customFormat="1" x14ac:dyDescent="0.3">
      <c r="A186" s="837"/>
      <c r="B186" s="137">
        <v>169</v>
      </c>
      <c r="C186" s="141" t="s">
        <v>307</v>
      </c>
      <c r="D186" s="140" t="s">
        <v>385</v>
      </c>
      <c r="E186" s="145">
        <v>42491</v>
      </c>
      <c r="F186" s="219" t="s">
        <v>384</v>
      </c>
      <c r="G186" s="137" t="s">
        <v>383</v>
      </c>
      <c r="H186" s="136">
        <v>16390233</v>
      </c>
      <c r="I186" s="136"/>
      <c r="J186" s="136">
        <f t="shared" si="54"/>
        <v>1639023.3</v>
      </c>
      <c r="K186" s="136">
        <f t="shared" si="50"/>
        <v>327804.66000000003</v>
      </c>
      <c r="L186" s="153">
        <f t="shared" si="51"/>
        <v>18029256.300000001</v>
      </c>
      <c r="M186" s="135">
        <f t="shared" si="52"/>
        <v>17701451.640000001</v>
      </c>
      <c r="N186" s="134" t="s">
        <v>180</v>
      </c>
      <c r="O186" s="134" t="s">
        <v>227</v>
      </c>
      <c r="P186" s="133"/>
      <c r="Q186" s="133"/>
      <c r="R186" s="133"/>
      <c r="S186" s="133">
        <f t="shared" si="55"/>
        <v>16390233</v>
      </c>
      <c r="T186" s="133"/>
      <c r="U186" s="133"/>
      <c r="V186" s="133"/>
      <c r="W186" s="133"/>
      <c r="X186" s="132"/>
      <c r="Y186" s="132"/>
      <c r="Z186" s="132"/>
      <c r="AA186" s="131"/>
      <c r="AB186" s="184" t="s">
        <v>178</v>
      </c>
      <c r="AC186" s="211">
        <f t="shared" si="53"/>
        <v>16390233</v>
      </c>
      <c r="AD186" s="211"/>
      <c r="AE186" s="229"/>
    </row>
    <row r="187" spans="1:33" s="152" customFormat="1" x14ac:dyDescent="0.3">
      <c r="A187" s="837"/>
      <c r="B187" s="137">
        <v>170</v>
      </c>
      <c r="C187" s="278" t="s">
        <v>290</v>
      </c>
      <c r="D187" s="277" t="s">
        <v>382</v>
      </c>
      <c r="E187" s="240" t="s">
        <v>381</v>
      </c>
      <c r="F187" s="324">
        <v>42550</v>
      </c>
      <c r="G187" s="137" t="s">
        <v>380</v>
      </c>
      <c r="H187" s="136">
        <v>7981568</v>
      </c>
      <c r="I187" s="275"/>
      <c r="J187" s="275"/>
      <c r="K187" s="275"/>
      <c r="L187" s="274"/>
      <c r="M187" s="273"/>
      <c r="N187" s="272" t="s">
        <v>180</v>
      </c>
      <c r="O187" s="272" t="s">
        <v>199</v>
      </c>
      <c r="P187" s="271"/>
      <c r="Q187" s="270"/>
      <c r="R187" s="270"/>
      <c r="S187" s="270"/>
      <c r="T187" s="270">
        <f>H187</f>
        <v>7981568</v>
      </c>
      <c r="U187" s="270"/>
      <c r="V187" s="270"/>
      <c r="W187" s="270"/>
      <c r="X187" s="269"/>
      <c r="Y187" s="268"/>
      <c r="Z187" s="268"/>
      <c r="AA187" s="267"/>
      <c r="AB187" s="184" t="s">
        <v>178</v>
      </c>
      <c r="AC187" s="233"/>
      <c r="AD187" s="233"/>
      <c r="AE187" s="232"/>
    </row>
    <row r="188" spans="1:33" s="152" customFormat="1" x14ac:dyDescent="0.3">
      <c r="A188" s="837"/>
      <c r="B188" s="137">
        <v>171</v>
      </c>
      <c r="C188" s="249" t="s">
        <v>234</v>
      </c>
      <c r="D188" s="248" t="s">
        <v>379</v>
      </c>
      <c r="E188" s="323">
        <v>2015</v>
      </c>
      <c r="F188" s="219" t="s">
        <v>378</v>
      </c>
      <c r="G188" s="137" t="s">
        <v>377</v>
      </c>
      <c r="H188" s="217">
        <v>33305000</v>
      </c>
      <c r="I188" s="136"/>
      <c r="J188" s="136"/>
      <c r="K188" s="136">
        <f>H188*2%</f>
        <v>666100</v>
      </c>
      <c r="L188" s="153"/>
      <c r="M188" s="135"/>
      <c r="N188" s="237" t="s">
        <v>180</v>
      </c>
      <c r="O188" s="134" t="s">
        <v>199</v>
      </c>
      <c r="P188" s="226"/>
      <c r="Q188" s="133"/>
      <c r="R188" s="247"/>
      <c r="S188" s="247">
        <f>H188</f>
        <v>33305000</v>
      </c>
      <c r="T188" s="247"/>
      <c r="U188" s="246"/>
      <c r="V188" s="247"/>
      <c r="W188" s="246"/>
      <c r="X188" s="244"/>
      <c r="Y188" s="245"/>
      <c r="Z188" s="244"/>
      <c r="AA188" s="243"/>
      <c r="AB188" s="256" t="s">
        <v>249</v>
      </c>
      <c r="AC188" s="242">
        <f>H188</f>
        <v>33305000</v>
      </c>
      <c r="AD188" s="233"/>
      <c r="AE188" s="232"/>
    </row>
    <row r="189" spans="1:33" s="89" customFormat="1" x14ac:dyDescent="0.3">
      <c r="A189" s="838"/>
      <c r="B189" s="322" t="s">
        <v>376</v>
      </c>
      <c r="C189" s="322"/>
      <c r="D189" s="322"/>
      <c r="E189" s="322"/>
      <c r="F189" s="322"/>
      <c r="G189" s="322"/>
      <c r="H189" s="160">
        <f>SUM(H154:H188)</f>
        <v>1201567990</v>
      </c>
      <c r="I189" s="160"/>
      <c r="J189" s="160">
        <f>SUM(J154:J188)</f>
        <v>63256747.999999993</v>
      </c>
      <c r="K189" s="160">
        <f>SUM(K154:K188)</f>
        <v>13306401.600000001</v>
      </c>
      <c r="L189" s="160">
        <f>SUM(L154:L188)</f>
        <v>695271827.99999976</v>
      </c>
      <c r="M189" s="160">
        <f>SUM(M154:M188)</f>
        <v>682631526.39999986</v>
      </c>
      <c r="N189" s="159"/>
      <c r="O189" s="159"/>
      <c r="P189" s="158">
        <f t="shared" ref="P189:AA189" si="56">SUM(P154:P188)</f>
        <v>0</v>
      </c>
      <c r="Q189" s="158">
        <f t="shared" si="56"/>
        <v>178220691</v>
      </c>
      <c r="R189" s="158">
        <f t="shared" si="56"/>
        <v>88435100</v>
      </c>
      <c r="S189" s="158">
        <f t="shared" si="56"/>
        <v>237985951</v>
      </c>
      <c r="T189" s="158">
        <f t="shared" si="56"/>
        <v>31476248</v>
      </c>
      <c r="U189" s="158">
        <f t="shared" si="56"/>
        <v>194000000</v>
      </c>
      <c r="V189" s="158">
        <f t="shared" si="56"/>
        <v>0</v>
      </c>
      <c r="W189" s="158">
        <f t="shared" si="56"/>
        <v>386400000</v>
      </c>
      <c r="X189" s="158">
        <f t="shared" si="56"/>
        <v>0</v>
      </c>
      <c r="Y189" s="158">
        <f t="shared" si="56"/>
        <v>0</v>
      </c>
      <c r="Z189" s="158">
        <f t="shared" si="56"/>
        <v>0</v>
      </c>
      <c r="AA189" s="321">
        <f t="shared" si="56"/>
        <v>0</v>
      </c>
      <c r="AB189" s="119"/>
      <c r="AC189" s="160">
        <f>SUM(AC154:AC188)</f>
        <v>582786989</v>
      </c>
      <c r="AD189" s="320">
        <f>SUM(AD154:AD188)</f>
        <v>0</v>
      </c>
      <c r="AE189" s="319"/>
      <c r="AG189" s="115">
        <f>L189-(SUM(P189:X189))</f>
        <v>-421246162.00000024</v>
      </c>
    </row>
    <row r="190" spans="1:33" s="89" customFormat="1" x14ac:dyDescent="0.3">
      <c r="A190" s="318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7"/>
      <c r="O190" s="317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5"/>
      <c r="AB190" s="315"/>
      <c r="AC190" s="315"/>
      <c r="AD190" s="315"/>
      <c r="AE190" s="314"/>
    </row>
    <row r="191" spans="1:33" s="152" customFormat="1" x14ac:dyDescent="0.3">
      <c r="A191" s="852" t="s">
        <v>375</v>
      </c>
      <c r="B191" s="137">
        <v>172</v>
      </c>
      <c r="C191" s="222" t="s">
        <v>259</v>
      </c>
      <c r="D191" s="221" t="s">
        <v>305</v>
      </c>
      <c r="E191" s="220" t="s">
        <v>214</v>
      </c>
      <c r="F191" s="280">
        <v>42562</v>
      </c>
      <c r="G191" s="218" t="s">
        <v>374</v>
      </c>
      <c r="H191" s="217">
        <v>101250000</v>
      </c>
      <c r="I191" s="285"/>
      <c r="J191" s="285"/>
      <c r="K191" s="285"/>
      <c r="L191" s="284"/>
      <c r="M191" s="283"/>
      <c r="N191" s="282" t="s">
        <v>180</v>
      </c>
      <c r="O191" s="216" t="s">
        <v>199</v>
      </c>
      <c r="P191" s="213"/>
      <c r="Q191" s="281">
        <f>H191</f>
        <v>101250000</v>
      </c>
      <c r="R191" s="281"/>
      <c r="S191" s="281"/>
      <c r="T191" s="281"/>
      <c r="U191" s="281"/>
      <c r="V191" s="281"/>
      <c r="W191" s="281"/>
      <c r="X191" s="268"/>
      <c r="Y191" s="268"/>
      <c r="Z191" s="268"/>
      <c r="AA191" s="212"/>
      <c r="AB191" s="256" t="s">
        <v>249</v>
      </c>
      <c r="AC191" s="233"/>
      <c r="AD191" s="233"/>
      <c r="AE191" s="161"/>
    </row>
    <row r="192" spans="1:33" s="152" customFormat="1" x14ac:dyDescent="0.3">
      <c r="A192" s="852"/>
      <c r="B192" s="137">
        <v>173</v>
      </c>
      <c r="C192" s="249" t="s">
        <v>234</v>
      </c>
      <c r="D192" s="248" t="s">
        <v>372</v>
      </c>
      <c r="E192" s="240" t="s">
        <v>373</v>
      </c>
      <c r="F192" s="280">
        <v>42562</v>
      </c>
      <c r="G192" s="218" t="s">
        <v>371</v>
      </c>
      <c r="H192" s="217">
        <v>45294800</v>
      </c>
      <c r="I192" s="136"/>
      <c r="J192" s="136"/>
      <c r="K192" s="136">
        <f>H192*2%</f>
        <v>905896</v>
      </c>
      <c r="L192" s="153"/>
      <c r="M192" s="135"/>
      <c r="N192" s="237" t="s">
        <v>180</v>
      </c>
      <c r="O192" s="134" t="s">
        <v>199</v>
      </c>
      <c r="P192" s="226"/>
      <c r="Q192" s="133"/>
      <c r="R192" s="247"/>
      <c r="S192" s="247">
        <f>H192</f>
        <v>45294800</v>
      </c>
      <c r="T192" s="247"/>
      <c r="U192" s="246"/>
      <c r="V192" s="247"/>
      <c r="W192" s="246"/>
      <c r="X192" s="244"/>
      <c r="Y192" s="245"/>
      <c r="Z192" s="244"/>
      <c r="AA192" s="243"/>
      <c r="AB192" s="256" t="s">
        <v>249</v>
      </c>
      <c r="AC192" s="242">
        <f>H192</f>
        <v>45294800</v>
      </c>
      <c r="AD192" s="233"/>
      <c r="AE192" s="232"/>
    </row>
    <row r="193" spans="1:31" s="152" customFormat="1" x14ac:dyDescent="0.3">
      <c r="A193" s="852"/>
      <c r="B193" s="137">
        <v>174</v>
      </c>
      <c r="C193" s="249" t="s">
        <v>234</v>
      </c>
      <c r="D193" s="248" t="s">
        <v>372</v>
      </c>
      <c r="E193" s="313">
        <v>42522</v>
      </c>
      <c r="F193" s="280">
        <v>42562</v>
      </c>
      <c r="G193" s="218" t="s">
        <v>371</v>
      </c>
      <c r="H193" s="217">
        <v>22647400</v>
      </c>
      <c r="I193" s="136"/>
      <c r="J193" s="136"/>
      <c r="K193" s="136">
        <f>H193*2%</f>
        <v>452948</v>
      </c>
      <c r="L193" s="153"/>
      <c r="M193" s="135"/>
      <c r="N193" s="237" t="s">
        <v>180</v>
      </c>
      <c r="O193" s="134" t="s">
        <v>199</v>
      </c>
      <c r="P193" s="226"/>
      <c r="Q193" s="133"/>
      <c r="R193" s="247"/>
      <c r="S193" s="247">
        <f>H193</f>
        <v>22647400</v>
      </c>
      <c r="T193" s="247"/>
      <c r="U193" s="246"/>
      <c r="V193" s="247"/>
      <c r="W193" s="246"/>
      <c r="X193" s="244"/>
      <c r="Y193" s="245"/>
      <c r="Z193" s="244"/>
      <c r="AA193" s="243"/>
      <c r="AB193" s="256" t="s">
        <v>249</v>
      </c>
      <c r="AC193" s="242">
        <f>H193</f>
        <v>22647400</v>
      </c>
      <c r="AD193" s="233"/>
      <c r="AE193" s="232"/>
    </row>
    <row r="194" spans="1:31" s="304" customFormat="1" x14ac:dyDescent="0.3">
      <c r="A194" s="852"/>
      <c r="B194" s="137">
        <v>175</v>
      </c>
      <c r="C194" s="312" t="s">
        <v>370</v>
      </c>
      <c r="D194" s="311" t="s">
        <v>285</v>
      </c>
      <c r="E194" s="240" t="s">
        <v>209</v>
      </c>
      <c r="F194" s="280">
        <v>42562</v>
      </c>
      <c r="G194" s="218" t="s">
        <v>368</v>
      </c>
      <c r="H194" s="217">
        <v>47959200</v>
      </c>
      <c r="I194" s="169"/>
      <c r="J194" s="310"/>
      <c r="K194" s="310"/>
      <c r="L194" s="310"/>
      <c r="M194" s="309"/>
      <c r="N194" s="307" t="s">
        <v>180</v>
      </c>
      <c r="O194" s="134" t="s">
        <v>199</v>
      </c>
      <c r="P194" s="308"/>
      <c r="Q194" s="308"/>
      <c r="R194" s="308">
        <f>H194</f>
        <v>47959200</v>
      </c>
      <c r="S194" s="308"/>
      <c r="T194" s="308"/>
      <c r="U194" s="308"/>
      <c r="V194" s="308"/>
      <c r="W194" s="308"/>
      <c r="X194" s="308"/>
      <c r="Y194" s="308"/>
      <c r="Z194" s="308"/>
      <c r="AA194" s="307"/>
      <c r="AB194" s="256" t="s">
        <v>249</v>
      </c>
      <c r="AC194" s="306"/>
      <c r="AD194" s="306"/>
      <c r="AE194" s="305"/>
    </row>
    <row r="195" spans="1:31" s="304" customFormat="1" x14ac:dyDescent="0.3">
      <c r="A195" s="852"/>
      <c r="B195" s="137">
        <v>176</v>
      </c>
      <c r="C195" s="312" t="s">
        <v>370</v>
      </c>
      <c r="D195" s="311" t="s">
        <v>369</v>
      </c>
      <c r="E195" s="240" t="s">
        <v>220</v>
      </c>
      <c r="F195" s="280">
        <v>42562</v>
      </c>
      <c r="G195" s="218" t="s">
        <v>368</v>
      </c>
      <c r="H195" s="217">
        <v>3996600</v>
      </c>
      <c r="I195" s="169"/>
      <c r="J195" s="310"/>
      <c r="K195" s="310"/>
      <c r="L195" s="310"/>
      <c r="M195" s="309"/>
      <c r="N195" s="307" t="s">
        <v>180</v>
      </c>
      <c r="O195" s="134" t="s">
        <v>199</v>
      </c>
      <c r="P195" s="308"/>
      <c r="Q195" s="308"/>
      <c r="R195" s="308">
        <f>H195</f>
        <v>3996600</v>
      </c>
      <c r="S195" s="308"/>
      <c r="T195" s="308"/>
      <c r="U195" s="308"/>
      <c r="V195" s="308"/>
      <c r="W195" s="308"/>
      <c r="X195" s="308"/>
      <c r="Y195" s="308"/>
      <c r="Z195" s="308"/>
      <c r="AA195" s="307"/>
      <c r="AB195" s="256" t="s">
        <v>249</v>
      </c>
      <c r="AC195" s="306"/>
      <c r="AD195" s="306"/>
      <c r="AE195" s="305"/>
    </row>
    <row r="196" spans="1:31" s="152" customFormat="1" x14ac:dyDescent="0.3">
      <c r="A196" s="852"/>
      <c r="B196" s="137">
        <v>177</v>
      </c>
      <c r="C196" s="239" t="s">
        <v>207</v>
      </c>
      <c r="D196" s="238" t="s">
        <v>206</v>
      </c>
      <c r="E196" s="145">
        <v>42522</v>
      </c>
      <c r="F196" s="280">
        <v>42562</v>
      </c>
      <c r="G196" s="218" t="s">
        <v>367</v>
      </c>
      <c r="H196" s="136">
        <v>5328800</v>
      </c>
      <c r="I196" s="136"/>
      <c r="J196" s="136">
        <v>2250000</v>
      </c>
      <c r="K196" s="136">
        <f>H196*2%</f>
        <v>106576</v>
      </c>
      <c r="L196" s="153">
        <f>H196+J196</f>
        <v>7578800</v>
      </c>
      <c r="M196" s="135">
        <f>H196+J196-K196</f>
        <v>7472224</v>
      </c>
      <c r="N196" s="237" t="s">
        <v>180</v>
      </c>
      <c r="O196" s="134" t="s">
        <v>199</v>
      </c>
      <c r="P196" s="133"/>
      <c r="Q196" s="236">
        <f>H196</f>
        <v>5328800</v>
      </c>
      <c r="R196" s="236"/>
      <c r="S196" s="236"/>
      <c r="T196" s="236"/>
      <c r="U196" s="236"/>
      <c r="V196" s="236"/>
      <c r="W196" s="236"/>
      <c r="X196" s="235"/>
      <c r="Y196" s="235"/>
      <c r="Z196" s="235"/>
      <c r="AA196" s="234"/>
      <c r="AB196" s="256" t="s">
        <v>249</v>
      </c>
      <c r="AC196" s="233">
        <f>H196</f>
        <v>5328800</v>
      </c>
      <c r="AD196" s="233"/>
      <c r="AE196" s="232"/>
    </row>
    <row r="197" spans="1:31" s="152" customFormat="1" x14ac:dyDescent="0.3">
      <c r="A197" s="852"/>
      <c r="B197" s="137">
        <v>178</v>
      </c>
      <c r="C197" s="141" t="s">
        <v>110</v>
      </c>
      <c r="D197" s="140" t="s">
        <v>263</v>
      </c>
      <c r="E197" s="240" t="s">
        <v>326</v>
      </c>
      <c r="F197" s="280">
        <v>42564</v>
      </c>
      <c r="G197" s="218" t="s">
        <v>366</v>
      </c>
      <c r="H197" s="136">
        <v>10535200</v>
      </c>
      <c r="I197" s="136"/>
      <c r="J197" s="153"/>
      <c r="K197" s="153"/>
      <c r="L197" s="153"/>
      <c r="M197" s="231"/>
      <c r="N197" s="131" t="s">
        <v>180</v>
      </c>
      <c r="O197" s="252" t="s">
        <v>227</v>
      </c>
      <c r="P197" s="244"/>
      <c r="Q197" s="244"/>
      <c r="R197" s="244"/>
      <c r="S197" s="244"/>
      <c r="T197" s="244">
        <f>H197</f>
        <v>10535200</v>
      </c>
      <c r="U197" s="244"/>
      <c r="V197" s="244"/>
      <c r="W197" s="244"/>
      <c r="X197" s="205"/>
      <c r="Y197" s="205"/>
      <c r="Z197" s="205"/>
      <c r="AA197" s="204"/>
      <c r="AB197" s="256" t="s">
        <v>249</v>
      </c>
      <c r="AC197" s="211"/>
      <c r="AD197" s="211"/>
      <c r="AE197" s="251"/>
    </row>
    <row r="198" spans="1:31" s="152" customFormat="1" x14ac:dyDescent="0.3">
      <c r="A198" s="852"/>
      <c r="B198" s="137">
        <v>179</v>
      </c>
      <c r="C198" s="141" t="s">
        <v>202</v>
      </c>
      <c r="D198" s="140" t="s">
        <v>197</v>
      </c>
      <c r="E198" s="240" t="s">
        <v>326</v>
      </c>
      <c r="F198" s="280">
        <v>42564</v>
      </c>
      <c r="G198" s="218" t="s">
        <v>365</v>
      </c>
      <c r="H198" s="136">
        <v>3950700</v>
      </c>
      <c r="I198" s="136"/>
      <c r="J198" s="153"/>
      <c r="K198" s="153"/>
      <c r="L198" s="153"/>
      <c r="M198" s="231"/>
      <c r="N198" s="131" t="s">
        <v>180</v>
      </c>
      <c r="O198" s="134" t="s">
        <v>199</v>
      </c>
      <c r="P198" s="132">
        <f t="shared" ref="P198:P210" si="57">H198</f>
        <v>3950700</v>
      </c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1"/>
      <c r="AB198" s="184" t="s">
        <v>178</v>
      </c>
      <c r="AC198" s="211">
        <f>H198</f>
        <v>3950700</v>
      </c>
      <c r="AD198" s="211"/>
      <c r="AE198" s="229"/>
    </row>
    <row r="199" spans="1:31" s="152" customFormat="1" x14ac:dyDescent="0.3">
      <c r="A199" s="852"/>
      <c r="B199" s="137">
        <v>180</v>
      </c>
      <c r="C199" s="141" t="s">
        <v>202</v>
      </c>
      <c r="D199" s="140" t="s">
        <v>201</v>
      </c>
      <c r="E199" s="240" t="s">
        <v>326</v>
      </c>
      <c r="F199" s="280">
        <v>42564</v>
      </c>
      <c r="G199" s="218" t="s">
        <v>364</v>
      </c>
      <c r="H199" s="136">
        <v>13169000</v>
      </c>
      <c r="I199" s="136"/>
      <c r="J199" s="153"/>
      <c r="K199" s="153"/>
      <c r="L199" s="153"/>
      <c r="M199" s="231"/>
      <c r="N199" s="131" t="s">
        <v>180</v>
      </c>
      <c r="O199" s="134" t="s">
        <v>199</v>
      </c>
      <c r="P199" s="132">
        <f t="shared" si="57"/>
        <v>13169000</v>
      </c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1"/>
      <c r="AB199" s="184" t="s">
        <v>178</v>
      </c>
      <c r="AC199" s="211">
        <f>H199</f>
        <v>13169000</v>
      </c>
      <c r="AD199" s="211"/>
      <c r="AE199" s="229"/>
    </row>
    <row r="200" spans="1:31" s="152" customFormat="1" x14ac:dyDescent="0.3">
      <c r="A200" s="852"/>
      <c r="B200" s="137">
        <v>181</v>
      </c>
      <c r="C200" s="222" t="s">
        <v>363</v>
      </c>
      <c r="D200" s="221" t="s">
        <v>201</v>
      </c>
      <c r="E200" s="220" t="s">
        <v>362</v>
      </c>
      <c r="F200" s="280">
        <v>42564</v>
      </c>
      <c r="G200" s="218" t="s">
        <v>361</v>
      </c>
      <c r="H200" s="217">
        <v>19753500</v>
      </c>
      <c r="I200" s="136"/>
      <c r="J200" s="136">
        <f t="shared" ref="J200:J209" si="58">H200*10%</f>
        <v>1975350</v>
      </c>
      <c r="K200" s="136">
        <f t="shared" ref="K200:K210" si="59">H200*2%</f>
        <v>395070</v>
      </c>
      <c r="L200" s="153">
        <f t="shared" ref="L200:L210" si="60">H200+J200</f>
        <v>21728850</v>
      </c>
      <c r="M200" s="135">
        <f t="shared" ref="M200:M210" si="61">H200+J200-K200</f>
        <v>21333780</v>
      </c>
      <c r="N200" s="216" t="s">
        <v>180</v>
      </c>
      <c r="O200" s="216" t="s">
        <v>199</v>
      </c>
      <c r="P200" s="213">
        <f t="shared" si="57"/>
        <v>19753500</v>
      </c>
      <c r="Q200" s="215"/>
      <c r="R200" s="215"/>
      <c r="S200" s="215"/>
      <c r="T200" s="215"/>
      <c r="U200" s="215"/>
      <c r="V200" s="215"/>
      <c r="W200" s="215"/>
      <c r="X200" s="214"/>
      <c r="Y200" s="213"/>
      <c r="Z200" s="213"/>
      <c r="AA200" s="212"/>
      <c r="AB200" s="184" t="s">
        <v>178</v>
      </c>
      <c r="AC200" s="211">
        <f>H200</f>
        <v>19753500</v>
      </c>
      <c r="AD200" s="211"/>
      <c r="AE200" s="210"/>
    </row>
    <row r="201" spans="1:31" s="152" customFormat="1" x14ac:dyDescent="0.3">
      <c r="A201" s="852"/>
      <c r="B201" s="137">
        <v>182</v>
      </c>
      <c r="C201" s="222" t="s">
        <v>363</v>
      </c>
      <c r="D201" s="221" t="s">
        <v>190</v>
      </c>
      <c r="E201" s="220" t="s">
        <v>362</v>
      </c>
      <c r="F201" s="280">
        <v>42564</v>
      </c>
      <c r="G201" s="218" t="s">
        <v>361</v>
      </c>
      <c r="H201" s="217">
        <v>13169000</v>
      </c>
      <c r="I201" s="136"/>
      <c r="J201" s="136">
        <f t="shared" si="58"/>
        <v>1316900</v>
      </c>
      <c r="K201" s="136">
        <f t="shared" si="59"/>
        <v>263380</v>
      </c>
      <c r="L201" s="153">
        <f t="shared" si="60"/>
        <v>14485900</v>
      </c>
      <c r="M201" s="135">
        <f t="shared" si="61"/>
        <v>14222520</v>
      </c>
      <c r="N201" s="216" t="s">
        <v>180</v>
      </c>
      <c r="O201" s="216" t="s">
        <v>199</v>
      </c>
      <c r="P201" s="213">
        <f t="shared" si="57"/>
        <v>13169000</v>
      </c>
      <c r="Q201" s="215"/>
      <c r="R201" s="215"/>
      <c r="S201" s="215"/>
      <c r="T201" s="215"/>
      <c r="U201" s="215"/>
      <c r="V201" s="215"/>
      <c r="W201" s="215"/>
      <c r="X201" s="214"/>
      <c r="Y201" s="213"/>
      <c r="Z201" s="213"/>
      <c r="AA201" s="212"/>
      <c r="AB201" s="184" t="s">
        <v>178</v>
      </c>
      <c r="AC201" s="211">
        <f>H201</f>
        <v>13169000</v>
      </c>
      <c r="AD201" s="211"/>
      <c r="AE201" s="210"/>
    </row>
    <row r="202" spans="1:31" s="152" customFormat="1" ht="16.5" customHeight="1" x14ac:dyDescent="0.3">
      <c r="A202" s="852"/>
      <c r="B202" s="137">
        <v>183</v>
      </c>
      <c r="C202" s="141" t="s">
        <v>360</v>
      </c>
      <c r="D202" s="140" t="s">
        <v>343</v>
      </c>
      <c r="E202" s="220" t="s">
        <v>209</v>
      </c>
      <c r="F202" s="280">
        <v>42564</v>
      </c>
      <c r="G202" s="218" t="s">
        <v>359</v>
      </c>
      <c r="H202" s="136">
        <v>11852100</v>
      </c>
      <c r="I202" s="136"/>
      <c r="J202" s="136">
        <f t="shared" si="58"/>
        <v>1185210</v>
      </c>
      <c r="K202" s="136">
        <f t="shared" si="59"/>
        <v>237042</v>
      </c>
      <c r="L202" s="153">
        <f t="shared" si="60"/>
        <v>13037310</v>
      </c>
      <c r="M202" s="135">
        <f t="shared" si="61"/>
        <v>12800268</v>
      </c>
      <c r="N202" s="134" t="s">
        <v>180</v>
      </c>
      <c r="O202" s="134" t="s">
        <v>186</v>
      </c>
      <c r="P202" s="133">
        <f t="shared" si="57"/>
        <v>11852100</v>
      </c>
      <c r="Q202" s="133"/>
      <c r="R202" s="133"/>
      <c r="S202" s="133"/>
      <c r="T202" s="133"/>
      <c r="U202" s="133"/>
      <c r="V202" s="133"/>
      <c r="W202" s="133"/>
      <c r="X202" s="132"/>
      <c r="Y202" s="132"/>
      <c r="Z202" s="132"/>
      <c r="AA202" s="131"/>
      <c r="AB202" s="184" t="s">
        <v>178</v>
      </c>
      <c r="AC202" s="211"/>
      <c r="AD202" s="211"/>
      <c r="AE202" s="229"/>
    </row>
    <row r="203" spans="1:31" s="152" customFormat="1" ht="16.5" customHeight="1" x14ac:dyDescent="0.3">
      <c r="A203" s="852"/>
      <c r="B203" s="137">
        <v>184</v>
      </c>
      <c r="C203" s="141" t="s">
        <v>358</v>
      </c>
      <c r="D203" s="140" t="s">
        <v>343</v>
      </c>
      <c r="E203" s="220" t="s">
        <v>209</v>
      </c>
      <c r="F203" s="280">
        <v>42564</v>
      </c>
      <c r="G203" s="218" t="s">
        <v>357</v>
      </c>
      <c r="H203" s="136">
        <v>11852100</v>
      </c>
      <c r="I203" s="136"/>
      <c r="J203" s="136">
        <f t="shared" si="58"/>
        <v>1185210</v>
      </c>
      <c r="K203" s="136">
        <f t="shared" si="59"/>
        <v>237042</v>
      </c>
      <c r="L203" s="153">
        <f t="shared" si="60"/>
        <v>13037310</v>
      </c>
      <c r="M203" s="135">
        <f t="shared" si="61"/>
        <v>12800268</v>
      </c>
      <c r="N203" s="134" t="s">
        <v>180</v>
      </c>
      <c r="O203" s="134" t="s">
        <v>186</v>
      </c>
      <c r="P203" s="236">
        <f t="shared" si="57"/>
        <v>11852100</v>
      </c>
      <c r="Q203" s="236"/>
      <c r="R203" s="236"/>
      <c r="S203" s="236"/>
      <c r="T203" s="236"/>
      <c r="U203" s="236"/>
      <c r="V203" s="236"/>
      <c r="W203" s="236"/>
      <c r="X203" s="235"/>
      <c r="Y203" s="235"/>
      <c r="Z203" s="235"/>
      <c r="AA203" s="254"/>
      <c r="AB203" s="184" t="s">
        <v>178</v>
      </c>
      <c r="AC203" s="233">
        <f t="shared" ref="AC203:AC210" si="62">H203</f>
        <v>11852100</v>
      </c>
      <c r="AD203" s="233"/>
      <c r="AE203" s="232"/>
    </row>
    <row r="204" spans="1:31" s="152" customFormat="1" ht="16.5" customHeight="1" x14ac:dyDescent="0.3">
      <c r="A204" s="852"/>
      <c r="B204" s="137">
        <v>185</v>
      </c>
      <c r="C204" s="141" t="s">
        <v>356</v>
      </c>
      <c r="D204" s="140" t="s">
        <v>343</v>
      </c>
      <c r="E204" s="220" t="s">
        <v>209</v>
      </c>
      <c r="F204" s="280">
        <v>42564</v>
      </c>
      <c r="G204" s="218" t="s">
        <v>355</v>
      </c>
      <c r="H204" s="136">
        <v>11852100</v>
      </c>
      <c r="I204" s="136"/>
      <c r="J204" s="136">
        <f t="shared" si="58"/>
        <v>1185210</v>
      </c>
      <c r="K204" s="136">
        <f t="shared" si="59"/>
        <v>237042</v>
      </c>
      <c r="L204" s="153">
        <f t="shared" si="60"/>
        <v>13037310</v>
      </c>
      <c r="M204" s="135">
        <f t="shared" si="61"/>
        <v>12800268</v>
      </c>
      <c r="N204" s="134" t="s">
        <v>180</v>
      </c>
      <c r="O204" s="134" t="s">
        <v>186</v>
      </c>
      <c r="P204" s="236">
        <f t="shared" si="57"/>
        <v>11852100</v>
      </c>
      <c r="Q204" s="236"/>
      <c r="R204" s="236"/>
      <c r="S204" s="236"/>
      <c r="T204" s="236"/>
      <c r="U204" s="236"/>
      <c r="V204" s="236"/>
      <c r="W204" s="236"/>
      <c r="X204" s="235"/>
      <c r="Y204" s="235"/>
      <c r="Z204" s="235"/>
      <c r="AA204" s="254"/>
      <c r="AB204" s="184" t="s">
        <v>178</v>
      </c>
      <c r="AC204" s="233">
        <f t="shared" si="62"/>
        <v>11852100</v>
      </c>
      <c r="AD204" s="233"/>
      <c r="AE204" s="232"/>
    </row>
    <row r="205" spans="1:31" s="152" customFormat="1" ht="16.5" customHeight="1" x14ac:dyDescent="0.3">
      <c r="A205" s="852"/>
      <c r="B205" s="137">
        <v>186</v>
      </c>
      <c r="C205" s="141" t="s">
        <v>354</v>
      </c>
      <c r="D205" s="140" t="s">
        <v>343</v>
      </c>
      <c r="E205" s="220" t="s">
        <v>209</v>
      </c>
      <c r="F205" s="280">
        <v>42564</v>
      </c>
      <c r="G205" s="218" t="s">
        <v>353</v>
      </c>
      <c r="H205" s="136">
        <v>11852100</v>
      </c>
      <c r="I205" s="136"/>
      <c r="J205" s="136">
        <f t="shared" si="58"/>
        <v>1185210</v>
      </c>
      <c r="K205" s="136">
        <f t="shared" si="59"/>
        <v>237042</v>
      </c>
      <c r="L205" s="153">
        <f t="shared" si="60"/>
        <v>13037310</v>
      </c>
      <c r="M205" s="135">
        <f t="shared" si="61"/>
        <v>12800268</v>
      </c>
      <c r="N205" s="134" t="s">
        <v>180</v>
      </c>
      <c r="O205" s="134" t="s">
        <v>186</v>
      </c>
      <c r="P205" s="236">
        <f t="shared" si="57"/>
        <v>11852100</v>
      </c>
      <c r="Q205" s="236"/>
      <c r="R205" s="236"/>
      <c r="S205" s="236"/>
      <c r="T205" s="236"/>
      <c r="U205" s="236"/>
      <c r="V205" s="236"/>
      <c r="W205" s="236"/>
      <c r="X205" s="235"/>
      <c r="Y205" s="235"/>
      <c r="Z205" s="235"/>
      <c r="AA205" s="254"/>
      <c r="AB205" s="184" t="s">
        <v>178</v>
      </c>
      <c r="AC205" s="233">
        <f t="shared" si="62"/>
        <v>11852100</v>
      </c>
      <c r="AD205" s="233"/>
      <c r="AE205" s="232"/>
    </row>
    <row r="206" spans="1:31" s="152" customFormat="1" ht="16.5" customHeight="1" x14ac:dyDescent="0.3">
      <c r="A206" s="852"/>
      <c r="B206" s="137">
        <v>187</v>
      </c>
      <c r="C206" s="141" t="s">
        <v>352</v>
      </c>
      <c r="D206" s="140" t="s">
        <v>343</v>
      </c>
      <c r="E206" s="220" t="s">
        <v>209</v>
      </c>
      <c r="F206" s="280">
        <v>42564</v>
      </c>
      <c r="G206" s="218" t="s">
        <v>351</v>
      </c>
      <c r="H206" s="136">
        <v>11852100</v>
      </c>
      <c r="I206" s="136"/>
      <c r="J206" s="136">
        <f t="shared" si="58"/>
        <v>1185210</v>
      </c>
      <c r="K206" s="136">
        <f t="shared" si="59"/>
        <v>237042</v>
      </c>
      <c r="L206" s="153">
        <f t="shared" si="60"/>
        <v>13037310</v>
      </c>
      <c r="M206" s="135">
        <f t="shared" si="61"/>
        <v>12800268</v>
      </c>
      <c r="N206" s="134" t="s">
        <v>180</v>
      </c>
      <c r="O206" s="134" t="s">
        <v>186</v>
      </c>
      <c r="P206" s="236">
        <f t="shared" si="57"/>
        <v>11852100</v>
      </c>
      <c r="Q206" s="236"/>
      <c r="R206" s="236"/>
      <c r="S206" s="236"/>
      <c r="T206" s="236"/>
      <c r="U206" s="236"/>
      <c r="V206" s="236"/>
      <c r="W206" s="236"/>
      <c r="X206" s="235"/>
      <c r="Y206" s="235"/>
      <c r="Z206" s="235"/>
      <c r="AA206" s="254"/>
      <c r="AB206" s="184" t="s">
        <v>178</v>
      </c>
      <c r="AC206" s="233">
        <f t="shared" si="62"/>
        <v>11852100</v>
      </c>
      <c r="AD206" s="233"/>
      <c r="AE206" s="232"/>
    </row>
    <row r="207" spans="1:31" s="152" customFormat="1" ht="16.5" customHeight="1" x14ac:dyDescent="0.3">
      <c r="A207" s="852"/>
      <c r="B207" s="137">
        <v>188</v>
      </c>
      <c r="C207" s="141" t="s">
        <v>350</v>
      </c>
      <c r="D207" s="140" t="s">
        <v>343</v>
      </c>
      <c r="E207" s="220" t="s">
        <v>209</v>
      </c>
      <c r="F207" s="280">
        <v>42564</v>
      </c>
      <c r="G207" s="218" t="s">
        <v>349</v>
      </c>
      <c r="H207" s="136">
        <v>11852100</v>
      </c>
      <c r="I207" s="136"/>
      <c r="J207" s="136">
        <f t="shared" si="58"/>
        <v>1185210</v>
      </c>
      <c r="K207" s="136">
        <f t="shared" si="59"/>
        <v>237042</v>
      </c>
      <c r="L207" s="153">
        <f t="shared" si="60"/>
        <v>13037310</v>
      </c>
      <c r="M207" s="135">
        <f t="shared" si="61"/>
        <v>12800268</v>
      </c>
      <c r="N207" s="134" t="s">
        <v>180</v>
      </c>
      <c r="O207" s="134" t="s">
        <v>186</v>
      </c>
      <c r="P207" s="236">
        <f t="shared" si="57"/>
        <v>11852100</v>
      </c>
      <c r="Q207" s="236"/>
      <c r="R207" s="236"/>
      <c r="S207" s="236"/>
      <c r="T207" s="236"/>
      <c r="U207" s="236"/>
      <c r="V207" s="236"/>
      <c r="W207" s="236"/>
      <c r="X207" s="235"/>
      <c r="Y207" s="235"/>
      <c r="Z207" s="235"/>
      <c r="AA207" s="254"/>
      <c r="AB207" s="184" t="s">
        <v>178</v>
      </c>
      <c r="AC207" s="233">
        <f t="shared" si="62"/>
        <v>11852100</v>
      </c>
      <c r="AD207" s="233"/>
      <c r="AE207" s="232"/>
    </row>
    <row r="208" spans="1:31" s="152" customFormat="1" ht="16.5" customHeight="1" x14ac:dyDescent="0.3">
      <c r="A208" s="852"/>
      <c r="B208" s="137">
        <v>189</v>
      </c>
      <c r="C208" s="141" t="s">
        <v>348</v>
      </c>
      <c r="D208" s="140" t="s">
        <v>343</v>
      </c>
      <c r="E208" s="220" t="s">
        <v>209</v>
      </c>
      <c r="F208" s="280">
        <v>42564</v>
      </c>
      <c r="G208" s="218" t="s">
        <v>347</v>
      </c>
      <c r="H208" s="136">
        <v>11852100</v>
      </c>
      <c r="I208" s="136"/>
      <c r="J208" s="136">
        <f t="shared" si="58"/>
        <v>1185210</v>
      </c>
      <c r="K208" s="136">
        <f t="shared" si="59"/>
        <v>237042</v>
      </c>
      <c r="L208" s="153">
        <f t="shared" si="60"/>
        <v>13037310</v>
      </c>
      <c r="M208" s="135">
        <f t="shared" si="61"/>
        <v>12800268</v>
      </c>
      <c r="N208" s="134" t="s">
        <v>180</v>
      </c>
      <c r="O208" s="134" t="s">
        <v>186</v>
      </c>
      <c r="P208" s="236">
        <f t="shared" si="57"/>
        <v>11852100</v>
      </c>
      <c r="Q208" s="236"/>
      <c r="R208" s="236"/>
      <c r="S208" s="236"/>
      <c r="T208" s="236"/>
      <c r="U208" s="236"/>
      <c r="V208" s="236"/>
      <c r="W208" s="236"/>
      <c r="X208" s="235"/>
      <c r="Y208" s="235"/>
      <c r="Z208" s="235"/>
      <c r="AA208" s="254"/>
      <c r="AB208" s="184" t="s">
        <v>178</v>
      </c>
      <c r="AC208" s="233">
        <f t="shared" si="62"/>
        <v>11852100</v>
      </c>
      <c r="AD208" s="233"/>
      <c r="AE208" s="232"/>
    </row>
    <row r="209" spans="1:33" s="152" customFormat="1" ht="16.5" customHeight="1" x14ac:dyDescent="0.3">
      <c r="A209" s="852"/>
      <c r="B209" s="137">
        <v>190</v>
      </c>
      <c r="C209" s="141" t="s">
        <v>346</v>
      </c>
      <c r="D209" s="140" t="s">
        <v>343</v>
      </c>
      <c r="E209" s="220" t="s">
        <v>209</v>
      </c>
      <c r="F209" s="280">
        <v>42564</v>
      </c>
      <c r="G209" s="218" t="s">
        <v>345</v>
      </c>
      <c r="H209" s="136">
        <v>11852100</v>
      </c>
      <c r="I209" s="136"/>
      <c r="J209" s="136">
        <f t="shared" si="58"/>
        <v>1185210</v>
      </c>
      <c r="K209" s="136">
        <f t="shared" si="59"/>
        <v>237042</v>
      </c>
      <c r="L209" s="153">
        <f t="shared" si="60"/>
        <v>13037310</v>
      </c>
      <c r="M209" s="135">
        <f t="shared" si="61"/>
        <v>12800268</v>
      </c>
      <c r="N209" s="134" t="s">
        <v>180</v>
      </c>
      <c r="O209" s="134" t="s">
        <v>186</v>
      </c>
      <c r="P209" s="236">
        <f t="shared" si="57"/>
        <v>11852100</v>
      </c>
      <c r="Q209" s="236"/>
      <c r="R209" s="236"/>
      <c r="S209" s="236"/>
      <c r="T209" s="236"/>
      <c r="U209" s="236"/>
      <c r="V209" s="236"/>
      <c r="W209" s="236"/>
      <c r="X209" s="235"/>
      <c r="Y209" s="235"/>
      <c r="Z209" s="235"/>
      <c r="AA209" s="254"/>
      <c r="AB209" s="256" t="s">
        <v>249</v>
      </c>
      <c r="AC209" s="233">
        <f t="shared" si="62"/>
        <v>11852100</v>
      </c>
      <c r="AD209" s="233"/>
      <c r="AE209" s="232"/>
    </row>
    <row r="210" spans="1:33" s="152" customFormat="1" ht="16.5" customHeight="1" x14ac:dyDescent="0.3">
      <c r="A210" s="852"/>
      <c r="B210" s="137">
        <v>191</v>
      </c>
      <c r="C210" s="141" t="s">
        <v>344</v>
      </c>
      <c r="D210" s="140" t="s">
        <v>343</v>
      </c>
      <c r="E210" s="220" t="s">
        <v>209</v>
      </c>
      <c r="F210" s="280">
        <v>42564</v>
      </c>
      <c r="G210" s="218" t="s">
        <v>342</v>
      </c>
      <c r="H210" s="136">
        <v>11852100</v>
      </c>
      <c r="I210" s="136"/>
      <c r="J210" s="136">
        <v>3239000</v>
      </c>
      <c r="K210" s="136">
        <f t="shared" si="59"/>
        <v>237042</v>
      </c>
      <c r="L210" s="153">
        <f t="shared" si="60"/>
        <v>15091100</v>
      </c>
      <c r="M210" s="135">
        <f t="shared" si="61"/>
        <v>14854058</v>
      </c>
      <c r="N210" s="134" t="s">
        <v>180</v>
      </c>
      <c r="O210" s="134" t="s">
        <v>186</v>
      </c>
      <c r="P210" s="236">
        <f t="shared" si="57"/>
        <v>11852100</v>
      </c>
      <c r="Q210" s="236"/>
      <c r="R210" s="236"/>
      <c r="S210" s="236"/>
      <c r="T210" s="236"/>
      <c r="U210" s="236"/>
      <c r="V210" s="236"/>
      <c r="W210" s="236"/>
      <c r="X210" s="235"/>
      <c r="Y210" s="235"/>
      <c r="Z210" s="235"/>
      <c r="AA210" s="254"/>
      <c r="AB210" s="256" t="s">
        <v>249</v>
      </c>
      <c r="AC210" s="233">
        <f t="shared" si="62"/>
        <v>11852100</v>
      </c>
      <c r="AD210" s="233"/>
      <c r="AE210" s="232"/>
    </row>
    <row r="211" spans="1:33" s="152" customFormat="1" x14ac:dyDescent="0.3">
      <c r="A211" s="852"/>
      <c r="B211" s="137">
        <v>192</v>
      </c>
      <c r="C211" s="141" t="s">
        <v>110</v>
      </c>
      <c r="D211" s="140" t="s">
        <v>305</v>
      </c>
      <c r="E211" s="240">
        <v>42522</v>
      </c>
      <c r="F211" s="280">
        <v>42564</v>
      </c>
      <c r="G211" s="218" t="s">
        <v>341</v>
      </c>
      <c r="H211" s="136">
        <v>6584500</v>
      </c>
      <c r="I211" s="136"/>
      <c r="J211" s="153"/>
      <c r="K211" s="153"/>
      <c r="L211" s="153"/>
      <c r="M211" s="153"/>
      <c r="N211" s="134" t="s">
        <v>180</v>
      </c>
      <c r="O211" s="252" t="s">
        <v>227</v>
      </c>
      <c r="P211" s="236"/>
      <c r="Q211" s="303"/>
      <c r="R211" s="303"/>
      <c r="S211" s="303"/>
      <c r="T211" s="244">
        <f>H211</f>
        <v>6584500</v>
      </c>
      <c r="U211" s="303"/>
      <c r="V211" s="303"/>
      <c r="W211" s="303"/>
      <c r="X211" s="302"/>
      <c r="Y211" s="302"/>
      <c r="Z211" s="302"/>
      <c r="AA211" s="301"/>
      <c r="AB211" s="256" t="s">
        <v>249</v>
      </c>
      <c r="AC211" s="300"/>
      <c r="AD211" s="300"/>
      <c r="AE211" s="251"/>
    </row>
    <row r="212" spans="1:33" s="152" customFormat="1" x14ac:dyDescent="0.3">
      <c r="A212" s="852"/>
      <c r="B212" s="137">
        <v>193</v>
      </c>
      <c r="C212" s="141" t="s">
        <v>264</v>
      </c>
      <c r="D212" s="299" t="s">
        <v>263</v>
      </c>
      <c r="E212" s="298" t="s">
        <v>340</v>
      </c>
      <c r="F212" s="138">
        <v>42569</v>
      </c>
      <c r="G212" s="218" t="s">
        <v>339</v>
      </c>
      <c r="H212" s="136">
        <v>317250000</v>
      </c>
      <c r="I212" s="136"/>
      <c r="J212" s="153"/>
      <c r="K212" s="153">
        <f t="shared" ref="K212:K219" si="63">H212*2%</f>
        <v>6345000</v>
      </c>
      <c r="L212" s="153"/>
      <c r="M212" s="231"/>
      <c r="N212" s="134" t="s">
        <v>228</v>
      </c>
      <c r="O212" s="252" t="s">
        <v>227</v>
      </c>
      <c r="P212" s="244"/>
      <c r="Q212" s="244"/>
      <c r="R212" s="244"/>
      <c r="S212" s="244"/>
      <c r="T212" s="244"/>
      <c r="U212" s="244"/>
      <c r="V212" s="244">
        <f>H212</f>
        <v>317250000</v>
      </c>
      <c r="W212" s="244"/>
      <c r="X212" s="205"/>
      <c r="Y212" s="205"/>
      <c r="Z212" s="205"/>
      <c r="AA212" s="204"/>
      <c r="AB212" s="256" t="s">
        <v>249</v>
      </c>
      <c r="AC212" s="211">
        <f t="shared" ref="AC212:AC219" si="64">H212</f>
        <v>317250000</v>
      </c>
      <c r="AD212" s="211"/>
      <c r="AE212" s="251"/>
    </row>
    <row r="213" spans="1:33" s="152" customFormat="1" x14ac:dyDescent="0.3">
      <c r="A213" s="852"/>
      <c r="B213" s="137">
        <v>194</v>
      </c>
      <c r="C213" s="141" t="s">
        <v>244</v>
      </c>
      <c r="D213" s="140" t="s">
        <v>338</v>
      </c>
      <c r="E213" s="253"/>
      <c r="F213" s="138">
        <v>42570</v>
      </c>
      <c r="G213" s="218" t="s">
        <v>337</v>
      </c>
      <c r="H213" s="136">
        <v>526760000</v>
      </c>
      <c r="I213" s="136"/>
      <c r="J213" s="153"/>
      <c r="K213" s="153">
        <f t="shared" si="63"/>
        <v>10535200</v>
      </c>
      <c r="L213" s="153"/>
      <c r="M213" s="231"/>
      <c r="N213" s="252" t="s">
        <v>228</v>
      </c>
      <c r="O213" s="252" t="s">
        <v>336</v>
      </c>
      <c r="P213" s="244"/>
      <c r="Q213" s="244"/>
      <c r="R213" s="244"/>
      <c r="S213" s="244"/>
      <c r="T213" s="244"/>
      <c r="U213" s="244"/>
      <c r="V213" s="244">
        <f>H213</f>
        <v>526760000</v>
      </c>
      <c r="W213" s="244"/>
      <c r="X213" s="205"/>
      <c r="Y213" s="205"/>
      <c r="Z213" s="205"/>
      <c r="AA213" s="204"/>
      <c r="AB213" s="184" t="s">
        <v>178</v>
      </c>
      <c r="AC213" s="211">
        <f t="shared" si="64"/>
        <v>526760000</v>
      </c>
      <c r="AD213" s="211"/>
      <c r="AE213" s="251"/>
    </row>
    <row r="214" spans="1:33" s="152" customFormat="1" x14ac:dyDescent="0.3">
      <c r="A214" s="852"/>
      <c r="B214" s="137">
        <v>195</v>
      </c>
      <c r="C214" s="141" t="s">
        <v>244</v>
      </c>
      <c r="D214" s="140" t="s">
        <v>247</v>
      </c>
      <c r="E214" s="253"/>
      <c r="F214" s="138">
        <v>42570</v>
      </c>
      <c r="G214" s="218" t="s">
        <v>337</v>
      </c>
      <c r="H214" s="136">
        <v>5267600</v>
      </c>
      <c r="I214" s="136"/>
      <c r="J214" s="153"/>
      <c r="K214" s="153">
        <f t="shared" si="63"/>
        <v>105352</v>
      </c>
      <c r="L214" s="153"/>
      <c r="M214" s="231"/>
      <c r="N214" s="252" t="s">
        <v>228</v>
      </c>
      <c r="O214" s="252" t="s">
        <v>336</v>
      </c>
      <c r="P214" s="244"/>
      <c r="Q214" s="244"/>
      <c r="R214" s="244"/>
      <c r="S214" s="244"/>
      <c r="T214" s="244"/>
      <c r="U214" s="244"/>
      <c r="V214" s="244">
        <f>H214</f>
        <v>5267600</v>
      </c>
      <c r="W214" s="244"/>
      <c r="X214" s="205"/>
      <c r="Y214" s="205"/>
      <c r="Z214" s="205"/>
      <c r="AA214" s="204"/>
      <c r="AB214" s="184" t="s">
        <v>178</v>
      </c>
      <c r="AC214" s="211">
        <f t="shared" si="64"/>
        <v>5267600</v>
      </c>
      <c r="AD214" s="211"/>
      <c r="AE214" s="251"/>
    </row>
    <row r="215" spans="1:33" s="152" customFormat="1" ht="30" x14ac:dyDescent="0.3">
      <c r="A215" s="852"/>
      <c r="B215" s="137">
        <v>196</v>
      </c>
      <c r="C215" s="141" t="s">
        <v>290</v>
      </c>
      <c r="D215" s="140" t="s">
        <v>335</v>
      </c>
      <c r="E215" s="297">
        <v>42582</v>
      </c>
      <c r="F215" s="138">
        <v>42570</v>
      </c>
      <c r="G215" s="218" t="s">
        <v>334</v>
      </c>
      <c r="H215" s="136">
        <v>7916360</v>
      </c>
      <c r="I215" s="136"/>
      <c r="J215" s="153"/>
      <c r="K215" s="153">
        <f t="shared" si="63"/>
        <v>158327.20000000001</v>
      </c>
      <c r="L215" s="153"/>
      <c r="M215" s="231"/>
      <c r="N215" s="252" t="s">
        <v>180</v>
      </c>
      <c r="O215" s="252" t="s">
        <v>199</v>
      </c>
      <c r="P215" s="244"/>
      <c r="Q215" s="244"/>
      <c r="R215" s="244"/>
      <c r="S215" s="244"/>
      <c r="T215" s="244">
        <f>H215</f>
        <v>7916360</v>
      </c>
      <c r="U215" s="244"/>
      <c r="V215" s="244"/>
      <c r="W215" s="244"/>
      <c r="X215" s="205"/>
      <c r="Y215" s="205"/>
      <c r="Z215" s="205"/>
      <c r="AA215" s="204"/>
      <c r="AB215" s="184" t="s">
        <v>178</v>
      </c>
      <c r="AC215" s="211">
        <f t="shared" si="64"/>
        <v>7916360</v>
      </c>
      <c r="AD215" s="211"/>
      <c r="AE215" s="251"/>
    </row>
    <row r="216" spans="1:33" s="152" customFormat="1" x14ac:dyDescent="0.3">
      <c r="A216" s="852"/>
      <c r="B216" s="137">
        <v>197</v>
      </c>
      <c r="C216" s="141" t="s">
        <v>331</v>
      </c>
      <c r="D216" s="140" t="s">
        <v>333</v>
      </c>
      <c r="E216" s="253" t="s">
        <v>332</v>
      </c>
      <c r="F216" s="208" t="s">
        <v>330</v>
      </c>
      <c r="G216" s="218" t="s">
        <v>329</v>
      </c>
      <c r="H216" s="136">
        <v>58963500</v>
      </c>
      <c r="I216" s="136"/>
      <c r="J216" s="153"/>
      <c r="K216" s="153">
        <f t="shared" si="63"/>
        <v>1179270</v>
      </c>
      <c r="L216" s="153"/>
      <c r="M216" s="231"/>
      <c r="N216" s="252" t="s">
        <v>241</v>
      </c>
      <c r="O216" s="252" t="s">
        <v>240</v>
      </c>
      <c r="P216" s="244"/>
      <c r="Q216" s="244"/>
      <c r="R216" s="244"/>
      <c r="S216" s="244"/>
      <c r="T216" s="244"/>
      <c r="U216" s="244"/>
      <c r="V216" s="244"/>
      <c r="W216" s="244"/>
      <c r="X216" s="205"/>
      <c r="Y216" s="205"/>
      <c r="Z216" s="205">
        <f>H216</f>
        <v>58963500</v>
      </c>
      <c r="AA216" s="204"/>
      <c r="AB216" s="184" t="s">
        <v>178</v>
      </c>
      <c r="AC216" s="211">
        <f t="shared" si="64"/>
        <v>58963500</v>
      </c>
      <c r="AD216" s="211"/>
      <c r="AE216" s="296"/>
    </row>
    <row r="217" spans="1:33" s="152" customFormat="1" x14ac:dyDescent="0.3">
      <c r="A217" s="852"/>
      <c r="B217" s="137">
        <v>198</v>
      </c>
      <c r="C217" s="141" t="s">
        <v>331</v>
      </c>
      <c r="D217" s="140" t="s">
        <v>247</v>
      </c>
      <c r="E217" s="253"/>
      <c r="F217" s="208" t="s">
        <v>330</v>
      </c>
      <c r="G217" s="218" t="s">
        <v>329</v>
      </c>
      <c r="H217" s="136">
        <v>2620600</v>
      </c>
      <c r="I217" s="136"/>
      <c r="J217" s="153"/>
      <c r="K217" s="153">
        <f t="shared" si="63"/>
        <v>52412</v>
      </c>
      <c r="L217" s="153"/>
      <c r="M217" s="231"/>
      <c r="N217" s="252" t="s">
        <v>241</v>
      </c>
      <c r="O217" s="252" t="s">
        <v>240</v>
      </c>
      <c r="P217" s="244"/>
      <c r="Q217" s="244"/>
      <c r="R217" s="244"/>
      <c r="S217" s="244"/>
      <c r="T217" s="244"/>
      <c r="U217" s="244"/>
      <c r="V217" s="244"/>
      <c r="W217" s="244"/>
      <c r="X217" s="205"/>
      <c r="Y217" s="205"/>
      <c r="Z217" s="205">
        <f>H217</f>
        <v>2620600</v>
      </c>
      <c r="AA217" s="204"/>
      <c r="AB217" s="184" t="s">
        <v>178</v>
      </c>
      <c r="AC217" s="211">
        <f t="shared" si="64"/>
        <v>2620600</v>
      </c>
      <c r="AD217" s="211"/>
      <c r="AE217" s="296"/>
    </row>
    <row r="218" spans="1:33" s="152" customFormat="1" x14ac:dyDescent="0.3">
      <c r="A218" s="852"/>
      <c r="B218" s="137">
        <v>199</v>
      </c>
      <c r="C218" s="239" t="s">
        <v>248</v>
      </c>
      <c r="D218" s="238" t="s">
        <v>247</v>
      </c>
      <c r="E218" s="139"/>
      <c r="F218" s="208" t="s">
        <v>328</v>
      </c>
      <c r="G218" s="218" t="s">
        <v>327</v>
      </c>
      <c r="H218" s="136">
        <v>31000000</v>
      </c>
      <c r="I218" s="136"/>
      <c r="J218" s="136">
        <v>2250000</v>
      </c>
      <c r="K218" s="136">
        <f t="shared" si="63"/>
        <v>620000</v>
      </c>
      <c r="L218" s="153">
        <f>H218+J218</f>
        <v>33250000</v>
      </c>
      <c r="M218" s="135">
        <f>H218+J218-K218</f>
        <v>32630000</v>
      </c>
      <c r="N218" s="255" t="s">
        <v>228</v>
      </c>
      <c r="O218" s="255" t="s">
        <v>227</v>
      </c>
      <c r="P218" s="236"/>
      <c r="Q218" s="236"/>
      <c r="R218" s="236"/>
      <c r="S218" s="236"/>
      <c r="T218" s="236"/>
      <c r="U218" s="236"/>
      <c r="V218" s="236">
        <f>H218</f>
        <v>31000000</v>
      </c>
      <c r="W218" s="236"/>
      <c r="X218" s="235"/>
      <c r="Y218" s="235"/>
      <c r="Z218" s="235"/>
      <c r="AA218" s="254"/>
      <c r="AB218" s="256" t="s">
        <v>249</v>
      </c>
      <c r="AC218" s="233">
        <f t="shared" si="64"/>
        <v>31000000</v>
      </c>
      <c r="AD218" s="233"/>
      <c r="AE218" s="232"/>
    </row>
    <row r="219" spans="1:33" s="152" customFormat="1" x14ac:dyDescent="0.3">
      <c r="A219" s="852"/>
      <c r="B219" s="218">
        <v>200</v>
      </c>
      <c r="C219" s="222" t="s">
        <v>185</v>
      </c>
      <c r="D219" s="221" t="s">
        <v>184</v>
      </c>
      <c r="E219" s="220" t="s">
        <v>326</v>
      </c>
      <c r="F219" s="208" t="s">
        <v>325</v>
      </c>
      <c r="G219" s="218" t="s">
        <v>324</v>
      </c>
      <c r="H219" s="217">
        <v>15768720</v>
      </c>
      <c r="I219" s="136"/>
      <c r="J219" s="136">
        <f>H219*10%</f>
        <v>1576872</v>
      </c>
      <c r="K219" s="136">
        <f t="shared" si="63"/>
        <v>315374.40000000002</v>
      </c>
      <c r="L219" s="153">
        <f>H219+J219</f>
        <v>17345592</v>
      </c>
      <c r="M219" s="135">
        <f>H219+J219-K219</f>
        <v>17030217.600000001</v>
      </c>
      <c r="N219" s="216" t="s">
        <v>180</v>
      </c>
      <c r="O219" s="216" t="s">
        <v>179</v>
      </c>
      <c r="P219" s="213"/>
      <c r="Q219" s="215"/>
      <c r="R219" s="215"/>
      <c r="S219" s="215">
        <f>H219</f>
        <v>15768720</v>
      </c>
      <c r="T219" s="215"/>
      <c r="U219" s="215"/>
      <c r="V219" s="215"/>
      <c r="W219" s="215"/>
      <c r="X219" s="214"/>
      <c r="Y219" s="213"/>
      <c r="Z219" s="213"/>
      <c r="AA219" s="212"/>
      <c r="AB219" s="256" t="s">
        <v>249</v>
      </c>
      <c r="AC219" s="211">
        <f t="shared" si="64"/>
        <v>15768720</v>
      </c>
      <c r="AD219" s="211"/>
      <c r="AE219" s="210"/>
    </row>
    <row r="220" spans="1:33" s="89" customFormat="1" x14ac:dyDescent="0.3">
      <c r="A220" s="853"/>
      <c r="B220" s="127" t="s">
        <v>323</v>
      </c>
      <c r="C220" s="126"/>
      <c r="D220" s="126"/>
      <c r="E220" s="126"/>
      <c r="F220" s="126"/>
      <c r="G220" s="125"/>
      <c r="H220" s="160">
        <f>SUM(H191:H219)</f>
        <v>1365854380</v>
      </c>
      <c r="I220" s="160"/>
      <c r="J220" s="160">
        <f>SUM(J191:J218)</f>
        <v>20512930</v>
      </c>
      <c r="K220" s="160">
        <f>SUM(K191:K218)</f>
        <v>23252809.199999999</v>
      </c>
      <c r="L220" s="160">
        <f>SUM(L191:L219)</f>
        <v>213778722</v>
      </c>
      <c r="M220" s="160">
        <f>SUM(M191:M219)</f>
        <v>209944943.59999999</v>
      </c>
      <c r="N220" s="159"/>
      <c r="O220" s="159"/>
      <c r="P220" s="158">
        <f t="shared" ref="P220:AA220" si="65">SUM(P191:P219)</f>
        <v>156711100</v>
      </c>
      <c r="Q220" s="158">
        <f t="shared" si="65"/>
        <v>106578800</v>
      </c>
      <c r="R220" s="158">
        <f t="shared" si="65"/>
        <v>51955800</v>
      </c>
      <c r="S220" s="158">
        <f t="shared" si="65"/>
        <v>83710920</v>
      </c>
      <c r="T220" s="158">
        <f t="shared" si="65"/>
        <v>25036060</v>
      </c>
      <c r="U220" s="158">
        <f t="shared" si="65"/>
        <v>0</v>
      </c>
      <c r="V220" s="158">
        <f t="shared" si="65"/>
        <v>880277600</v>
      </c>
      <c r="W220" s="158">
        <f t="shared" si="65"/>
        <v>0</v>
      </c>
      <c r="X220" s="158">
        <f t="shared" si="65"/>
        <v>0</v>
      </c>
      <c r="Y220" s="158">
        <f t="shared" si="65"/>
        <v>0</v>
      </c>
      <c r="Z220" s="158">
        <f t="shared" si="65"/>
        <v>61584100</v>
      </c>
      <c r="AA220" s="157">
        <f t="shared" si="65"/>
        <v>0</v>
      </c>
      <c r="AB220" s="119"/>
      <c r="AC220" s="160">
        <f>SUM(AC191:AC218)</f>
        <v>1167908060</v>
      </c>
      <c r="AD220" s="295">
        <f>SUM(AD191:AD218)</f>
        <v>0</v>
      </c>
      <c r="AE220" s="154"/>
      <c r="AG220" s="115">
        <f>L220-(SUM(P220:X220))</f>
        <v>-1090491558</v>
      </c>
    </row>
    <row r="221" spans="1:33" s="89" customFormat="1" x14ac:dyDescent="0.3">
      <c r="A221" s="294"/>
      <c r="B221" s="291"/>
      <c r="C221" s="291"/>
      <c r="D221" s="291"/>
      <c r="E221" s="291"/>
      <c r="F221" s="291"/>
      <c r="G221" s="291"/>
      <c r="H221" s="291"/>
      <c r="I221" s="291"/>
      <c r="J221" s="291"/>
      <c r="K221" s="291"/>
      <c r="L221" s="291"/>
      <c r="M221" s="291"/>
      <c r="N221" s="293"/>
      <c r="O221" s="293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1"/>
      <c r="AB221" s="291"/>
      <c r="AC221" s="291"/>
      <c r="AD221" s="291"/>
      <c r="AE221" s="290"/>
    </row>
    <row r="222" spans="1:33" s="152" customFormat="1" x14ac:dyDescent="0.3">
      <c r="A222" s="852" t="s">
        <v>322</v>
      </c>
      <c r="B222" s="137">
        <v>201</v>
      </c>
      <c r="C222" s="222" t="s">
        <v>321</v>
      </c>
      <c r="D222" s="221" t="s">
        <v>286</v>
      </c>
      <c r="E222" s="220"/>
      <c r="F222" s="219">
        <v>42584</v>
      </c>
      <c r="G222" s="218" t="s">
        <v>319</v>
      </c>
      <c r="H222" s="241">
        <v>13108000</v>
      </c>
      <c r="I222" s="136"/>
      <c r="J222" s="136">
        <f>H222*10%</f>
        <v>1310800</v>
      </c>
      <c r="K222" s="136">
        <f>H222*2%</f>
        <v>262160</v>
      </c>
      <c r="L222" s="153">
        <f>H222+J222</f>
        <v>14418800</v>
      </c>
      <c r="M222" s="135">
        <f>H222+J222-K222</f>
        <v>14156640</v>
      </c>
      <c r="N222" s="216" t="s">
        <v>180</v>
      </c>
      <c r="O222" s="216" t="s">
        <v>199</v>
      </c>
      <c r="P222" s="213"/>
      <c r="Q222" s="215"/>
      <c r="R222" s="215"/>
      <c r="S222" s="215"/>
      <c r="T222" s="215">
        <f>H222</f>
        <v>13108000</v>
      </c>
      <c r="U222" s="215"/>
      <c r="V222" s="215"/>
      <c r="W222" s="215"/>
      <c r="X222" s="214"/>
      <c r="Y222" s="213"/>
      <c r="Z222" s="213"/>
      <c r="AA222" s="212"/>
      <c r="AB222" s="184" t="s">
        <v>178</v>
      </c>
      <c r="AC222" s="211">
        <f>H222</f>
        <v>13108000</v>
      </c>
      <c r="AD222" s="211"/>
      <c r="AE222" s="179"/>
    </row>
    <row r="223" spans="1:33" s="152" customFormat="1" ht="30" x14ac:dyDescent="0.3">
      <c r="A223" s="852"/>
      <c r="B223" s="137">
        <v>202</v>
      </c>
      <c r="C223" s="222" t="s">
        <v>321</v>
      </c>
      <c r="D223" s="221" t="s">
        <v>320</v>
      </c>
      <c r="E223" s="220" t="s">
        <v>209</v>
      </c>
      <c r="F223" s="219">
        <v>42584</v>
      </c>
      <c r="G223" s="218" t="s">
        <v>319</v>
      </c>
      <c r="H223" s="241">
        <v>70783200</v>
      </c>
      <c r="I223" s="136"/>
      <c r="J223" s="136">
        <f>H223*10%</f>
        <v>7078320</v>
      </c>
      <c r="K223" s="136">
        <f>H223*2%</f>
        <v>1415664</v>
      </c>
      <c r="L223" s="153">
        <f>H223+J223</f>
        <v>77861520</v>
      </c>
      <c r="M223" s="135">
        <f>H223+J223-K223</f>
        <v>76445856</v>
      </c>
      <c r="N223" s="216" t="s">
        <v>180</v>
      </c>
      <c r="O223" s="216" t="s">
        <v>199</v>
      </c>
      <c r="P223" s="213"/>
      <c r="Q223" s="215"/>
      <c r="R223" s="215"/>
      <c r="S223" s="215"/>
      <c r="T223" s="215">
        <f>H223</f>
        <v>70783200</v>
      </c>
      <c r="U223" s="215"/>
      <c r="V223" s="215"/>
      <c r="W223" s="215"/>
      <c r="X223" s="214"/>
      <c r="Y223" s="213"/>
      <c r="Z223" s="213"/>
      <c r="AA223" s="212"/>
      <c r="AB223" s="184" t="s">
        <v>178</v>
      </c>
      <c r="AC223" s="211">
        <f>H223</f>
        <v>70783200</v>
      </c>
      <c r="AD223" s="211"/>
      <c r="AE223" s="179"/>
    </row>
    <row r="224" spans="1:33" s="152" customFormat="1" x14ac:dyDescent="0.3">
      <c r="A224" s="852"/>
      <c r="B224" s="137">
        <v>203</v>
      </c>
      <c r="C224" s="141" t="s">
        <v>37</v>
      </c>
      <c r="D224" s="140" t="s">
        <v>201</v>
      </c>
      <c r="E224" s="220" t="s">
        <v>318</v>
      </c>
      <c r="F224" s="219">
        <v>42584</v>
      </c>
      <c r="G224" s="218" t="s">
        <v>317</v>
      </c>
      <c r="H224" s="250">
        <v>84000000</v>
      </c>
      <c r="I224" s="136"/>
      <c r="J224" s="136">
        <f>H224*10%</f>
        <v>8400000</v>
      </c>
      <c r="K224" s="136">
        <f>H224*2%</f>
        <v>1680000</v>
      </c>
      <c r="L224" s="153">
        <f>H224+J224</f>
        <v>92400000</v>
      </c>
      <c r="M224" s="135">
        <f>H224+J224-K224</f>
        <v>90720000</v>
      </c>
      <c r="N224" s="134" t="s">
        <v>180</v>
      </c>
      <c r="O224" s="134" t="s">
        <v>199</v>
      </c>
      <c r="P224" s="133"/>
      <c r="Q224" s="226"/>
      <c r="R224" s="226">
        <f>H224</f>
        <v>84000000</v>
      </c>
      <c r="S224" s="226"/>
      <c r="T224" s="226"/>
      <c r="U224" s="226"/>
      <c r="V224" s="289"/>
      <c r="W224" s="288"/>
      <c r="X224" s="225"/>
      <c r="Y224" s="225"/>
      <c r="Z224" s="287"/>
      <c r="AA224" s="286"/>
      <c r="AB224" s="184" t="s">
        <v>178</v>
      </c>
      <c r="AC224" s="211">
        <f>H224</f>
        <v>84000000</v>
      </c>
      <c r="AD224" s="211"/>
      <c r="AE224" s="229"/>
    </row>
    <row r="225" spans="1:31" s="152" customFormat="1" x14ac:dyDescent="0.3">
      <c r="A225" s="852"/>
      <c r="B225" s="137">
        <v>204</v>
      </c>
      <c r="C225" s="239" t="s">
        <v>207</v>
      </c>
      <c r="D225" s="238" t="s">
        <v>236</v>
      </c>
      <c r="E225" s="145">
        <v>42552</v>
      </c>
      <c r="F225" s="219">
        <v>42584</v>
      </c>
      <c r="G225" s="218" t="s">
        <v>316</v>
      </c>
      <c r="H225" s="250">
        <v>5243200</v>
      </c>
      <c r="I225" s="136"/>
      <c r="J225" s="136">
        <v>2250000</v>
      </c>
      <c r="K225" s="136">
        <f>H225*2%</f>
        <v>104864</v>
      </c>
      <c r="L225" s="153">
        <f>H225+J225</f>
        <v>7493200</v>
      </c>
      <c r="M225" s="135">
        <f>H225+J225-K225</f>
        <v>7388336</v>
      </c>
      <c r="N225" s="237" t="s">
        <v>180</v>
      </c>
      <c r="O225" s="134" t="s">
        <v>199</v>
      </c>
      <c r="P225" s="133"/>
      <c r="Q225" s="236">
        <f>H225</f>
        <v>5243200</v>
      </c>
      <c r="R225" s="236"/>
      <c r="S225" s="236"/>
      <c r="T225" s="236"/>
      <c r="U225" s="236"/>
      <c r="V225" s="236"/>
      <c r="W225" s="236"/>
      <c r="X225" s="235"/>
      <c r="Y225" s="235"/>
      <c r="Z225" s="235"/>
      <c r="AA225" s="234"/>
      <c r="AB225" s="256" t="s">
        <v>249</v>
      </c>
      <c r="AC225" s="233">
        <f>H225</f>
        <v>5243200</v>
      </c>
      <c r="AD225" s="233"/>
      <c r="AE225" s="232"/>
    </row>
    <row r="226" spans="1:31" s="152" customFormat="1" x14ac:dyDescent="0.3">
      <c r="A226" s="852"/>
      <c r="B226" s="137">
        <v>205</v>
      </c>
      <c r="C226" s="141" t="s">
        <v>53</v>
      </c>
      <c r="D226" s="140" t="s">
        <v>206</v>
      </c>
      <c r="E226" s="240" t="s">
        <v>310</v>
      </c>
      <c r="F226" s="219">
        <v>42584</v>
      </c>
      <c r="G226" s="218" t="s">
        <v>315</v>
      </c>
      <c r="H226" s="250">
        <v>17695800</v>
      </c>
      <c r="I226" s="136"/>
      <c r="J226" s="153"/>
      <c r="K226" s="153"/>
      <c r="L226" s="153"/>
      <c r="M226" s="231"/>
      <c r="N226" s="131" t="s">
        <v>180</v>
      </c>
      <c r="O226" s="131" t="s">
        <v>199</v>
      </c>
      <c r="P226" s="132"/>
      <c r="Q226" s="132">
        <f>H226</f>
        <v>17695800</v>
      </c>
      <c r="R226" s="132"/>
      <c r="S226" s="132"/>
      <c r="T226" s="132"/>
      <c r="U226" s="132"/>
      <c r="V226" s="132"/>
      <c r="W226" s="132"/>
      <c r="X226" s="132"/>
      <c r="Y226" s="132"/>
      <c r="Z226" s="132"/>
      <c r="AA226" s="131"/>
      <c r="AB226" s="256" t="s">
        <v>249</v>
      </c>
      <c r="AC226" s="211"/>
      <c r="AD226" s="211"/>
      <c r="AE226" s="229"/>
    </row>
    <row r="227" spans="1:31" s="152" customFormat="1" x14ac:dyDescent="0.3">
      <c r="A227" s="852"/>
      <c r="B227" s="137">
        <v>206</v>
      </c>
      <c r="C227" s="141" t="s">
        <v>53</v>
      </c>
      <c r="D227" s="140" t="s">
        <v>206</v>
      </c>
      <c r="E227" s="240" t="s">
        <v>220</v>
      </c>
      <c r="F227" s="219">
        <v>42584</v>
      </c>
      <c r="G227" s="218" t="s">
        <v>315</v>
      </c>
      <c r="H227" s="250">
        <v>17695800</v>
      </c>
      <c r="I227" s="136"/>
      <c r="J227" s="153"/>
      <c r="K227" s="153"/>
      <c r="L227" s="153"/>
      <c r="M227" s="231"/>
      <c r="N227" s="131" t="s">
        <v>180</v>
      </c>
      <c r="O227" s="131" t="s">
        <v>199</v>
      </c>
      <c r="P227" s="132"/>
      <c r="Q227" s="132">
        <f>H227</f>
        <v>17695800</v>
      </c>
      <c r="R227" s="132"/>
      <c r="S227" s="132"/>
      <c r="T227" s="132"/>
      <c r="U227" s="132"/>
      <c r="V227" s="132"/>
      <c r="W227" s="132"/>
      <c r="X227" s="132"/>
      <c r="Y227" s="132"/>
      <c r="Z227" s="132"/>
      <c r="AA227" s="131"/>
      <c r="AB227" s="256" t="s">
        <v>249</v>
      </c>
      <c r="AC227" s="211"/>
      <c r="AD227" s="211"/>
      <c r="AE227" s="229"/>
    </row>
    <row r="228" spans="1:31" s="152" customFormat="1" x14ac:dyDescent="0.3">
      <c r="A228" s="852"/>
      <c r="B228" s="137">
        <v>207</v>
      </c>
      <c r="C228" s="222" t="s">
        <v>202</v>
      </c>
      <c r="D228" s="221" t="s">
        <v>314</v>
      </c>
      <c r="E228" s="240">
        <v>42583</v>
      </c>
      <c r="F228" s="219">
        <v>42586</v>
      </c>
      <c r="G228" s="218" t="s">
        <v>313</v>
      </c>
      <c r="H228" s="241">
        <v>3936000</v>
      </c>
      <c r="I228" s="136"/>
      <c r="J228" s="136">
        <f>H228*10%</f>
        <v>393600</v>
      </c>
      <c r="K228" s="136">
        <f>H228*2%</f>
        <v>78720</v>
      </c>
      <c r="L228" s="153">
        <f>H228+J228</f>
        <v>4329600</v>
      </c>
      <c r="M228" s="135">
        <f>H228+J228-K228</f>
        <v>4250880</v>
      </c>
      <c r="N228" s="216" t="s">
        <v>180</v>
      </c>
      <c r="O228" s="216" t="s">
        <v>199</v>
      </c>
      <c r="P228" s="213">
        <f>H228</f>
        <v>3936000</v>
      </c>
      <c r="Q228" s="215"/>
      <c r="R228" s="215"/>
      <c r="S228" s="215"/>
      <c r="T228" s="215"/>
      <c r="U228" s="215"/>
      <c r="V228" s="215"/>
      <c r="W228" s="215"/>
      <c r="X228" s="214"/>
      <c r="Y228" s="213"/>
      <c r="Z228" s="213"/>
      <c r="AA228" s="212"/>
      <c r="AB228" s="184" t="s">
        <v>178</v>
      </c>
      <c r="AC228" s="211">
        <f>H228</f>
        <v>3936000</v>
      </c>
      <c r="AD228" s="211"/>
      <c r="AE228" s="229"/>
    </row>
    <row r="229" spans="1:31" s="152" customFormat="1" x14ac:dyDescent="0.3">
      <c r="A229" s="852"/>
      <c r="B229" s="137">
        <v>208</v>
      </c>
      <c r="C229" s="141" t="s">
        <v>202</v>
      </c>
      <c r="D229" s="140" t="s">
        <v>201</v>
      </c>
      <c r="E229" s="240">
        <v>42583</v>
      </c>
      <c r="F229" s="219">
        <v>42586</v>
      </c>
      <c r="G229" s="218" t="s">
        <v>312</v>
      </c>
      <c r="H229" s="250">
        <v>13120000</v>
      </c>
      <c r="I229" s="136"/>
      <c r="J229" s="153"/>
      <c r="K229" s="153"/>
      <c r="L229" s="153"/>
      <c r="M229" s="231"/>
      <c r="N229" s="131" t="s">
        <v>180</v>
      </c>
      <c r="O229" s="216" t="s">
        <v>199</v>
      </c>
      <c r="P229" s="132">
        <f>H229</f>
        <v>13120000</v>
      </c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1"/>
      <c r="AB229" s="184" t="s">
        <v>178</v>
      </c>
      <c r="AC229" s="211">
        <f>H229</f>
        <v>13120000</v>
      </c>
      <c r="AD229" s="211"/>
      <c r="AE229" s="230"/>
    </row>
    <row r="230" spans="1:31" s="152" customFormat="1" x14ac:dyDescent="0.3">
      <c r="A230" s="852"/>
      <c r="B230" s="137">
        <v>209</v>
      </c>
      <c r="C230" s="141" t="s">
        <v>311</v>
      </c>
      <c r="D230" s="140" t="s">
        <v>190</v>
      </c>
      <c r="E230" s="253" t="s">
        <v>310</v>
      </c>
      <c r="F230" s="219">
        <v>42586</v>
      </c>
      <c r="G230" s="218" t="s">
        <v>309</v>
      </c>
      <c r="H230" s="250">
        <v>51168000</v>
      </c>
      <c r="I230" s="136"/>
      <c r="J230" s="136">
        <f>H230*10%</f>
        <v>5116800</v>
      </c>
      <c r="K230" s="136">
        <f>H230*2%</f>
        <v>1023360</v>
      </c>
      <c r="L230" s="153">
        <f>H230+J230</f>
        <v>56284800</v>
      </c>
      <c r="M230" s="135">
        <f>H230+J230-K230</f>
        <v>55261440</v>
      </c>
      <c r="N230" s="134" t="s">
        <v>180</v>
      </c>
      <c r="O230" s="134" t="s">
        <v>186</v>
      </c>
      <c r="P230" s="133">
        <f>H230</f>
        <v>51168000</v>
      </c>
      <c r="Q230" s="133"/>
      <c r="R230" s="133"/>
      <c r="S230" s="133"/>
      <c r="T230" s="133"/>
      <c r="U230" s="133"/>
      <c r="V230" s="133"/>
      <c r="W230" s="133"/>
      <c r="X230" s="132"/>
      <c r="Y230" s="132"/>
      <c r="Z230" s="132"/>
      <c r="AA230" s="131"/>
      <c r="AB230" s="184" t="s">
        <v>178</v>
      </c>
      <c r="AC230" s="211">
        <f>H230</f>
        <v>51168000</v>
      </c>
      <c r="AD230" s="211"/>
      <c r="AE230" s="229"/>
    </row>
    <row r="231" spans="1:31" s="152" customFormat="1" x14ac:dyDescent="0.3">
      <c r="A231" s="852"/>
      <c r="B231" s="137">
        <v>210</v>
      </c>
      <c r="C231" s="222" t="s">
        <v>307</v>
      </c>
      <c r="D231" s="221" t="s">
        <v>263</v>
      </c>
      <c r="E231" s="220">
        <v>42522</v>
      </c>
      <c r="F231" s="219">
        <v>42590</v>
      </c>
      <c r="G231" s="218" t="s">
        <v>308</v>
      </c>
      <c r="H231" s="241">
        <v>16420983</v>
      </c>
      <c r="I231" s="136"/>
      <c r="J231" s="136">
        <f>H231*10%</f>
        <v>1642098.3</v>
      </c>
      <c r="K231" s="136">
        <f>H231*2%</f>
        <v>328419.66000000003</v>
      </c>
      <c r="L231" s="153">
        <f>H231+J231</f>
        <v>18063081.300000001</v>
      </c>
      <c r="M231" s="135">
        <f>H231+J231-K231</f>
        <v>17734661.640000001</v>
      </c>
      <c r="N231" s="216" t="s">
        <v>180</v>
      </c>
      <c r="O231" s="216" t="s">
        <v>227</v>
      </c>
      <c r="P231" s="213"/>
      <c r="Q231" s="215"/>
      <c r="R231" s="215"/>
      <c r="S231" s="215">
        <f>H231</f>
        <v>16420983</v>
      </c>
      <c r="T231" s="215"/>
      <c r="U231" s="215"/>
      <c r="V231" s="215"/>
      <c r="W231" s="215"/>
      <c r="X231" s="214"/>
      <c r="Y231" s="213"/>
      <c r="Z231" s="213"/>
      <c r="AA231" s="212"/>
      <c r="AB231" s="184" t="s">
        <v>178</v>
      </c>
      <c r="AC231" s="211">
        <f>H231</f>
        <v>16420983</v>
      </c>
      <c r="AD231" s="211"/>
      <c r="AE231" s="210"/>
    </row>
    <row r="232" spans="1:31" s="152" customFormat="1" x14ac:dyDescent="0.3">
      <c r="A232" s="852"/>
      <c r="B232" s="137">
        <v>211</v>
      </c>
      <c r="C232" s="222" t="s">
        <v>307</v>
      </c>
      <c r="D232" s="221" t="s">
        <v>263</v>
      </c>
      <c r="E232" s="220">
        <v>42552</v>
      </c>
      <c r="F232" s="219">
        <v>42590</v>
      </c>
      <c r="G232" s="218" t="s">
        <v>306</v>
      </c>
      <c r="H232" s="241">
        <v>16172733</v>
      </c>
      <c r="I232" s="136"/>
      <c r="J232" s="136">
        <f>H232*10%</f>
        <v>1617273.3</v>
      </c>
      <c r="K232" s="136">
        <f>H232*2%</f>
        <v>323454.66000000003</v>
      </c>
      <c r="L232" s="153">
        <f>H232+J232</f>
        <v>17790006.300000001</v>
      </c>
      <c r="M232" s="135">
        <f>H232+J232-K232</f>
        <v>17466551.640000001</v>
      </c>
      <c r="N232" s="216" t="s">
        <v>180</v>
      </c>
      <c r="O232" s="216" t="s">
        <v>227</v>
      </c>
      <c r="P232" s="213"/>
      <c r="Q232" s="215"/>
      <c r="R232" s="215"/>
      <c r="S232" s="215">
        <f>H232</f>
        <v>16172733</v>
      </c>
      <c r="T232" s="215"/>
      <c r="U232" s="215"/>
      <c r="V232" s="215"/>
      <c r="W232" s="215"/>
      <c r="X232" s="214"/>
      <c r="Y232" s="213"/>
      <c r="Z232" s="213"/>
      <c r="AA232" s="212"/>
      <c r="AB232" s="184" t="s">
        <v>178</v>
      </c>
      <c r="AC232" s="211">
        <f>H232</f>
        <v>16172733</v>
      </c>
      <c r="AD232" s="211"/>
      <c r="AE232" s="210"/>
    </row>
    <row r="233" spans="1:31" s="152" customFormat="1" x14ac:dyDescent="0.3">
      <c r="A233" s="852"/>
      <c r="B233" s="137">
        <v>212</v>
      </c>
      <c r="C233" s="222" t="s">
        <v>259</v>
      </c>
      <c r="D233" s="221" t="s">
        <v>305</v>
      </c>
      <c r="E233" s="220">
        <v>42583</v>
      </c>
      <c r="F233" s="219">
        <v>42592</v>
      </c>
      <c r="G233" s="218" t="s">
        <v>304</v>
      </c>
      <c r="H233" s="241">
        <v>33750000</v>
      </c>
      <c r="I233" s="285"/>
      <c r="J233" s="285"/>
      <c r="K233" s="285"/>
      <c r="L233" s="284"/>
      <c r="M233" s="283"/>
      <c r="N233" s="282" t="s">
        <v>180</v>
      </c>
      <c r="O233" s="216" t="s">
        <v>199</v>
      </c>
      <c r="P233" s="213"/>
      <c r="Q233" s="281">
        <f>H233</f>
        <v>33750000</v>
      </c>
      <c r="R233" s="281"/>
      <c r="S233" s="281"/>
      <c r="T233" s="281"/>
      <c r="U233" s="281"/>
      <c r="V233" s="281"/>
      <c r="W233" s="281"/>
      <c r="X233" s="268"/>
      <c r="Y233" s="268"/>
      <c r="Z233" s="268"/>
      <c r="AA233" s="212"/>
      <c r="AB233" s="184" t="s">
        <v>178</v>
      </c>
      <c r="AC233" s="233"/>
      <c r="AD233" s="233"/>
      <c r="AE233" s="161"/>
    </row>
    <row r="234" spans="1:31" s="152" customFormat="1" x14ac:dyDescent="0.3">
      <c r="A234" s="852"/>
      <c r="B234" s="137">
        <v>213</v>
      </c>
      <c r="C234" s="141" t="s">
        <v>110</v>
      </c>
      <c r="D234" s="140" t="s">
        <v>263</v>
      </c>
      <c r="E234" s="220">
        <v>42583</v>
      </c>
      <c r="F234" s="219">
        <v>42593</v>
      </c>
      <c r="G234" s="218" t="s">
        <v>303</v>
      </c>
      <c r="H234" s="250">
        <v>10496800</v>
      </c>
      <c r="I234" s="136"/>
      <c r="J234" s="153"/>
      <c r="K234" s="153"/>
      <c r="L234" s="153"/>
      <c r="M234" s="231"/>
      <c r="N234" s="131" t="s">
        <v>180</v>
      </c>
      <c r="O234" s="255" t="s">
        <v>227</v>
      </c>
      <c r="P234" s="244"/>
      <c r="Q234" s="244"/>
      <c r="R234" s="244"/>
      <c r="S234" s="244"/>
      <c r="T234" s="244">
        <f>H234</f>
        <v>10496800</v>
      </c>
      <c r="U234" s="244"/>
      <c r="V234" s="244"/>
      <c r="W234" s="244"/>
      <c r="X234" s="205"/>
      <c r="Y234" s="205"/>
      <c r="Z234" s="205"/>
      <c r="AA234" s="204"/>
      <c r="AB234" s="184" t="s">
        <v>178</v>
      </c>
      <c r="AC234" s="211"/>
      <c r="AD234" s="211"/>
      <c r="AE234" s="251"/>
    </row>
    <row r="235" spans="1:31" s="152" customFormat="1" x14ac:dyDescent="0.3">
      <c r="A235" s="852"/>
      <c r="B235" s="137">
        <v>214</v>
      </c>
      <c r="C235" s="141" t="s">
        <v>110</v>
      </c>
      <c r="D235" s="140" t="s">
        <v>302</v>
      </c>
      <c r="E235" s="220">
        <v>42583</v>
      </c>
      <c r="F235" s="219">
        <v>42593</v>
      </c>
      <c r="G235" s="218" t="s">
        <v>299</v>
      </c>
      <c r="H235" s="250">
        <v>13500000</v>
      </c>
      <c r="I235" s="136"/>
      <c r="J235" s="153"/>
      <c r="K235" s="153"/>
      <c r="L235" s="153"/>
      <c r="M235" s="231"/>
      <c r="N235" s="131" t="s">
        <v>180</v>
      </c>
      <c r="O235" s="252" t="s">
        <v>199</v>
      </c>
      <c r="P235" s="244"/>
      <c r="Q235" s="244"/>
      <c r="R235" s="244"/>
      <c r="S235" s="244"/>
      <c r="T235" s="244">
        <f>H235</f>
        <v>13500000</v>
      </c>
      <c r="U235" s="244"/>
      <c r="V235" s="244"/>
      <c r="W235" s="244"/>
      <c r="X235" s="205"/>
      <c r="Y235" s="205"/>
      <c r="Z235" s="205"/>
      <c r="AA235" s="204"/>
      <c r="AB235" s="256" t="s">
        <v>249</v>
      </c>
      <c r="AC235" s="211"/>
      <c r="AD235" s="211"/>
      <c r="AE235" s="251"/>
    </row>
    <row r="236" spans="1:31" s="152" customFormat="1" x14ac:dyDescent="0.3">
      <c r="A236" s="852"/>
      <c r="B236" s="137">
        <v>215</v>
      </c>
      <c r="C236" s="141" t="s">
        <v>110</v>
      </c>
      <c r="D236" s="221" t="s">
        <v>301</v>
      </c>
      <c r="E236" s="220">
        <v>42583</v>
      </c>
      <c r="F236" s="219">
        <v>42593</v>
      </c>
      <c r="G236" s="218" t="s">
        <v>299</v>
      </c>
      <c r="H236" s="250">
        <v>21600000</v>
      </c>
      <c r="I236" s="136"/>
      <c r="J236" s="153"/>
      <c r="K236" s="153"/>
      <c r="L236" s="153"/>
      <c r="M236" s="231"/>
      <c r="N236" s="131" t="s">
        <v>180</v>
      </c>
      <c r="O236" s="252" t="s">
        <v>199</v>
      </c>
      <c r="P236" s="244"/>
      <c r="Q236" s="244"/>
      <c r="R236" s="244"/>
      <c r="S236" s="244"/>
      <c r="T236" s="244">
        <f>H236</f>
        <v>21600000</v>
      </c>
      <c r="U236" s="244"/>
      <c r="V236" s="244"/>
      <c r="W236" s="244"/>
      <c r="X236" s="205"/>
      <c r="Y236" s="205"/>
      <c r="Z236" s="205"/>
      <c r="AA236" s="204"/>
      <c r="AB236" s="256" t="s">
        <v>249</v>
      </c>
      <c r="AC236" s="211"/>
      <c r="AD236" s="211"/>
      <c r="AE236" s="251"/>
    </row>
    <row r="237" spans="1:31" s="152" customFormat="1" x14ac:dyDescent="0.3">
      <c r="A237" s="852"/>
      <c r="B237" s="137">
        <v>216</v>
      </c>
      <c r="C237" s="141" t="s">
        <v>110</v>
      </c>
      <c r="D237" s="221" t="s">
        <v>300</v>
      </c>
      <c r="E237" s="220">
        <v>42583</v>
      </c>
      <c r="F237" s="219">
        <v>42593</v>
      </c>
      <c r="G237" s="218" t="s">
        <v>299</v>
      </c>
      <c r="H237" s="250">
        <v>5400000</v>
      </c>
      <c r="I237" s="136"/>
      <c r="J237" s="153"/>
      <c r="K237" s="153"/>
      <c r="L237" s="153"/>
      <c r="M237" s="231"/>
      <c r="N237" s="131" t="s">
        <v>180</v>
      </c>
      <c r="O237" s="252" t="s">
        <v>199</v>
      </c>
      <c r="P237" s="244"/>
      <c r="Q237" s="244"/>
      <c r="R237" s="244"/>
      <c r="S237" s="244"/>
      <c r="T237" s="244">
        <f>H237</f>
        <v>5400000</v>
      </c>
      <c r="U237" s="244"/>
      <c r="V237" s="244"/>
      <c r="W237" s="244"/>
      <c r="X237" s="205"/>
      <c r="Y237" s="205"/>
      <c r="Z237" s="205"/>
      <c r="AA237" s="204"/>
      <c r="AB237" s="256" t="s">
        <v>249</v>
      </c>
      <c r="AC237" s="211"/>
      <c r="AD237" s="211"/>
      <c r="AE237" s="251"/>
    </row>
    <row r="238" spans="1:31" s="152" customFormat="1" x14ac:dyDescent="0.3">
      <c r="A238" s="852"/>
      <c r="B238" s="137">
        <v>217</v>
      </c>
      <c r="C238" s="222" t="s">
        <v>298</v>
      </c>
      <c r="D238" s="221" t="s">
        <v>201</v>
      </c>
      <c r="E238" s="220" t="s">
        <v>214</v>
      </c>
      <c r="F238" s="280">
        <v>42601</v>
      </c>
      <c r="G238" s="218" t="s">
        <v>297</v>
      </c>
      <c r="H238" s="241">
        <v>82569091</v>
      </c>
      <c r="I238" s="136"/>
      <c r="J238" s="136">
        <f>H238*10%</f>
        <v>8256909.1000000006</v>
      </c>
      <c r="K238" s="136">
        <f>H238*2%</f>
        <v>1651381.82</v>
      </c>
      <c r="L238" s="153">
        <f>H238+J238</f>
        <v>90826000.099999994</v>
      </c>
      <c r="M238" s="135">
        <f>H238+J238-K238</f>
        <v>89174618.280000001</v>
      </c>
      <c r="N238" s="216" t="s">
        <v>180</v>
      </c>
      <c r="O238" s="216" t="s">
        <v>199</v>
      </c>
      <c r="P238" s="213"/>
      <c r="Q238" s="215">
        <f>H238</f>
        <v>82569091</v>
      </c>
      <c r="R238" s="215"/>
      <c r="S238" s="215"/>
      <c r="T238" s="215"/>
      <c r="U238" s="215"/>
      <c r="V238" s="215"/>
      <c r="W238" s="215"/>
      <c r="X238" s="214"/>
      <c r="Y238" s="213"/>
      <c r="Z238" s="213"/>
      <c r="AA238" s="212"/>
      <c r="AB238" s="184" t="s">
        <v>178</v>
      </c>
      <c r="AC238" s="211"/>
      <c r="AD238" s="211"/>
      <c r="AE238" s="210"/>
    </row>
    <row r="239" spans="1:31" s="152" customFormat="1" x14ac:dyDescent="0.3">
      <c r="A239" s="852"/>
      <c r="B239" s="137">
        <v>218</v>
      </c>
      <c r="C239" s="278" t="s">
        <v>290</v>
      </c>
      <c r="D239" s="277" t="s">
        <v>296</v>
      </c>
      <c r="E239" s="240" t="s">
        <v>288</v>
      </c>
      <c r="F239" s="219">
        <v>42604</v>
      </c>
      <c r="G239" s="218" t="s">
        <v>295</v>
      </c>
      <c r="H239" s="250">
        <v>8051544</v>
      </c>
      <c r="I239" s="275"/>
      <c r="J239" s="275"/>
      <c r="K239" s="275"/>
      <c r="L239" s="274"/>
      <c r="M239" s="273"/>
      <c r="N239" s="272" t="s">
        <v>180</v>
      </c>
      <c r="O239" s="272" t="s">
        <v>199</v>
      </c>
      <c r="P239" s="271"/>
      <c r="Q239" s="270"/>
      <c r="R239" s="270"/>
      <c r="S239" s="270"/>
      <c r="T239" s="270">
        <f>H239</f>
        <v>8051544</v>
      </c>
      <c r="U239" s="270"/>
      <c r="V239" s="270"/>
      <c r="W239" s="270"/>
      <c r="X239" s="269"/>
      <c r="Y239" s="268"/>
      <c r="Z239" s="268"/>
      <c r="AA239" s="267"/>
      <c r="AB239" s="184" t="s">
        <v>178</v>
      </c>
      <c r="AC239" s="233"/>
      <c r="AD239" s="233"/>
      <c r="AE239" s="232"/>
    </row>
    <row r="240" spans="1:31" s="152" customFormat="1" x14ac:dyDescent="0.3">
      <c r="A240" s="852"/>
      <c r="B240" s="137">
        <v>219</v>
      </c>
      <c r="C240" s="239" t="s">
        <v>256</v>
      </c>
      <c r="D240" s="238" t="s">
        <v>247</v>
      </c>
      <c r="E240" s="139" t="s">
        <v>294</v>
      </c>
      <c r="F240" s="219">
        <v>42604</v>
      </c>
      <c r="G240" s="218" t="s">
        <v>293</v>
      </c>
      <c r="H240" s="136">
        <v>11980000</v>
      </c>
      <c r="I240" s="136"/>
      <c r="J240" s="136">
        <v>2250000</v>
      </c>
      <c r="K240" s="136">
        <f>H240*2%</f>
        <v>239600</v>
      </c>
      <c r="L240" s="153">
        <f>H240+J240</f>
        <v>14230000</v>
      </c>
      <c r="M240" s="135">
        <f>H240+J240-K240</f>
        <v>13990400</v>
      </c>
      <c r="N240" s="255" t="s">
        <v>222</v>
      </c>
      <c r="O240" s="255" t="s">
        <v>221</v>
      </c>
      <c r="P240" s="236"/>
      <c r="Q240" s="236"/>
      <c r="R240" s="236"/>
      <c r="S240" s="236"/>
      <c r="T240" s="236"/>
      <c r="U240" s="236"/>
      <c r="V240" s="236"/>
      <c r="W240" s="236">
        <f>H240</f>
        <v>11980000</v>
      </c>
      <c r="X240" s="235"/>
      <c r="Y240" s="235"/>
      <c r="Z240" s="235"/>
      <c r="AA240" s="254"/>
      <c r="AB240" s="184" t="s">
        <v>178</v>
      </c>
      <c r="AC240" s="233">
        <f>H240</f>
        <v>11980000</v>
      </c>
      <c r="AD240" s="233"/>
      <c r="AE240" s="232"/>
    </row>
    <row r="241" spans="1:33" s="152" customFormat="1" x14ac:dyDescent="0.3">
      <c r="A241" s="852"/>
      <c r="B241" s="137">
        <v>220</v>
      </c>
      <c r="C241" s="239" t="s">
        <v>248</v>
      </c>
      <c r="D241" s="238" t="s">
        <v>247</v>
      </c>
      <c r="E241" s="139" t="s">
        <v>292</v>
      </c>
      <c r="F241" s="219">
        <v>42604</v>
      </c>
      <c r="G241" s="218" t="s">
        <v>291</v>
      </c>
      <c r="H241" s="136">
        <v>27600000</v>
      </c>
      <c r="I241" s="136"/>
      <c r="J241" s="136">
        <v>2250000</v>
      </c>
      <c r="K241" s="136">
        <f>H241*2%</f>
        <v>552000</v>
      </c>
      <c r="L241" s="153">
        <f>H241+J241</f>
        <v>29850000</v>
      </c>
      <c r="M241" s="135">
        <f>H241+J241-K241</f>
        <v>29298000</v>
      </c>
      <c r="N241" s="255" t="s">
        <v>228</v>
      </c>
      <c r="O241" s="255" t="s">
        <v>227</v>
      </c>
      <c r="P241" s="236"/>
      <c r="Q241" s="236"/>
      <c r="R241" s="236"/>
      <c r="S241" s="236"/>
      <c r="T241" s="236"/>
      <c r="U241" s="236"/>
      <c r="V241" s="236">
        <f>H241</f>
        <v>27600000</v>
      </c>
      <c r="W241" s="236"/>
      <c r="X241" s="235"/>
      <c r="Y241" s="235"/>
      <c r="Z241" s="235"/>
      <c r="AA241" s="254"/>
      <c r="AB241" s="184" t="s">
        <v>178</v>
      </c>
      <c r="AC241" s="233">
        <f>H241</f>
        <v>27600000</v>
      </c>
      <c r="AD241" s="233"/>
      <c r="AE241" s="232"/>
    </row>
    <row r="242" spans="1:33" s="152" customFormat="1" x14ac:dyDescent="0.3">
      <c r="A242" s="852"/>
      <c r="B242" s="137">
        <v>221</v>
      </c>
      <c r="C242" s="278" t="s">
        <v>290</v>
      </c>
      <c r="D242" s="277" t="s">
        <v>289</v>
      </c>
      <c r="E242" s="240" t="s">
        <v>288</v>
      </c>
      <c r="F242" s="219">
        <v>42604</v>
      </c>
      <c r="G242" s="218" t="s">
        <v>287</v>
      </c>
      <c r="H242" s="250">
        <v>8051544</v>
      </c>
      <c r="I242" s="275"/>
      <c r="J242" s="275"/>
      <c r="K242" s="275"/>
      <c r="L242" s="274"/>
      <c r="M242" s="273"/>
      <c r="N242" s="272" t="s">
        <v>180</v>
      </c>
      <c r="O242" s="272" t="s">
        <v>199</v>
      </c>
      <c r="P242" s="271"/>
      <c r="Q242" s="270"/>
      <c r="R242" s="270"/>
      <c r="S242" s="270"/>
      <c r="T242" s="270">
        <f>H242</f>
        <v>8051544</v>
      </c>
      <c r="U242" s="270"/>
      <c r="V242" s="270"/>
      <c r="W242" s="270"/>
      <c r="X242" s="269"/>
      <c r="Y242" s="268"/>
      <c r="Z242" s="268"/>
      <c r="AA242" s="267"/>
      <c r="AB242" s="256" t="s">
        <v>249</v>
      </c>
      <c r="AC242" s="233"/>
      <c r="AD242" s="233"/>
      <c r="AE242" s="232"/>
    </row>
    <row r="243" spans="1:33" s="152" customFormat="1" x14ac:dyDescent="0.3">
      <c r="A243" s="852"/>
      <c r="B243" s="218">
        <v>222</v>
      </c>
      <c r="C243" s="278" t="s">
        <v>283</v>
      </c>
      <c r="D243" s="221" t="s">
        <v>286</v>
      </c>
      <c r="E243" s="220"/>
      <c r="F243" s="219">
        <v>42606</v>
      </c>
      <c r="G243" s="218" t="s">
        <v>281</v>
      </c>
      <c r="H243" s="241">
        <v>13000000</v>
      </c>
      <c r="I243" s="275"/>
      <c r="J243" s="275"/>
      <c r="K243" s="275"/>
      <c r="L243" s="274"/>
      <c r="M243" s="273"/>
      <c r="N243" s="272" t="s">
        <v>180</v>
      </c>
      <c r="O243" s="272" t="s">
        <v>199</v>
      </c>
      <c r="P243" s="279"/>
      <c r="Q243" s="270"/>
      <c r="R243" s="270"/>
      <c r="S243" s="270"/>
      <c r="T243" s="270">
        <f>H243</f>
        <v>13000000</v>
      </c>
      <c r="U243" s="270"/>
      <c r="V243" s="270"/>
      <c r="W243" s="270"/>
      <c r="X243" s="269"/>
      <c r="Y243" s="268"/>
      <c r="Z243" s="268"/>
      <c r="AA243" s="267"/>
      <c r="AB243" s="184" t="s">
        <v>178</v>
      </c>
      <c r="AC243" s="233"/>
      <c r="AD243" s="233"/>
      <c r="AE243" s="232"/>
    </row>
    <row r="244" spans="1:33" s="152" customFormat="1" x14ac:dyDescent="0.3">
      <c r="A244" s="852"/>
      <c r="B244" s="218">
        <v>223</v>
      </c>
      <c r="C244" s="278" t="s">
        <v>283</v>
      </c>
      <c r="D244" s="221" t="s">
        <v>285</v>
      </c>
      <c r="E244" s="220" t="s">
        <v>284</v>
      </c>
      <c r="F244" s="219">
        <v>42606</v>
      </c>
      <c r="G244" s="218" t="s">
        <v>281</v>
      </c>
      <c r="H244" s="241">
        <v>23400000</v>
      </c>
      <c r="I244" s="275"/>
      <c r="J244" s="275"/>
      <c r="K244" s="275"/>
      <c r="L244" s="274"/>
      <c r="M244" s="273"/>
      <c r="N244" s="272" t="s">
        <v>180</v>
      </c>
      <c r="O244" s="272" t="s">
        <v>199</v>
      </c>
      <c r="P244" s="279"/>
      <c r="Q244" s="270"/>
      <c r="R244" s="270"/>
      <c r="S244" s="270"/>
      <c r="T244" s="270">
        <f>H244</f>
        <v>23400000</v>
      </c>
      <c r="U244" s="270"/>
      <c r="V244" s="270"/>
      <c r="W244" s="270"/>
      <c r="X244" s="269"/>
      <c r="Y244" s="268"/>
      <c r="Z244" s="268"/>
      <c r="AA244" s="267"/>
      <c r="AB244" s="184" t="s">
        <v>178</v>
      </c>
      <c r="AC244" s="233"/>
      <c r="AD244" s="233"/>
      <c r="AE244" s="232"/>
    </row>
    <row r="245" spans="1:33" s="152" customFormat="1" ht="30" x14ac:dyDescent="0.3">
      <c r="A245" s="852"/>
      <c r="B245" s="137">
        <v>224</v>
      </c>
      <c r="C245" s="278" t="s">
        <v>283</v>
      </c>
      <c r="D245" s="221" t="s">
        <v>282</v>
      </c>
      <c r="E245" s="220" t="s">
        <v>183</v>
      </c>
      <c r="F245" s="219">
        <v>42606</v>
      </c>
      <c r="G245" s="218" t="s">
        <v>281</v>
      </c>
      <c r="H245" s="241">
        <v>18850000</v>
      </c>
      <c r="I245" s="275"/>
      <c r="J245" s="275"/>
      <c r="K245" s="275"/>
      <c r="L245" s="274"/>
      <c r="M245" s="273"/>
      <c r="N245" s="272" t="s">
        <v>180</v>
      </c>
      <c r="O245" s="272" t="s">
        <v>199</v>
      </c>
      <c r="P245" s="279"/>
      <c r="Q245" s="270"/>
      <c r="R245" s="270"/>
      <c r="S245" s="270"/>
      <c r="T245" s="270">
        <f>H245</f>
        <v>18850000</v>
      </c>
      <c r="U245" s="270"/>
      <c r="V245" s="270"/>
      <c r="W245" s="270"/>
      <c r="X245" s="269"/>
      <c r="Y245" s="268"/>
      <c r="Z245" s="268"/>
      <c r="AA245" s="267"/>
      <c r="AB245" s="184" t="s">
        <v>178</v>
      </c>
      <c r="AC245" s="233"/>
      <c r="AD245" s="233"/>
      <c r="AE245" s="232"/>
    </row>
    <row r="246" spans="1:33" s="152" customFormat="1" x14ac:dyDescent="0.3">
      <c r="A246" s="852"/>
      <c r="B246" s="137">
        <v>225</v>
      </c>
      <c r="C246" s="222" t="s">
        <v>185</v>
      </c>
      <c r="D246" s="221" t="s">
        <v>184</v>
      </c>
      <c r="E246" s="220" t="s">
        <v>280</v>
      </c>
      <c r="F246" s="219">
        <v>42607</v>
      </c>
      <c r="G246" s="218" t="s">
        <v>279</v>
      </c>
      <c r="H246" s="241">
        <v>15894000</v>
      </c>
      <c r="I246" s="136"/>
      <c r="J246" s="136">
        <f>H246*10%</f>
        <v>1589400</v>
      </c>
      <c r="K246" s="136">
        <f>H246*2%</f>
        <v>317880</v>
      </c>
      <c r="L246" s="153">
        <f>H246+J246</f>
        <v>17483400</v>
      </c>
      <c r="M246" s="135">
        <f>H246+J246-K246</f>
        <v>17165520</v>
      </c>
      <c r="N246" s="216" t="s">
        <v>180</v>
      </c>
      <c r="O246" s="216" t="s">
        <v>179</v>
      </c>
      <c r="P246" s="213"/>
      <c r="Q246" s="215"/>
      <c r="R246" s="215"/>
      <c r="S246" s="215">
        <f>H246</f>
        <v>15894000</v>
      </c>
      <c r="T246" s="215"/>
      <c r="U246" s="215"/>
      <c r="V246" s="215"/>
      <c r="W246" s="215"/>
      <c r="X246" s="214"/>
      <c r="Y246" s="213"/>
      <c r="Z246" s="213"/>
      <c r="AA246" s="212"/>
      <c r="AB246" s="184" t="s">
        <v>178</v>
      </c>
      <c r="AC246" s="211">
        <f>H246</f>
        <v>15894000</v>
      </c>
      <c r="AD246" s="211"/>
      <c r="AE246" s="210"/>
    </row>
    <row r="247" spans="1:33" s="152" customFormat="1" x14ac:dyDescent="0.3">
      <c r="A247" s="852"/>
      <c r="B247" s="137">
        <v>226</v>
      </c>
      <c r="C247" s="278" t="s">
        <v>278</v>
      </c>
      <c r="D247" s="277" t="s">
        <v>258</v>
      </c>
      <c r="E247" s="276" t="s">
        <v>277</v>
      </c>
      <c r="F247" s="219">
        <v>42607</v>
      </c>
      <c r="G247" s="218" t="s">
        <v>276</v>
      </c>
      <c r="H247" s="250">
        <v>78834000</v>
      </c>
      <c r="I247" s="275"/>
      <c r="J247" s="275"/>
      <c r="K247" s="275"/>
      <c r="L247" s="274"/>
      <c r="M247" s="273"/>
      <c r="N247" s="272" t="s">
        <v>180</v>
      </c>
      <c r="O247" s="272" t="s">
        <v>199</v>
      </c>
      <c r="P247" s="271"/>
      <c r="Q247" s="270"/>
      <c r="R247" s="270"/>
      <c r="S247" s="270"/>
      <c r="T247" s="270">
        <f>H247</f>
        <v>78834000</v>
      </c>
      <c r="U247" s="270"/>
      <c r="V247" s="270"/>
      <c r="W247" s="270"/>
      <c r="X247" s="269"/>
      <c r="Y247" s="268"/>
      <c r="Z247" s="268"/>
      <c r="AA247" s="267"/>
      <c r="AB247" s="256" t="s">
        <v>249</v>
      </c>
      <c r="AC247" s="233"/>
      <c r="AD247" s="233"/>
      <c r="AE247" s="232"/>
    </row>
    <row r="248" spans="1:33" s="152" customFormat="1" x14ac:dyDescent="0.3">
      <c r="A248" s="852"/>
      <c r="B248" s="137">
        <v>227</v>
      </c>
      <c r="C248" s="141" t="s">
        <v>273</v>
      </c>
      <c r="D248" s="140" t="s">
        <v>275</v>
      </c>
      <c r="E248" s="139">
        <v>2016</v>
      </c>
      <c r="F248" s="219" t="s">
        <v>271</v>
      </c>
      <c r="G248" s="218" t="s">
        <v>274</v>
      </c>
      <c r="H248" s="250">
        <v>35830053</v>
      </c>
      <c r="I248" s="136"/>
      <c r="J248" s="136">
        <f>H248*10%</f>
        <v>3583005.3000000003</v>
      </c>
      <c r="K248" s="136">
        <f>H248*2%</f>
        <v>716601.06</v>
      </c>
      <c r="L248" s="153">
        <f>H248+J248</f>
        <v>39413058.299999997</v>
      </c>
      <c r="M248" s="135">
        <f>H248+J248-K248</f>
        <v>38696457.239999995</v>
      </c>
      <c r="N248" s="134" t="s">
        <v>180</v>
      </c>
      <c r="O248" s="134" t="s">
        <v>199</v>
      </c>
      <c r="P248" s="133"/>
      <c r="Q248" s="133"/>
      <c r="R248" s="133"/>
      <c r="S248" s="133">
        <f>H248</f>
        <v>35830053</v>
      </c>
      <c r="T248" s="133"/>
      <c r="U248" s="133"/>
      <c r="V248" s="133"/>
      <c r="W248" s="133"/>
      <c r="X248" s="132"/>
      <c r="Y248" s="132"/>
      <c r="Z248" s="132"/>
      <c r="AA248" s="131"/>
      <c r="AB248" s="184" t="s">
        <v>178</v>
      </c>
      <c r="AC248" s="211">
        <f>H248</f>
        <v>35830053</v>
      </c>
      <c r="AD248" s="211"/>
      <c r="AE248" s="229"/>
    </row>
    <row r="249" spans="1:33" s="152" customFormat="1" x14ac:dyDescent="0.3">
      <c r="A249" s="852"/>
      <c r="B249" s="137">
        <v>228</v>
      </c>
      <c r="C249" s="141" t="s">
        <v>273</v>
      </c>
      <c r="D249" s="140" t="s">
        <v>272</v>
      </c>
      <c r="E249" s="139">
        <v>2015</v>
      </c>
      <c r="F249" s="219" t="s">
        <v>271</v>
      </c>
      <c r="G249" s="218" t="s">
        <v>270</v>
      </c>
      <c r="H249" s="250">
        <v>35830053</v>
      </c>
      <c r="I249" s="136"/>
      <c r="J249" s="136">
        <f>H249*10%</f>
        <v>3583005.3000000003</v>
      </c>
      <c r="K249" s="136">
        <f>H249*2%</f>
        <v>716601.06</v>
      </c>
      <c r="L249" s="153">
        <f>H249+J249</f>
        <v>39413058.299999997</v>
      </c>
      <c r="M249" s="135">
        <f>H249+J249-K249</f>
        <v>38696457.239999995</v>
      </c>
      <c r="N249" s="134" t="s">
        <v>180</v>
      </c>
      <c r="O249" s="134" t="s">
        <v>199</v>
      </c>
      <c r="P249" s="133"/>
      <c r="Q249" s="133"/>
      <c r="R249" s="133"/>
      <c r="S249" s="133">
        <f>H249</f>
        <v>35830053</v>
      </c>
      <c r="T249" s="133"/>
      <c r="U249" s="133"/>
      <c r="V249" s="133"/>
      <c r="W249" s="133"/>
      <c r="X249" s="132"/>
      <c r="Y249" s="132"/>
      <c r="Z249" s="132"/>
      <c r="AA249" s="131"/>
      <c r="AB249" s="184" t="s">
        <v>178</v>
      </c>
      <c r="AC249" s="211">
        <f>H249</f>
        <v>35830053</v>
      </c>
      <c r="AD249" s="211"/>
      <c r="AE249" s="229"/>
    </row>
    <row r="250" spans="1:33" s="89" customFormat="1" x14ac:dyDescent="0.3">
      <c r="A250" s="853"/>
      <c r="B250" s="127" t="s">
        <v>269</v>
      </c>
      <c r="C250" s="126"/>
      <c r="D250" s="126"/>
      <c r="E250" s="126"/>
      <c r="F250" s="126"/>
      <c r="G250" s="125"/>
      <c r="H250" s="160">
        <f>SUM(H222:H249)</f>
        <v>753980801</v>
      </c>
      <c r="I250" s="160"/>
      <c r="J250" s="160">
        <f>SUM(J222:J230)</f>
        <v>24549520</v>
      </c>
      <c r="K250" s="160">
        <f>SUM(K222:K230)</f>
        <v>4564768</v>
      </c>
      <c r="L250" s="160">
        <f>SUM(L222:L230)</f>
        <v>252787920</v>
      </c>
      <c r="M250" s="160">
        <f>SUM(M222:M230)</f>
        <v>248223152</v>
      </c>
      <c r="N250" s="159"/>
      <c r="O250" s="159"/>
      <c r="P250" s="158">
        <f t="shared" ref="P250:AA250" si="66">SUM(P222:P249)</f>
        <v>68224000</v>
      </c>
      <c r="Q250" s="158">
        <f t="shared" si="66"/>
        <v>156953891</v>
      </c>
      <c r="R250" s="158">
        <f t="shared" si="66"/>
        <v>84000000</v>
      </c>
      <c r="S250" s="158">
        <f t="shared" si="66"/>
        <v>120147822</v>
      </c>
      <c r="T250" s="158">
        <f t="shared" si="66"/>
        <v>285075088</v>
      </c>
      <c r="U250" s="158">
        <f t="shared" si="66"/>
        <v>0</v>
      </c>
      <c r="V250" s="158">
        <f t="shared" si="66"/>
        <v>27600000</v>
      </c>
      <c r="W250" s="158">
        <f t="shared" si="66"/>
        <v>11980000</v>
      </c>
      <c r="X250" s="158">
        <f t="shared" si="66"/>
        <v>0</v>
      </c>
      <c r="Y250" s="158">
        <f t="shared" si="66"/>
        <v>0</v>
      </c>
      <c r="Z250" s="158">
        <f t="shared" si="66"/>
        <v>0</v>
      </c>
      <c r="AA250" s="157">
        <f t="shared" si="66"/>
        <v>0</v>
      </c>
      <c r="AB250" s="119"/>
      <c r="AC250" s="160">
        <f>SUM(AC222:AC230)</f>
        <v>241358400</v>
      </c>
      <c r="AD250" s="160">
        <f>SUM(AD222:AD230)</f>
        <v>0</v>
      </c>
      <c r="AE250" s="160">
        <f>SUM(AE222:AE230)</f>
        <v>0</v>
      </c>
      <c r="AG250" s="115">
        <f>L250-(SUM(P250:X250))</f>
        <v>-501192881</v>
      </c>
    </row>
    <row r="251" spans="1:33" s="89" customFormat="1" x14ac:dyDescent="0.3">
      <c r="A251" s="266"/>
      <c r="B251" s="263"/>
      <c r="C251" s="263"/>
      <c r="D251" s="263"/>
      <c r="E251" s="263"/>
      <c r="F251" s="263"/>
      <c r="G251" s="263"/>
      <c r="H251" s="263"/>
      <c r="I251" s="263"/>
      <c r="J251" s="263"/>
      <c r="K251" s="263"/>
      <c r="L251" s="263"/>
      <c r="M251" s="263"/>
      <c r="N251" s="265"/>
      <c r="O251" s="265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3"/>
      <c r="AB251" s="263"/>
      <c r="AC251" s="263"/>
      <c r="AD251" s="263"/>
      <c r="AE251" s="262"/>
    </row>
    <row r="252" spans="1:33" s="89" customFormat="1" x14ac:dyDescent="0.3">
      <c r="A252" s="854" t="s">
        <v>268</v>
      </c>
      <c r="B252" s="137">
        <v>229</v>
      </c>
      <c r="C252" s="141" t="s">
        <v>267</v>
      </c>
      <c r="D252" s="140" t="s">
        <v>258</v>
      </c>
      <c r="E252" s="142">
        <v>42583</v>
      </c>
      <c r="F252" s="219">
        <v>42614</v>
      </c>
      <c r="G252" s="218" t="s">
        <v>266</v>
      </c>
      <c r="H252" s="259">
        <v>52928000</v>
      </c>
      <c r="I252" s="153"/>
      <c r="J252" s="153"/>
      <c r="K252" s="136"/>
      <c r="L252" s="153"/>
      <c r="M252" s="207"/>
      <c r="N252" s="206" t="s">
        <v>180</v>
      </c>
      <c r="O252" s="206" t="s">
        <v>227</v>
      </c>
      <c r="P252" s="167"/>
      <c r="Q252" s="167"/>
      <c r="R252" s="167"/>
      <c r="S252" s="167"/>
      <c r="T252" s="167">
        <f>H252</f>
        <v>52928000</v>
      </c>
      <c r="U252" s="167"/>
      <c r="V252" s="167"/>
      <c r="W252" s="167"/>
      <c r="X252" s="205"/>
      <c r="Y252" s="205"/>
      <c r="Z252" s="205"/>
      <c r="AA252" s="204"/>
      <c r="AB252" s="184" t="s">
        <v>178</v>
      </c>
      <c r="AC252" s="203"/>
      <c r="AD252" s="183"/>
      <c r="AE252" s="179"/>
    </row>
    <row r="253" spans="1:33" s="89" customFormat="1" x14ac:dyDescent="0.3">
      <c r="A253" s="855"/>
      <c r="B253" s="137">
        <v>230</v>
      </c>
      <c r="C253" s="141" t="s">
        <v>110</v>
      </c>
      <c r="D253" s="140" t="s">
        <v>258</v>
      </c>
      <c r="E253" s="142">
        <v>42583</v>
      </c>
      <c r="F253" s="219">
        <v>42614</v>
      </c>
      <c r="G253" s="218" t="s">
        <v>265</v>
      </c>
      <c r="H253" s="259">
        <v>6616000</v>
      </c>
      <c r="I253" s="153"/>
      <c r="J253" s="153"/>
      <c r="K253" s="136"/>
      <c r="L253" s="153"/>
      <c r="M253" s="207"/>
      <c r="N253" s="206" t="s">
        <v>180</v>
      </c>
      <c r="O253" s="206" t="s">
        <v>199</v>
      </c>
      <c r="P253" s="167"/>
      <c r="Q253" s="167"/>
      <c r="R253" s="167"/>
      <c r="S253" s="167"/>
      <c r="T253" s="167">
        <f>H253</f>
        <v>6616000</v>
      </c>
      <c r="U253" s="167"/>
      <c r="V253" s="167"/>
      <c r="W253" s="167"/>
      <c r="X253" s="205"/>
      <c r="Y253" s="205"/>
      <c r="Z253" s="205"/>
      <c r="AA253" s="204"/>
      <c r="AB253" s="184" t="s">
        <v>178</v>
      </c>
      <c r="AC253" s="203"/>
      <c r="AD253" s="183"/>
      <c r="AE253" s="179"/>
    </row>
    <row r="254" spans="1:33" s="89" customFormat="1" x14ac:dyDescent="0.3">
      <c r="A254" s="855"/>
      <c r="B254" s="137">
        <v>231</v>
      </c>
      <c r="C254" s="177" t="s">
        <v>264</v>
      </c>
      <c r="D254" s="261" t="s">
        <v>263</v>
      </c>
      <c r="E254" s="143"/>
      <c r="F254" s="219">
        <v>42614</v>
      </c>
      <c r="G254" s="218" t="s">
        <v>262</v>
      </c>
      <c r="H254" s="153">
        <v>317250000</v>
      </c>
      <c r="I254" s="153"/>
      <c r="J254" s="153"/>
      <c r="K254" s="136"/>
      <c r="L254" s="153"/>
      <c r="M254" s="207"/>
      <c r="N254" s="206" t="s">
        <v>228</v>
      </c>
      <c r="O254" s="206" t="s">
        <v>227</v>
      </c>
      <c r="P254" s="167"/>
      <c r="Q254" s="167"/>
      <c r="R254" s="167"/>
      <c r="S254" s="167"/>
      <c r="T254" s="167"/>
      <c r="U254" s="167"/>
      <c r="V254" s="167">
        <f>H254</f>
        <v>317250000</v>
      </c>
      <c r="W254" s="167"/>
      <c r="X254" s="205"/>
      <c r="Y254" s="205"/>
      <c r="Z254" s="205"/>
      <c r="AA254" s="204"/>
      <c r="AB254" s="184" t="s">
        <v>178</v>
      </c>
      <c r="AC254" s="203"/>
      <c r="AD254" s="183"/>
      <c r="AE254" s="179"/>
    </row>
    <row r="255" spans="1:33" s="89" customFormat="1" x14ac:dyDescent="0.3">
      <c r="A255" s="855"/>
      <c r="B255" s="137">
        <v>232</v>
      </c>
      <c r="C255" s="140" t="s">
        <v>226</v>
      </c>
      <c r="D255" s="144" t="s">
        <v>261</v>
      </c>
      <c r="E255" s="142"/>
      <c r="F255" s="219">
        <v>42614</v>
      </c>
      <c r="G255" s="218" t="s">
        <v>260</v>
      </c>
      <c r="H255" s="153">
        <v>105000000</v>
      </c>
      <c r="I255" s="153"/>
      <c r="J255" s="153"/>
      <c r="K255" s="136"/>
      <c r="L255" s="153"/>
      <c r="M255" s="207"/>
      <c r="N255" s="206" t="s">
        <v>222</v>
      </c>
      <c r="O255" s="206" t="s">
        <v>221</v>
      </c>
      <c r="P255" s="167"/>
      <c r="Q255" s="167"/>
      <c r="R255" s="167"/>
      <c r="S255" s="167"/>
      <c r="T255" s="167"/>
      <c r="U255" s="167"/>
      <c r="V255" s="167"/>
      <c r="W255" s="167">
        <f>H255</f>
        <v>105000000</v>
      </c>
      <c r="X255" s="205"/>
      <c r="Y255" s="205"/>
      <c r="Z255" s="205"/>
      <c r="AA255" s="204"/>
      <c r="AB255" s="184" t="s">
        <v>178</v>
      </c>
      <c r="AC255" s="203"/>
      <c r="AD255" s="183"/>
      <c r="AE255" s="179"/>
    </row>
    <row r="256" spans="1:33" s="89" customFormat="1" x14ac:dyDescent="0.3">
      <c r="A256" s="855"/>
      <c r="B256" s="137">
        <v>233</v>
      </c>
      <c r="C256" s="140" t="s">
        <v>259</v>
      </c>
      <c r="D256" s="261" t="s">
        <v>258</v>
      </c>
      <c r="E256" s="260" t="s">
        <v>183</v>
      </c>
      <c r="F256" s="219">
        <v>42615</v>
      </c>
      <c r="G256" s="218" t="s">
        <v>257</v>
      </c>
      <c r="H256" s="259">
        <v>33750000</v>
      </c>
      <c r="I256" s="153"/>
      <c r="J256" s="153"/>
      <c r="K256" s="136"/>
      <c r="L256" s="153"/>
      <c r="M256" s="207"/>
      <c r="N256" s="206" t="s">
        <v>180</v>
      </c>
      <c r="O256" s="206" t="s">
        <v>199</v>
      </c>
      <c r="P256" s="167"/>
      <c r="Q256" s="167">
        <f>H256</f>
        <v>33750000</v>
      </c>
      <c r="R256" s="167"/>
      <c r="S256" s="167"/>
      <c r="T256" s="167"/>
      <c r="U256" s="167"/>
      <c r="V256" s="167"/>
      <c r="W256" s="167"/>
      <c r="X256" s="205"/>
      <c r="Y256" s="205"/>
      <c r="Z256" s="205"/>
      <c r="AA256" s="204"/>
      <c r="AB256" s="184" t="s">
        <v>178</v>
      </c>
      <c r="AC256" s="203"/>
      <c r="AD256" s="183"/>
      <c r="AE256" s="179"/>
    </row>
    <row r="257" spans="1:31" s="89" customFormat="1" x14ac:dyDescent="0.3">
      <c r="A257" s="855"/>
      <c r="B257" s="137">
        <v>234</v>
      </c>
      <c r="C257" s="140" t="s">
        <v>256</v>
      </c>
      <c r="D257" s="144" t="s">
        <v>255</v>
      </c>
      <c r="E257" s="258"/>
      <c r="F257" s="219">
        <v>42618</v>
      </c>
      <c r="G257" s="218" t="s">
        <v>254</v>
      </c>
      <c r="H257" s="153">
        <v>360000000</v>
      </c>
      <c r="I257" s="153"/>
      <c r="J257" s="153"/>
      <c r="K257" s="136"/>
      <c r="L257" s="153"/>
      <c r="M257" s="207"/>
      <c r="N257" s="206" t="s">
        <v>222</v>
      </c>
      <c r="O257" s="206" t="s">
        <v>221</v>
      </c>
      <c r="P257" s="167"/>
      <c r="Q257" s="167"/>
      <c r="R257" s="167"/>
      <c r="S257" s="167"/>
      <c r="T257" s="167"/>
      <c r="U257" s="167"/>
      <c r="V257" s="167"/>
      <c r="W257" s="167">
        <f>H257</f>
        <v>360000000</v>
      </c>
      <c r="X257" s="205"/>
      <c r="Y257" s="205"/>
      <c r="Z257" s="205"/>
      <c r="AA257" s="204"/>
      <c r="AB257" s="184" t="s">
        <v>178</v>
      </c>
      <c r="AC257" s="203"/>
      <c r="AD257" s="183"/>
      <c r="AE257" s="179"/>
    </row>
    <row r="258" spans="1:31" s="89" customFormat="1" x14ac:dyDescent="0.3">
      <c r="A258" s="855"/>
      <c r="B258" s="137">
        <v>235</v>
      </c>
      <c r="C258" s="140" t="s">
        <v>253</v>
      </c>
      <c r="D258" s="144" t="s">
        <v>252</v>
      </c>
      <c r="E258" s="257" t="s">
        <v>251</v>
      </c>
      <c r="F258" s="219">
        <v>42619</v>
      </c>
      <c r="G258" s="218" t="s">
        <v>250</v>
      </c>
      <c r="H258" s="153">
        <v>900000000</v>
      </c>
      <c r="I258" s="153"/>
      <c r="J258" s="153"/>
      <c r="K258" s="136"/>
      <c r="L258" s="153"/>
      <c r="M258" s="207"/>
      <c r="N258" s="206" t="s">
        <v>241</v>
      </c>
      <c r="O258" s="206" t="s">
        <v>240</v>
      </c>
      <c r="P258" s="167"/>
      <c r="Q258" s="167"/>
      <c r="R258" s="167"/>
      <c r="S258" s="167"/>
      <c r="T258" s="167"/>
      <c r="U258" s="167"/>
      <c r="V258" s="167"/>
      <c r="W258" s="167"/>
      <c r="X258" s="205"/>
      <c r="Y258" s="205"/>
      <c r="Z258" s="205">
        <f>H258</f>
        <v>900000000</v>
      </c>
      <c r="AA258" s="204"/>
      <c r="AB258" s="256" t="s">
        <v>249</v>
      </c>
      <c r="AC258" s="203"/>
      <c r="AD258" s="183"/>
      <c r="AE258" s="179"/>
    </row>
    <row r="259" spans="1:31" s="152" customFormat="1" x14ac:dyDescent="0.3">
      <c r="A259" s="855"/>
      <c r="B259" s="137">
        <v>236</v>
      </c>
      <c r="C259" s="239" t="s">
        <v>248</v>
      </c>
      <c r="D259" s="238" t="s">
        <v>247</v>
      </c>
      <c r="E259" s="253" t="s">
        <v>246</v>
      </c>
      <c r="F259" s="219">
        <v>42619</v>
      </c>
      <c r="G259" s="218" t="s">
        <v>245</v>
      </c>
      <c r="H259" s="136">
        <v>47700000</v>
      </c>
      <c r="I259" s="136"/>
      <c r="J259" s="136">
        <v>2250000</v>
      </c>
      <c r="K259" s="136">
        <f>H259*2%</f>
        <v>954000</v>
      </c>
      <c r="L259" s="153">
        <f>H259+J259</f>
        <v>49950000</v>
      </c>
      <c r="M259" s="135">
        <f>H259+J259-K259</f>
        <v>48996000</v>
      </c>
      <c r="N259" s="255" t="s">
        <v>228</v>
      </c>
      <c r="O259" s="255" t="s">
        <v>227</v>
      </c>
      <c r="P259" s="236"/>
      <c r="Q259" s="236"/>
      <c r="R259" s="236"/>
      <c r="S259" s="236"/>
      <c r="T259" s="236"/>
      <c r="U259" s="236"/>
      <c r="V259" s="236">
        <f>H259</f>
        <v>47700000</v>
      </c>
      <c r="W259" s="236"/>
      <c r="X259" s="235"/>
      <c r="Y259" s="235"/>
      <c r="Z259" s="235"/>
      <c r="AA259" s="254"/>
      <c r="AB259" s="184" t="s">
        <v>178</v>
      </c>
      <c r="AC259" s="233">
        <f>H259</f>
        <v>47700000</v>
      </c>
      <c r="AD259" s="233"/>
      <c r="AE259" s="232"/>
    </row>
    <row r="260" spans="1:31" s="152" customFormat="1" x14ac:dyDescent="0.3">
      <c r="A260" s="855"/>
      <c r="B260" s="137">
        <v>237</v>
      </c>
      <c r="C260" s="141" t="s">
        <v>244</v>
      </c>
      <c r="D260" s="140" t="s">
        <v>243</v>
      </c>
      <c r="E260" s="253"/>
      <c r="F260" s="219">
        <v>42620</v>
      </c>
      <c r="G260" s="218" t="s">
        <v>242</v>
      </c>
      <c r="H260" s="136">
        <v>60230340</v>
      </c>
      <c r="I260" s="136"/>
      <c r="J260" s="153"/>
      <c r="K260" s="153">
        <f>H260*2%</f>
        <v>1204606.8</v>
      </c>
      <c r="L260" s="153"/>
      <c r="M260" s="231"/>
      <c r="N260" s="252" t="s">
        <v>241</v>
      </c>
      <c r="O260" s="252" t="s">
        <v>240</v>
      </c>
      <c r="P260" s="244"/>
      <c r="Q260" s="244"/>
      <c r="R260" s="244"/>
      <c r="S260" s="244"/>
      <c r="T260" s="244"/>
      <c r="U260" s="244"/>
      <c r="V260" s="244"/>
      <c r="W260" s="244"/>
      <c r="X260" s="205"/>
      <c r="Y260" s="205"/>
      <c r="Z260" s="205">
        <f>H260</f>
        <v>60230340</v>
      </c>
      <c r="AA260" s="204"/>
      <c r="AB260" s="184" t="s">
        <v>178</v>
      </c>
      <c r="AC260" s="211">
        <f>H260</f>
        <v>60230340</v>
      </c>
      <c r="AD260" s="211"/>
      <c r="AE260" s="251"/>
    </row>
    <row r="261" spans="1:31" s="152" customFormat="1" ht="30" x14ac:dyDescent="0.3">
      <c r="A261" s="855"/>
      <c r="B261" s="137">
        <v>238</v>
      </c>
      <c r="C261" s="141" t="s">
        <v>239</v>
      </c>
      <c r="D261" s="140" t="s">
        <v>238</v>
      </c>
      <c r="E261" s="240">
        <v>42614</v>
      </c>
      <c r="F261" s="219">
        <v>42626</v>
      </c>
      <c r="G261" s="218" t="s">
        <v>237</v>
      </c>
      <c r="H261" s="250">
        <v>7951200</v>
      </c>
      <c r="I261" s="136"/>
      <c r="J261" s="136">
        <f>H261*10%</f>
        <v>795120</v>
      </c>
      <c r="K261" s="136">
        <f>H261*2%</f>
        <v>159024</v>
      </c>
      <c r="L261" s="153">
        <f>H261+J261</f>
        <v>8746320</v>
      </c>
      <c r="M261" s="135">
        <f>H261+J261-K261</f>
        <v>8587296</v>
      </c>
      <c r="N261" s="134" t="s">
        <v>180</v>
      </c>
      <c r="O261" s="134" t="s">
        <v>199</v>
      </c>
      <c r="P261" s="133"/>
      <c r="Q261" s="133">
        <f>H261</f>
        <v>7951200</v>
      </c>
      <c r="R261" s="133"/>
      <c r="S261" s="133"/>
      <c r="T261" s="133"/>
      <c r="U261" s="133"/>
      <c r="V261" s="133"/>
      <c r="W261" s="133"/>
      <c r="X261" s="132"/>
      <c r="Y261" s="132"/>
      <c r="Z261" s="132"/>
      <c r="AA261" s="131"/>
      <c r="AB261" s="184" t="s">
        <v>178</v>
      </c>
      <c r="AC261" s="211">
        <f>H261</f>
        <v>7951200</v>
      </c>
      <c r="AD261" s="211"/>
      <c r="AE261" s="229"/>
    </row>
    <row r="262" spans="1:31" s="152" customFormat="1" x14ac:dyDescent="0.3">
      <c r="A262" s="855"/>
      <c r="B262" s="137">
        <v>239</v>
      </c>
      <c r="C262" s="249" t="s">
        <v>234</v>
      </c>
      <c r="D262" s="248" t="s">
        <v>236</v>
      </c>
      <c r="E262" s="220" t="s">
        <v>235</v>
      </c>
      <c r="F262" s="219">
        <v>42627</v>
      </c>
      <c r="G262" s="218" t="s">
        <v>232</v>
      </c>
      <c r="H262" s="241">
        <v>35432100</v>
      </c>
      <c r="I262" s="136"/>
      <c r="J262" s="136"/>
      <c r="K262" s="136">
        <f>H262*2%</f>
        <v>708642</v>
      </c>
      <c r="L262" s="153"/>
      <c r="M262" s="135"/>
      <c r="N262" s="237" t="s">
        <v>180</v>
      </c>
      <c r="O262" s="134" t="s">
        <v>199</v>
      </c>
      <c r="P262" s="226"/>
      <c r="Q262" s="133">
        <f>H262</f>
        <v>35432100</v>
      </c>
      <c r="R262" s="247"/>
      <c r="S262" s="247"/>
      <c r="T262" s="247"/>
      <c r="U262" s="246"/>
      <c r="V262" s="247"/>
      <c r="W262" s="246"/>
      <c r="X262" s="244"/>
      <c r="Y262" s="245"/>
      <c r="Z262" s="244"/>
      <c r="AA262" s="243"/>
      <c r="AB262" s="184" t="s">
        <v>178</v>
      </c>
      <c r="AC262" s="242">
        <f>H262</f>
        <v>35432100</v>
      </c>
      <c r="AD262" s="233"/>
      <c r="AE262" s="232"/>
    </row>
    <row r="263" spans="1:31" s="152" customFormat="1" x14ac:dyDescent="0.3">
      <c r="A263" s="855"/>
      <c r="B263" s="137">
        <v>240</v>
      </c>
      <c r="C263" s="249" t="s">
        <v>234</v>
      </c>
      <c r="D263" s="248" t="s">
        <v>233</v>
      </c>
      <c r="E263" s="220">
        <v>42552</v>
      </c>
      <c r="F263" s="219">
        <v>42627</v>
      </c>
      <c r="G263" s="218" t="s">
        <v>232</v>
      </c>
      <c r="H263" s="241">
        <v>3425103</v>
      </c>
      <c r="I263" s="136"/>
      <c r="J263" s="136"/>
      <c r="K263" s="136">
        <f>H263*2%</f>
        <v>68502.06</v>
      </c>
      <c r="L263" s="153"/>
      <c r="M263" s="135"/>
      <c r="N263" s="237" t="s">
        <v>180</v>
      </c>
      <c r="O263" s="134" t="s">
        <v>199</v>
      </c>
      <c r="P263" s="226"/>
      <c r="Q263" s="133">
        <f>H263</f>
        <v>3425103</v>
      </c>
      <c r="R263" s="247"/>
      <c r="S263" s="247"/>
      <c r="T263" s="247"/>
      <c r="U263" s="246"/>
      <c r="V263" s="247"/>
      <c r="W263" s="246"/>
      <c r="X263" s="244"/>
      <c r="Y263" s="245"/>
      <c r="Z263" s="244"/>
      <c r="AA263" s="243"/>
      <c r="AB263" s="184" t="s">
        <v>178</v>
      </c>
      <c r="AC263" s="242">
        <f>H263</f>
        <v>3425103</v>
      </c>
      <c r="AD263" s="233"/>
      <c r="AE263" s="232"/>
    </row>
    <row r="264" spans="1:31" s="152" customFormat="1" ht="18.75" customHeight="1" x14ac:dyDescent="0.3">
      <c r="A264" s="855"/>
      <c r="B264" s="137">
        <v>241</v>
      </c>
      <c r="C264" s="222" t="s">
        <v>231</v>
      </c>
      <c r="D264" s="221" t="s">
        <v>230</v>
      </c>
      <c r="E264" s="228" t="s">
        <v>224</v>
      </c>
      <c r="F264" s="219">
        <v>42627</v>
      </c>
      <c r="G264" s="218" t="s">
        <v>229</v>
      </c>
      <c r="H264" s="217">
        <v>55000000</v>
      </c>
      <c r="I264" s="217"/>
      <c r="J264" s="217"/>
      <c r="K264" s="217"/>
      <c r="L264" s="153"/>
      <c r="M264" s="227"/>
      <c r="N264" s="216" t="s">
        <v>228</v>
      </c>
      <c r="O264" s="216" t="s">
        <v>227</v>
      </c>
      <c r="P264" s="226"/>
      <c r="Q264" s="226"/>
      <c r="R264" s="226"/>
      <c r="S264" s="226"/>
      <c r="T264" s="226"/>
      <c r="U264" s="226"/>
      <c r="V264" s="226">
        <f>H264</f>
        <v>55000000</v>
      </c>
      <c r="W264" s="226"/>
      <c r="X264" s="225"/>
      <c r="Y264" s="225"/>
      <c r="Z264" s="225"/>
      <c r="AA264" s="212"/>
      <c r="AB264" s="184" t="s">
        <v>178</v>
      </c>
      <c r="AC264" s="224"/>
      <c r="AD264" s="224"/>
      <c r="AE264" s="223"/>
    </row>
    <row r="265" spans="1:31" s="89" customFormat="1" x14ac:dyDescent="0.3">
      <c r="A265" s="855"/>
      <c r="B265" s="137">
        <v>242</v>
      </c>
      <c r="C265" s="140" t="s">
        <v>226</v>
      </c>
      <c r="D265" s="144" t="s">
        <v>225</v>
      </c>
      <c r="E265" s="142" t="s">
        <v>224</v>
      </c>
      <c r="F265" s="219" t="s">
        <v>188</v>
      </c>
      <c r="G265" s="218" t="s">
        <v>223</v>
      </c>
      <c r="H265" s="153">
        <v>140000000</v>
      </c>
      <c r="I265" s="153"/>
      <c r="J265" s="153"/>
      <c r="K265" s="136"/>
      <c r="L265" s="153"/>
      <c r="M265" s="207"/>
      <c r="N265" s="206" t="s">
        <v>222</v>
      </c>
      <c r="O265" s="206" t="s">
        <v>221</v>
      </c>
      <c r="P265" s="167"/>
      <c r="Q265" s="167"/>
      <c r="R265" s="167"/>
      <c r="S265" s="167"/>
      <c r="T265" s="167"/>
      <c r="U265" s="167"/>
      <c r="V265" s="167"/>
      <c r="W265" s="167">
        <f>H265</f>
        <v>140000000</v>
      </c>
      <c r="X265" s="205"/>
      <c r="Y265" s="205"/>
      <c r="Z265" s="205"/>
      <c r="AA265" s="204"/>
      <c r="AB265" s="184" t="s">
        <v>178</v>
      </c>
      <c r="AC265" s="203"/>
      <c r="AD265" s="183"/>
      <c r="AE265" s="179"/>
    </row>
    <row r="266" spans="1:31" s="152" customFormat="1" x14ac:dyDescent="0.3">
      <c r="A266" s="855"/>
      <c r="B266" s="218">
        <v>243</v>
      </c>
      <c r="C266" s="222" t="s">
        <v>216</v>
      </c>
      <c r="D266" s="221" t="s">
        <v>190</v>
      </c>
      <c r="E266" s="220" t="s">
        <v>220</v>
      </c>
      <c r="F266" s="219" t="s">
        <v>188</v>
      </c>
      <c r="G266" s="218" t="s">
        <v>217</v>
      </c>
      <c r="H266" s="241">
        <v>19684500</v>
      </c>
      <c r="I266" s="136"/>
      <c r="J266" s="136">
        <f>H266*10%</f>
        <v>1968450</v>
      </c>
      <c r="K266" s="136">
        <f t="shared" ref="K266:K271" si="67">H266*2%</f>
        <v>393690</v>
      </c>
      <c r="L266" s="153">
        <f t="shared" ref="L266:L271" si="68">H266+J266</f>
        <v>21652950</v>
      </c>
      <c r="M266" s="135">
        <f t="shared" ref="M266:M271" si="69">H266+J266-K266</f>
        <v>21259260</v>
      </c>
      <c r="N266" s="216" t="s">
        <v>180</v>
      </c>
      <c r="O266" s="216" t="s">
        <v>186</v>
      </c>
      <c r="P266" s="213"/>
      <c r="Q266" s="215"/>
      <c r="R266" s="215">
        <f>H266</f>
        <v>19684500</v>
      </c>
      <c r="S266" s="215"/>
      <c r="T266" s="215"/>
      <c r="U266" s="215"/>
      <c r="V266" s="215"/>
      <c r="W266" s="215"/>
      <c r="X266" s="214"/>
      <c r="Y266" s="213"/>
      <c r="Z266" s="213"/>
      <c r="AA266" s="212"/>
      <c r="AB266" s="184" t="s">
        <v>178</v>
      </c>
      <c r="AC266" s="211">
        <f t="shared" ref="AC266:AC275" si="70">H266</f>
        <v>19684500</v>
      </c>
      <c r="AD266" s="211"/>
      <c r="AE266" s="210"/>
    </row>
    <row r="267" spans="1:31" s="152" customFormat="1" x14ac:dyDescent="0.3">
      <c r="A267" s="855"/>
      <c r="B267" s="218">
        <v>244</v>
      </c>
      <c r="C267" s="222" t="s">
        <v>216</v>
      </c>
      <c r="D267" s="221" t="s">
        <v>219</v>
      </c>
      <c r="E267" s="220" t="s">
        <v>218</v>
      </c>
      <c r="F267" s="219" t="s">
        <v>188</v>
      </c>
      <c r="G267" s="218" t="s">
        <v>217</v>
      </c>
      <c r="H267" s="241">
        <v>6561500</v>
      </c>
      <c r="I267" s="136"/>
      <c r="J267" s="136">
        <f>H267*10%</f>
        <v>656150</v>
      </c>
      <c r="K267" s="136">
        <f t="shared" si="67"/>
        <v>131230</v>
      </c>
      <c r="L267" s="153">
        <f t="shared" si="68"/>
        <v>7217650</v>
      </c>
      <c r="M267" s="135">
        <f t="shared" si="69"/>
        <v>7086420</v>
      </c>
      <c r="N267" s="216" t="s">
        <v>180</v>
      </c>
      <c r="O267" s="216" t="s">
        <v>186</v>
      </c>
      <c r="P267" s="213"/>
      <c r="Q267" s="215"/>
      <c r="R267" s="215">
        <f>H267</f>
        <v>6561500</v>
      </c>
      <c r="S267" s="215"/>
      <c r="T267" s="215"/>
      <c r="U267" s="215"/>
      <c r="V267" s="215"/>
      <c r="W267" s="215"/>
      <c r="X267" s="214"/>
      <c r="Y267" s="213"/>
      <c r="Z267" s="213"/>
      <c r="AA267" s="212"/>
      <c r="AB267" s="184" t="s">
        <v>178</v>
      </c>
      <c r="AC267" s="211">
        <f t="shared" si="70"/>
        <v>6561500</v>
      </c>
      <c r="AD267" s="211"/>
      <c r="AE267" s="210"/>
    </row>
    <row r="268" spans="1:31" s="152" customFormat="1" x14ac:dyDescent="0.3">
      <c r="A268" s="855"/>
      <c r="B268" s="218">
        <v>245</v>
      </c>
      <c r="C268" s="222" t="s">
        <v>216</v>
      </c>
      <c r="D268" s="221" t="s">
        <v>215</v>
      </c>
      <c r="E268" s="220" t="s">
        <v>214</v>
      </c>
      <c r="F268" s="219" t="s">
        <v>188</v>
      </c>
      <c r="G268" s="218" t="s">
        <v>213</v>
      </c>
      <c r="H268" s="241">
        <v>13779150</v>
      </c>
      <c r="I268" s="136"/>
      <c r="J268" s="136">
        <f>H268*10%</f>
        <v>1377915</v>
      </c>
      <c r="K268" s="136">
        <f t="shared" si="67"/>
        <v>275583</v>
      </c>
      <c r="L268" s="153">
        <f t="shared" si="68"/>
        <v>15157065</v>
      </c>
      <c r="M268" s="135">
        <f t="shared" si="69"/>
        <v>14881482</v>
      </c>
      <c r="N268" s="216" t="s">
        <v>180</v>
      </c>
      <c r="O268" s="216" t="s">
        <v>212</v>
      </c>
      <c r="P268" s="213"/>
      <c r="Q268" s="215"/>
      <c r="R268" s="215">
        <f>H268</f>
        <v>13779150</v>
      </c>
      <c r="S268" s="215"/>
      <c r="T268" s="215"/>
      <c r="U268" s="215"/>
      <c r="V268" s="215"/>
      <c r="W268" s="215"/>
      <c r="X268" s="214"/>
      <c r="Y268" s="213"/>
      <c r="Z268" s="213"/>
      <c r="AA268" s="212"/>
      <c r="AB268" s="184" t="s">
        <v>178</v>
      </c>
      <c r="AC268" s="211">
        <f t="shared" si="70"/>
        <v>13779150</v>
      </c>
      <c r="AD268" s="211"/>
      <c r="AE268" s="210"/>
    </row>
    <row r="269" spans="1:31" s="152" customFormat="1" ht="30" x14ac:dyDescent="0.3">
      <c r="A269" s="855"/>
      <c r="B269" s="137">
        <v>246</v>
      </c>
      <c r="C269" s="141" t="s">
        <v>211</v>
      </c>
      <c r="D269" s="140" t="s">
        <v>210</v>
      </c>
      <c r="E269" s="240" t="s">
        <v>209</v>
      </c>
      <c r="F269" s="219" t="s">
        <v>188</v>
      </c>
      <c r="G269" s="218" t="s">
        <v>208</v>
      </c>
      <c r="H269" s="136">
        <v>85865000</v>
      </c>
      <c r="I269" s="136"/>
      <c r="J269" s="136">
        <f>H269*10%</f>
        <v>8586500</v>
      </c>
      <c r="K269" s="136">
        <f t="shared" si="67"/>
        <v>1717300</v>
      </c>
      <c r="L269" s="153">
        <f t="shared" si="68"/>
        <v>94451500</v>
      </c>
      <c r="M269" s="135">
        <f t="shared" si="69"/>
        <v>92734200</v>
      </c>
      <c r="N269" s="134" t="s">
        <v>180</v>
      </c>
      <c r="O269" s="134" t="s">
        <v>199</v>
      </c>
      <c r="P269" s="133"/>
      <c r="Q269" s="133"/>
      <c r="R269" s="133">
        <f>H269</f>
        <v>85865000</v>
      </c>
      <c r="S269" s="133"/>
      <c r="T269" s="133"/>
      <c r="U269" s="133"/>
      <c r="V269" s="133"/>
      <c r="W269" s="133"/>
      <c r="X269" s="132"/>
      <c r="Y269" s="132"/>
      <c r="Z269" s="132"/>
      <c r="AA269" s="131"/>
      <c r="AB269" s="184" t="s">
        <v>178</v>
      </c>
      <c r="AC269" s="211">
        <f t="shared" si="70"/>
        <v>85865000</v>
      </c>
      <c r="AD269" s="211"/>
      <c r="AE269" s="229"/>
    </row>
    <row r="270" spans="1:31" s="152" customFormat="1" x14ac:dyDescent="0.3">
      <c r="A270" s="855"/>
      <c r="B270" s="137">
        <v>247</v>
      </c>
      <c r="C270" s="239" t="s">
        <v>207</v>
      </c>
      <c r="D270" s="238" t="s">
        <v>206</v>
      </c>
      <c r="E270" s="145">
        <v>42583</v>
      </c>
      <c r="F270" s="219" t="s">
        <v>188</v>
      </c>
      <c r="G270" s="218" t="s">
        <v>205</v>
      </c>
      <c r="H270" s="136">
        <v>5249200</v>
      </c>
      <c r="I270" s="136"/>
      <c r="J270" s="136">
        <v>2250000</v>
      </c>
      <c r="K270" s="136">
        <f t="shared" si="67"/>
        <v>104984</v>
      </c>
      <c r="L270" s="153">
        <f t="shared" si="68"/>
        <v>7499200</v>
      </c>
      <c r="M270" s="135">
        <f t="shared" si="69"/>
        <v>7394216</v>
      </c>
      <c r="N270" s="237" t="s">
        <v>180</v>
      </c>
      <c r="O270" s="134" t="s">
        <v>199</v>
      </c>
      <c r="P270" s="133"/>
      <c r="Q270" s="236">
        <f>H270</f>
        <v>5249200</v>
      </c>
      <c r="R270" s="236"/>
      <c r="S270" s="236"/>
      <c r="T270" s="236"/>
      <c r="U270" s="236"/>
      <c r="V270" s="236"/>
      <c r="W270" s="236"/>
      <c r="X270" s="235"/>
      <c r="Y270" s="235"/>
      <c r="Z270" s="235"/>
      <c r="AA270" s="234"/>
      <c r="AB270" s="184" t="s">
        <v>178</v>
      </c>
      <c r="AC270" s="233">
        <f t="shared" si="70"/>
        <v>5249200</v>
      </c>
      <c r="AD270" s="233"/>
      <c r="AE270" s="232"/>
    </row>
    <row r="271" spans="1:31" s="152" customFormat="1" x14ac:dyDescent="0.3">
      <c r="A271" s="855"/>
      <c r="B271" s="218">
        <v>248</v>
      </c>
      <c r="C271" s="222" t="s">
        <v>202</v>
      </c>
      <c r="D271" s="221" t="s">
        <v>204</v>
      </c>
      <c r="E271" s="220" t="s">
        <v>183</v>
      </c>
      <c r="F271" s="219" t="s">
        <v>188</v>
      </c>
      <c r="G271" s="218" t="s">
        <v>203</v>
      </c>
      <c r="H271" s="217">
        <v>3936900</v>
      </c>
      <c r="I271" s="136"/>
      <c r="J271" s="136">
        <f>H271*10%</f>
        <v>393690</v>
      </c>
      <c r="K271" s="136">
        <f t="shared" si="67"/>
        <v>78738</v>
      </c>
      <c r="L271" s="153">
        <f t="shared" si="68"/>
        <v>4330590</v>
      </c>
      <c r="M271" s="135">
        <f t="shared" si="69"/>
        <v>4251852</v>
      </c>
      <c r="N271" s="216" t="s">
        <v>180</v>
      </c>
      <c r="O271" s="216" t="s">
        <v>199</v>
      </c>
      <c r="P271" s="213">
        <f>H271</f>
        <v>3936900</v>
      </c>
      <c r="Q271" s="215"/>
      <c r="R271" s="215"/>
      <c r="S271" s="215"/>
      <c r="T271" s="215"/>
      <c r="U271" s="215"/>
      <c r="V271" s="215"/>
      <c r="W271" s="215"/>
      <c r="X271" s="214"/>
      <c r="Y271" s="213"/>
      <c r="Z271" s="213"/>
      <c r="AA271" s="212"/>
      <c r="AB271" s="184" t="s">
        <v>178</v>
      </c>
      <c r="AC271" s="211">
        <f t="shared" si="70"/>
        <v>3936900</v>
      </c>
      <c r="AD271" s="211"/>
      <c r="AE271" s="229"/>
    </row>
    <row r="272" spans="1:31" s="152" customFormat="1" x14ac:dyDescent="0.3">
      <c r="A272" s="855"/>
      <c r="B272" s="137">
        <v>249</v>
      </c>
      <c r="C272" s="141" t="s">
        <v>202</v>
      </c>
      <c r="D272" s="140" t="s">
        <v>201</v>
      </c>
      <c r="E272" s="220" t="s">
        <v>183</v>
      </c>
      <c r="F272" s="219" t="s">
        <v>188</v>
      </c>
      <c r="G272" s="218" t="s">
        <v>200</v>
      </c>
      <c r="H272" s="136">
        <v>13123000</v>
      </c>
      <c r="I272" s="136"/>
      <c r="J272" s="153"/>
      <c r="K272" s="153"/>
      <c r="L272" s="153"/>
      <c r="M272" s="231"/>
      <c r="N272" s="131" t="s">
        <v>180</v>
      </c>
      <c r="O272" s="216" t="s">
        <v>199</v>
      </c>
      <c r="P272" s="132">
        <f>H272</f>
        <v>13123000</v>
      </c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1"/>
      <c r="AB272" s="184" t="s">
        <v>178</v>
      </c>
      <c r="AC272" s="211">
        <f t="shared" si="70"/>
        <v>13123000</v>
      </c>
      <c r="AD272" s="211"/>
      <c r="AE272" s="230"/>
    </row>
    <row r="273" spans="1:33" s="152" customFormat="1" x14ac:dyDescent="0.3">
      <c r="A273" s="855"/>
      <c r="B273" s="218">
        <v>250</v>
      </c>
      <c r="C273" s="222" t="s">
        <v>198</v>
      </c>
      <c r="D273" s="221" t="s">
        <v>197</v>
      </c>
      <c r="E273" s="220" t="s">
        <v>196</v>
      </c>
      <c r="F273" s="219" t="s">
        <v>188</v>
      </c>
      <c r="G273" s="218" t="s">
        <v>195</v>
      </c>
      <c r="H273" s="217">
        <v>59053500</v>
      </c>
      <c r="I273" s="136"/>
      <c r="J273" s="136">
        <f>H273*10%</f>
        <v>5905350</v>
      </c>
      <c r="K273" s="136">
        <f>H273*2%</f>
        <v>1181070</v>
      </c>
      <c r="L273" s="153">
        <f>H273+J273</f>
        <v>64958850</v>
      </c>
      <c r="M273" s="135">
        <f>H273+J273-K273</f>
        <v>63777780</v>
      </c>
      <c r="N273" s="216" t="s">
        <v>180</v>
      </c>
      <c r="O273" s="216" t="s">
        <v>186</v>
      </c>
      <c r="P273" s="213">
        <f>H273</f>
        <v>59053500</v>
      </c>
      <c r="Q273" s="215"/>
      <c r="R273" s="215"/>
      <c r="S273" s="215"/>
      <c r="T273" s="215"/>
      <c r="U273" s="215"/>
      <c r="V273" s="215"/>
      <c r="W273" s="215"/>
      <c r="X273" s="214"/>
      <c r="Y273" s="213"/>
      <c r="Z273" s="213"/>
      <c r="AA273" s="212"/>
      <c r="AB273" s="184" t="s">
        <v>178</v>
      </c>
      <c r="AC273" s="211">
        <f t="shared" si="70"/>
        <v>59053500</v>
      </c>
      <c r="AD273" s="211"/>
      <c r="AE273" s="210"/>
    </row>
    <row r="274" spans="1:33" s="152" customFormat="1" ht="16.5" customHeight="1" x14ac:dyDescent="0.3">
      <c r="A274" s="855"/>
      <c r="B274" s="137">
        <v>251</v>
      </c>
      <c r="C274" s="141" t="s">
        <v>193</v>
      </c>
      <c r="D274" s="140" t="s">
        <v>190</v>
      </c>
      <c r="E274" s="220" t="s">
        <v>189</v>
      </c>
      <c r="F274" s="219" t="s">
        <v>188</v>
      </c>
      <c r="G274" s="218" t="s">
        <v>194</v>
      </c>
      <c r="H274" s="136">
        <v>9721662</v>
      </c>
      <c r="I274" s="136"/>
      <c r="J274" s="136">
        <f>H274*10%</f>
        <v>972166.20000000007</v>
      </c>
      <c r="K274" s="136">
        <f>H274*2%</f>
        <v>194433.24</v>
      </c>
      <c r="L274" s="153">
        <f>H274+J274</f>
        <v>10693828.199999999</v>
      </c>
      <c r="M274" s="135">
        <f>H274+J274-K274</f>
        <v>10499394.959999999</v>
      </c>
      <c r="N274" s="134" t="s">
        <v>180</v>
      </c>
      <c r="O274" s="134" t="s">
        <v>186</v>
      </c>
      <c r="P274" s="133"/>
      <c r="Q274" s="133"/>
      <c r="R274" s="133"/>
      <c r="S274" s="133">
        <f>H274</f>
        <v>9721662</v>
      </c>
      <c r="T274" s="133"/>
      <c r="U274" s="133"/>
      <c r="V274" s="133"/>
      <c r="W274" s="133"/>
      <c r="X274" s="132"/>
      <c r="Y274" s="132"/>
      <c r="Z274" s="132"/>
      <c r="AA274" s="131"/>
      <c r="AB274" s="184" t="s">
        <v>178</v>
      </c>
      <c r="AC274" s="211">
        <f t="shared" si="70"/>
        <v>9721662</v>
      </c>
      <c r="AD274" s="211"/>
      <c r="AE274" s="229"/>
    </row>
    <row r="275" spans="1:33" s="152" customFormat="1" ht="16.5" customHeight="1" x14ac:dyDescent="0.3">
      <c r="A275" s="855"/>
      <c r="B275" s="137">
        <v>252</v>
      </c>
      <c r="C275" s="141" t="s">
        <v>193</v>
      </c>
      <c r="D275" s="140" t="s">
        <v>190</v>
      </c>
      <c r="E275" s="220" t="s">
        <v>189</v>
      </c>
      <c r="F275" s="219" t="s">
        <v>188</v>
      </c>
      <c r="G275" s="218" t="s">
        <v>192</v>
      </c>
      <c r="H275" s="136">
        <v>9721662</v>
      </c>
      <c r="I275" s="136"/>
      <c r="J275" s="136">
        <f>H275*10%</f>
        <v>972166.20000000007</v>
      </c>
      <c r="K275" s="136">
        <f>H275*2%</f>
        <v>194433.24</v>
      </c>
      <c r="L275" s="153">
        <f>H275+J275</f>
        <v>10693828.199999999</v>
      </c>
      <c r="M275" s="135">
        <f>H275+J275-K275</f>
        <v>10499394.959999999</v>
      </c>
      <c r="N275" s="134" t="s">
        <v>180</v>
      </c>
      <c r="O275" s="134" t="s">
        <v>186</v>
      </c>
      <c r="P275" s="133"/>
      <c r="Q275" s="133"/>
      <c r="R275" s="133"/>
      <c r="S275" s="133">
        <f>H275</f>
        <v>9721662</v>
      </c>
      <c r="T275" s="133"/>
      <c r="U275" s="133"/>
      <c r="V275" s="133"/>
      <c r="W275" s="133"/>
      <c r="X275" s="132"/>
      <c r="Y275" s="132"/>
      <c r="Z275" s="132"/>
      <c r="AA275" s="131"/>
      <c r="AB275" s="184" t="s">
        <v>178</v>
      </c>
      <c r="AC275" s="211">
        <f t="shared" si="70"/>
        <v>9721662</v>
      </c>
      <c r="AD275" s="211"/>
      <c r="AE275" s="229"/>
    </row>
    <row r="276" spans="1:33" s="152" customFormat="1" ht="18.75" customHeight="1" x14ac:dyDescent="0.3">
      <c r="A276" s="855"/>
      <c r="B276" s="137">
        <v>253</v>
      </c>
      <c r="C276" s="222" t="s">
        <v>191</v>
      </c>
      <c r="D276" s="221" t="s">
        <v>190</v>
      </c>
      <c r="E276" s="228" t="s">
        <v>189</v>
      </c>
      <c r="F276" s="219" t="s">
        <v>188</v>
      </c>
      <c r="G276" s="218" t="s">
        <v>187</v>
      </c>
      <c r="H276" s="217">
        <v>9721662</v>
      </c>
      <c r="I276" s="217"/>
      <c r="J276" s="217"/>
      <c r="K276" s="217"/>
      <c r="L276" s="153"/>
      <c r="M276" s="227"/>
      <c r="N276" s="216" t="s">
        <v>180</v>
      </c>
      <c r="O276" s="216" t="s">
        <v>186</v>
      </c>
      <c r="P276" s="226"/>
      <c r="Q276" s="226"/>
      <c r="R276" s="226"/>
      <c r="S276" s="226">
        <f>H276</f>
        <v>9721662</v>
      </c>
      <c r="T276" s="226"/>
      <c r="U276" s="226"/>
      <c r="V276" s="226"/>
      <c r="W276" s="226"/>
      <c r="X276" s="225"/>
      <c r="Y276" s="225"/>
      <c r="Z276" s="225"/>
      <c r="AA276" s="212"/>
      <c r="AB276" s="184" t="s">
        <v>178</v>
      </c>
      <c r="AC276" s="224"/>
      <c r="AD276" s="224"/>
      <c r="AE276" s="223"/>
    </row>
    <row r="277" spans="1:33" s="152" customFormat="1" x14ac:dyDescent="0.3">
      <c r="A277" s="855"/>
      <c r="B277" s="218">
        <v>254</v>
      </c>
      <c r="C277" s="222" t="s">
        <v>185</v>
      </c>
      <c r="D277" s="221" t="s">
        <v>184</v>
      </c>
      <c r="E277" s="220" t="s">
        <v>183</v>
      </c>
      <c r="F277" s="219" t="s">
        <v>182</v>
      </c>
      <c r="G277" s="218" t="s">
        <v>181</v>
      </c>
      <c r="H277" s="217">
        <v>15810240</v>
      </c>
      <c r="I277" s="136"/>
      <c r="J277" s="136">
        <f>H277*10%</f>
        <v>1581024</v>
      </c>
      <c r="K277" s="136">
        <f>H277*2%</f>
        <v>316204.79999999999</v>
      </c>
      <c r="L277" s="153">
        <f>H277+J277</f>
        <v>17391264</v>
      </c>
      <c r="M277" s="135">
        <f>H277+J277-K277</f>
        <v>17075059.199999999</v>
      </c>
      <c r="N277" s="216" t="s">
        <v>180</v>
      </c>
      <c r="O277" s="216" t="s">
        <v>179</v>
      </c>
      <c r="P277" s="213"/>
      <c r="Q277" s="215"/>
      <c r="R277" s="215"/>
      <c r="S277" s="215">
        <f>H277</f>
        <v>15810240</v>
      </c>
      <c r="T277" s="215"/>
      <c r="U277" s="215"/>
      <c r="V277" s="215"/>
      <c r="W277" s="215"/>
      <c r="X277" s="214"/>
      <c r="Y277" s="213"/>
      <c r="Z277" s="213"/>
      <c r="AA277" s="212"/>
      <c r="AB277" s="184" t="s">
        <v>178</v>
      </c>
      <c r="AC277" s="211">
        <f>H277</f>
        <v>15810240</v>
      </c>
      <c r="AD277" s="211"/>
      <c r="AE277" s="210"/>
    </row>
    <row r="278" spans="1:33" s="89" customFormat="1" x14ac:dyDescent="0.3">
      <c r="A278" s="855"/>
      <c r="B278" s="137"/>
      <c r="C278" s="141"/>
      <c r="D278" s="140"/>
      <c r="E278" s="143"/>
      <c r="F278" s="138"/>
      <c r="G278" s="137"/>
      <c r="H278" s="153"/>
      <c r="I278" s="153"/>
      <c r="J278" s="153"/>
      <c r="K278" s="136"/>
      <c r="L278" s="153"/>
      <c r="M278" s="207"/>
      <c r="N278" s="206"/>
      <c r="O278" s="206"/>
      <c r="P278" s="167"/>
      <c r="Q278" s="167"/>
      <c r="R278" s="167"/>
      <c r="S278" s="167"/>
      <c r="T278" s="167"/>
      <c r="U278" s="167"/>
      <c r="V278" s="167"/>
      <c r="W278" s="167"/>
      <c r="X278" s="205"/>
      <c r="Y278" s="205"/>
      <c r="Z278" s="205"/>
      <c r="AA278" s="204"/>
      <c r="AB278" s="184"/>
      <c r="AC278" s="203"/>
      <c r="AD278" s="183"/>
      <c r="AE278" s="179"/>
    </row>
    <row r="279" spans="1:33" s="89" customFormat="1" x14ac:dyDescent="0.3">
      <c r="A279" s="855"/>
      <c r="B279" s="137"/>
      <c r="C279" s="141"/>
      <c r="D279" s="140"/>
      <c r="E279" s="143"/>
      <c r="F279" s="138"/>
      <c r="G279" s="137"/>
      <c r="H279" s="153"/>
      <c r="I279" s="153"/>
      <c r="J279" s="153"/>
      <c r="K279" s="136"/>
      <c r="L279" s="153"/>
      <c r="M279" s="207"/>
      <c r="N279" s="206"/>
      <c r="O279" s="206"/>
      <c r="P279" s="167"/>
      <c r="Q279" s="167"/>
      <c r="R279" s="167"/>
      <c r="S279" s="167"/>
      <c r="T279" s="167"/>
      <c r="U279" s="167"/>
      <c r="V279" s="167"/>
      <c r="W279" s="167"/>
      <c r="X279" s="205"/>
      <c r="Y279" s="205"/>
      <c r="Z279" s="205"/>
      <c r="AA279" s="204"/>
      <c r="AB279" s="184"/>
      <c r="AC279" s="203"/>
      <c r="AD279" s="183"/>
      <c r="AE279" s="179"/>
    </row>
    <row r="280" spans="1:33" s="89" customFormat="1" x14ac:dyDescent="0.3">
      <c r="A280" s="855"/>
      <c r="B280" s="137"/>
      <c r="C280" s="209"/>
      <c r="D280" s="140"/>
      <c r="E280" s="143"/>
      <c r="F280" s="208"/>
      <c r="G280" s="137"/>
      <c r="H280" s="153"/>
      <c r="I280" s="153"/>
      <c r="J280" s="153"/>
      <c r="K280" s="136"/>
      <c r="L280" s="153"/>
      <c r="M280" s="207"/>
      <c r="N280" s="206"/>
      <c r="O280" s="206"/>
      <c r="P280" s="167"/>
      <c r="Q280" s="167"/>
      <c r="R280" s="167"/>
      <c r="S280" s="167"/>
      <c r="T280" s="167"/>
      <c r="U280" s="167"/>
      <c r="V280" s="167"/>
      <c r="W280" s="167"/>
      <c r="X280" s="205"/>
      <c r="Y280" s="205"/>
      <c r="Z280" s="205"/>
      <c r="AA280" s="204"/>
      <c r="AB280" s="184"/>
      <c r="AC280" s="203"/>
      <c r="AD280" s="183"/>
      <c r="AE280" s="179"/>
    </row>
    <row r="281" spans="1:33" s="89" customFormat="1" x14ac:dyDescent="0.3">
      <c r="A281" s="856"/>
      <c r="B281" s="202" t="s">
        <v>177</v>
      </c>
      <c r="C281" s="201"/>
      <c r="D281" s="201"/>
      <c r="E281" s="201"/>
      <c r="F281" s="201"/>
      <c r="G281" s="200"/>
      <c r="H281" s="160">
        <f>SUM(H252:H280)</f>
        <v>2377510719</v>
      </c>
      <c r="I281" s="160"/>
      <c r="J281" s="160">
        <f>SUM(J252:J280)</f>
        <v>27708531.399999999</v>
      </c>
      <c r="K281" s="160">
        <f>SUM(K252:K280)</f>
        <v>7682441.1399999997</v>
      </c>
      <c r="L281" s="160">
        <f>SUM(L252:L280)</f>
        <v>312743045.39999998</v>
      </c>
      <c r="M281" s="160">
        <f>SUM(M252:M280)</f>
        <v>307042355.11999995</v>
      </c>
      <c r="N281" s="159"/>
      <c r="O281" s="159"/>
      <c r="P281" s="158">
        <f t="shared" ref="P281:AA281" si="71">SUM(P252:P280)</f>
        <v>76113400</v>
      </c>
      <c r="Q281" s="158">
        <f t="shared" si="71"/>
        <v>85807603</v>
      </c>
      <c r="R281" s="158">
        <f t="shared" si="71"/>
        <v>125890150</v>
      </c>
      <c r="S281" s="158">
        <f t="shared" si="71"/>
        <v>44975226</v>
      </c>
      <c r="T281" s="158">
        <f t="shared" si="71"/>
        <v>59544000</v>
      </c>
      <c r="U281" s="158">
        <f t="shared" si="71"/>
        <v>0</v>
      </c>
      <c r="V281" s="158">
        <f t="shared" si="71"/>
        <v>419950000</v>
      </c>
      <c r="W281" s="158">
        <f t="shared" si="71"/>
        <v>605000000</v>
      </c>
      <c r="X281" s="158">
        <f t="shared" si="71"/>
        <v>0</v>
      </c>
      <c r="Y281" s="158">
        <f t="shared" si="71"/>
        <v>0</v>
      </c>
      <c r="Z281" s="158">
        <f t="shared" si="71"/>
        <v>960230340</v>
      </c>
      <c r="AA281" s="157">
        <f t="shared" si="71"/>
        <v>0</v>
      </c>
      <c r="AB281" s="119"/>
      <c r="AC281" s="156">
        <f>SUM(AC252:AC280)</f>
        <v>397245057</v>
      </c>
      <c r="AD281" s="156">
        <f>SUM(AD252:AD280)</f>
        <v>0</v>
      </c>
      <c r="AE281" s="199"/>
      <c r="AG281" s="115">
        <f>L281-(SUM(P281:X281))</f>
        <v>-1104537333.5999999</v>
      </c>
    </row>
    <row r="282" spans="1:33" s="89" customFormat="1" x14ac:dyDescent="0.3">
      <c r="A282" s="198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7"/>
      <c r="O282" s="197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5"/>
      <c r="AB282" s="195"/>
      <c r="AC282" s="195"/>
      <c r="AD282" s="195"/>
      <c r="AE282" s="194"/>
    </row>
    <row r="283" spans="1:33" s="89" customFormat="1" x14ac:dyDescent="0.3">
      <c r="A283" s="857" t="s">
        <v>176</v>
      </c>
      <c r="B283" s="193"/>
      <c r="C283" s="192"/>
      <c r="D283" s="191"/>
      <c r="E283" s="190"/>
      <c r="F283" s="185"/>
      <c r="G283" s="137"/>
      <c r="H283" s="189"/>
      <c r="I283" s="189"/>
      <c r="J283" s="153"/>
      <c r="K283" s="136"/>
      <c r="L283" s="153"/>
      <c r="M283" s="169"/>
      <c r="N283" s="168"/>
      <c r="O283" s="168"/>
      <c r="P283" s="167"/>
      <c r="Q283" s="167"/>
      <c r="R283" s="167"/>
      <c r="S283" s="167"/>
      <c r="T283" s="167"/>
      <c r="U283" s="167"/>
      <c r="V283" s="167"/>
      <c r="W283" s="167"/>
      <c r="X283" s="167"/>
      <c r="Y283" s="188"/>
      <c r="Z283" s="188"/>
      <c r="AA283" s="186"/>
      <c r="AB283" s="187"/>
      <c r="AC283" s="163">
        <f>H283</f>
        <v>0</v>
      </c>
      <c r="AD283" s="186"/>
      <c r="AE283" s="186"/>
    </row>
    <row r="284" spans="1:33" s="89" customFormat="1" x14ac:dyDescent="0.3">
      <c r="A284" s="852"/>
      <c r="B284" s="139"/>
      <c r="C284" s="141"/>
      <c r="D284" s="140"/>
      <c r="E284" s="142"/>
      <c r="F284" s="185"/>
      <c r="G284" s="137"/>
      <c r="H284" s="153"/>
      <c r="I284" s="153"/>
      <c r="J284" s="153"/>
      <c r="K284" s="136"/>
      <c r="L284" s="153"/>
      <c r="M284" s="169"/>
      <c r="N284" s="168"/>
      <c r="O284" s="168"/>
      <c r="P284" s="167"/>
      <c r="Q284" s="167"/>
      <c r="R284" s="167"/>
      <c r="S284" s="167"/>
      <c r="T284" s="167"/>
      <c r="U284" s="167"/>
      <c r="V284" s="167"/>
      <c r="W284" s="167"/>
      <c r="X284" s="167"/>
      <c r="Y284" s="182"/>
      <c r="Z284" s="182"/>
      <c r="AA284" s="181"/>
      <c r="AB284" s="184"/>
      <c r="AC284" s="163"/>
      <c r="AD284" s="183"/>
      <c r="AE284" s="179"/>
    </row>
    <row r="285" spans="1:33" s="89" customFormat="1" x14ac:dyDescent="0.3">
      <c r="A285" s="852"/>
      <c r="B285" s="177"/>
      <c r="C285" s="141"/>
      <c r="D285" s="140"/>
      <c r="E285" s="142"/>
      <c r="F285" s="143"/>
      <c r="G285" s="137"/>
      <c r="H285" s="153"/>
      <c r="I285" s="153"/>
      <c r="J285" s="153"/>
      <c r="K285" s="136"/>
      <c r="L285" s="153"/>
      <c r="M285" s="169"/>
      <c r="N285" s="168"/>
      <c r="O285" s="168"/>
      <c r="P285" s="167"/>
      <c r="Q285" s="167"/>
      <c r="R285" s="167"/>
      <c r="S285" s="167"/>
      <c r="T285" s="167"/>
      <c r="U285" s="167"/>
      <c r="V285" s="167"/>
      <c r="W285" s="167"/>
      <c r="X285" s="167"/>
      <c r="Y285" s="182"/>
      <c r="Z285" s="182"/>
      <c r="AA285" s="181"/>
      <c r="AB285" s="130"/>
      <c r="AC285" s="163">
        <f t="shared" ref="AC285:AC292" si="72">H285</f>
        <v>0</v>
      </c>
      <c r="AD285" s="183"/>
      <c r="AE285" s="179"/>
    </row>
    <row r="286" spans="1:33" s="89" customFormat="1" x14ac:dyDescent="0.3">
      <c r="A286" s="852"/>
      <c r="B286" s="177"/>
      <c r="C286" s="141"/>
      <c r="D286" s="144"/>
      <c r="E286" s="142"/>
      <c r="F286" s="143"/>
      <c r="G286" s="137"/>
      <c r="H286" s="153"/>
      <c r="I286" s="153"/>
      <c r="J286" s="153"/>
      <c r="K286" s="136"/>
      <c r="L286" s="153"/>
      <c r="M286" s="169"/>
      <c r="N286" s="168"/>
      <c r="O286" s="168"/>
      <c r="P286" s="167"/>
      <c r="Q286" s="167"/>
      <c r="R286" s="167"/>
      <c r="S286" s="167"/>
      <c r="T286" s="167"/>
      <c r="U286" s="167"/>
      <c r="V286" s="167"/>
      <c r="W286" s="167"/>
      <c r="X286" s="167"/>
      <c r="Y286" s="182"/>
      <c r="Z286" s="182"/>
      <c r="AA286" s="181"/>
      <c r="AB286" s="130"/>
      <c r="AC286" s="163">
        <f t="shared" si="72"/>
        <v>0</v>
      </c>
      <c r="AD286" s="180"/>
      <c r="AE286" s="179"/>
    </row>
    <row r="287" spans="1:33" s="89" customFormat="1" x14ac:dyDescent="0.3">
      <c r="A287" s="852"/>
      <c r="B287" s="177"/>
      <c r="C287" s="140"/>
      <c r="D287" s="144"/>
      <c r="E287" s="142"/>
      <c r="F287" s="143"/>
      <c r="G287" s="137"/>
      <c r="H287" s="153"/>
      <c r="I287" s="153"/>
      <c r="J287" s="153"/>
      <c r="K287" s="136"/>
      <c r="L287" s="153"/>
      <c r="M287" s="169"/>
      <c r="N287" s="168"/>
      <c r="O287" s="168"/>
      <c r="P287" s="167"/>
      <c r="Q287" s="167"/>
      <c r="R287" s="167"/>
      <c r="S287" s="167"/>
      <c r="T287" s="167"/>
      <c r="U287" s="167"/>
      <c r="V287" s="167"/>
      <c r="W287" s="167"/>
      <c r="X287" s="167"/>
      <c r="Y287" s="166"/>
      <c r="Z287" s="166"/>
      <c r="AA287" s="165"/>
      <c r="AB287" s="130"/>
      <c r="AC287" s="163">
        <f t="shared" si="72"/>
        <v>0</v>
      </c>
      <c r="AD287" s="162"/>
      <c r="AE287" s="161"/>
    </row>
    <row r="288" spans="1:33" s="89" customFormat="1" x14ac:dyDescent="0.3">
      <c r="A288" s="852"/>
      <c r="B288" s="177"/>
      <c r="C288" s="140"/>
      <c r="D288" s="144"/>
      <c r="E288" s="142"/>
      <c r="F288" s="143"/>
      <c r="G288" s="137"/>
      <c r="H288" s="153"/>
      <c r="I288" s="153"/>
      <c r="J288" s="153"/>
      <c r="K288" s="136"/>
      <c r="L288" s="153"/>
      <c r="M288" s="169"/>
      <c r="N288" s="168"/>
      <c r="O288" s="168"/>
      <c r="P288" s="167"/>
      <c r="Q288" s="167"/>
      <c r="R288" s="167"/>
      <c r="S288" s="167"/>
      <c r="T288" s="167"/>
      <c r="U288" s="167"/>
      <c r="V288" s="167"/>
      <c r="W288" s="167"/>
      <c r="X288" s="167"/>
      <c r="Y288" s="166"/>
      <c r="Z288" s="166"/>
      <c r="AA288" s="165"/>
      <c r="AB288" s="130"/>
      <c r="AC288" s="163">
        <f t="shared" si="72"/>
        <v>0</v>
      </c>
      <c r="AD288" s="162"/>
      <c r="AE288" s="161"/>
    </row>
    <row r="289" spans="1:31" s="89" customFormat="1" x14ac:dyDescent="0.3">
      <c r="A289" s="852"/>
      <c r="B289" s="177"/>
      <c r="C289" s="140"/>
      <c r="D289" s="144"/>
      <c r="E289" s="142"/>
      <c r="F289" s="143"/>
      <c r="G289" s="137"/>
      <c r="H289" s="153"/>
      <c r="I289" s="153"/>
      <c r="J289" s="153"/>
      <c r="K289" s="136"/>
      <c r="L289" s="153"/>
      <c r="M289" s="169"/>
      <c r="N289" s="168"/>
      <c r="O289" s="168"/>
      <c r="P289" s="167"/>
      <c r="Q289" s="167"/>
      <c r="R289" s="167"/>
      <c r="S289" s="167"/>
      <c r="T289" s="167"/>
      <c r="U289" s="167"/>
      <c r="V289" s="167"/>
      <c r="W289" s="167"/>
      <c r="X289" s="167"/>
      <c r="Y289" s="166"/>
      <c r="Z289" s="166"/>
      <c r="AA289" s="165"/>
      <c r="AB289" s="130"/>
      <c r="AC289" s="163">
        <f t="shared" si="72"/>
        <v>0</v>
      </c>
      <c r="AD289" s="162"/>
      <c r="AE289" s="161"/>
    </row>
    <row r="290" spans="1:31" s="89" customFormat="1" x14ac:dyDescent="0.3">
      <c r="A290" s="852"/>
      <c r="B290" s="177"/>
      <c r="C290" s="140"/>
      <c r="D290" s="144"/>
      <c r="E290" s="142"/>
      <c r="F290" s="143"/>
      <c r="G290" s="137"/>
      <c r="H290" s="153"/>
      <c r="I290" s="153"/>
      <c r="J290" s="153"/>
      <c r="K290" s="136"/>
      <c r="L290" s="153"/>
      <c r="M290" s="169"/>
      <c r="N290" s="168"/>
      <c r="O290" s="168"/>
      <c r="P290" s="167"/>
      <c r="Q290" s="167"/>
      <c r="R290" s="167"/>
      <c r="S290" s="167"/>
      <c r="T290" s="167"/>
      <c r="U290" s="167"/>
      <c r="V290" s="167"/>
      <c r="W290" s="167"/>
      <c r="X290" s="167"/>
      <c r="Y290" s="166"/>
      <c r="Z290" s="166"/>
      <c r="AA290" s="165"/>
      <c r="AB290" s="130"/>
      <c r="AC290" s="163">
        <f t="shared" si="72"/>
        <v>0</v>
      </c>
      <c r="AD290" s="162"/>
      <c r="AE290" s="161"/>
    </row>
    <row r="291" spans="1:31" s="89" customFormat="1" x14ac:dyDescent="0.3">
      <c r="A291" s="852"/>
      <c r="B291" s="177"/>
      <c r="C291" s="140"/>
      <c r="D291" s="144"/>
      <c r="E291" s="142"/>
      <c r="F291" s="143"/>
      <c r="G291" s="137"/>
      <c r="H291" s="153"/>
      <c r="I291" s="153"/>
      <c r="J291" s="153"/>
      <c r="K291" s="136"/>
      <c r="L291" s="153"/>
      <c r="M291" s="169"/>
      <c r="N291" s="168"/>
      <c r="O291" s="168"/>
      <c r="P291" s="167"/>
      <c r="Q291" s="167"/>
      <c r="R291" s="167"/>
      <c r="S291" s="167"/>
      <c r="T291" s="167"/>
      <c r="U291" s="167"/>
      <c r="V291" s="167"/>
      <c r="W291" s="167"/>
      <c r="X291" s="167"/>
      <c r="Y291" s="166"/>
      <c r="Z291" s="166"/>
      <c r="AA291" s="165"/>
      <c r="AB291" s="130"/>
      <c r="AC291" s="163">
        <f t="shared" si="72"/>
        <v>0</v>
      </c>
      <c r="AD291" s="162"/>
      <c r="AE291" s="161"/>
    </row>
    <row r="292" spans="1:31" s="89" customFormat="1" x14ac:dyDescent="0.3">
      <c r="A292" s="852"/>
      <c r="B292" s="177"/>
      <c r="C292" s="140"/>
      <c r="D292" s="144"/>
      <c r="E292" s="142"/>
      <c r="F292" s="143"/>
      <c r="G292" s="137"/>
      <c r="H292" s="153"/>
      <c r="I292" s="153"/>
      <c r="J292" s="153"/>
      <c r="K292" s="136"/>
      <c r="L292" s="153"/>
      <c r="M292" s="169"/>
      <c r="N292" s="168"/>
      <c r="O292" s="168"/>
      <c r="P292" s="167"/>
      <c r="Q292" s="167"/>
      <c r="R292" s="167"/>
      <c r="S292" s="167"/>
      <c r="T292" s="167"/>
      <c r="U292" s="167"/>
      <c r="V292" s="167"/>
      <c r="W292" s="167"/>
      <c r="X292" s="167"/>
      <c r="Y292" s="166"/>
      <c r="Z292" s="166"/>
      <c r="AA292" s="165"/>
      <c r="AB292" s="130"/>
      <c r="AC292" s="163">
        <f t="shared" si="72"/>
        <v>0</v>
      </c>
      <c r="AD292" s="162"/>
      <c r="AE292" s="161"/>
    </row>
    <row r="293" spans="1:31" s="89" customFormat="1" x14ac:dyDescent="0.3">
      <c r="A293" s="852"/>
      <c r="B293" s="177"/>
      <c r="C293" s="140"/>
      <c r="D293" s="144"/>
      <c r="E293" s="142"/>
      <c r="F293" s="143"/>
      <c r="G293" s="137"/>
      <c r="H293" s="153"/>
      <c r="I293" s="153"/>
      <c r="J293" s="153"/>
      <c r="K293" s="136"/>
      <c r="L293" s="153"/>
      <c r="M293" s="169"/>
      <c r="N293" s="168"/>
      <c r="O293" s="168"/>
      <c r="P293" s="167"/>
      <c r="Q293" s="167"/>
      <c r="R293" s="167"/>
      <c r="S293" s="167"/>
      <c r="T293" s="167"/>
      <c r="U293" s="167"/>
      <c r="V293" s="167"/>
      <c r="W293" s="167"/>
      <c r="X293" s="167"/>
      <c r="Y293" s="166"/>
      <c r="Z293" s="166"/>
      <c r="AA293" s="165"/>
      <c r="AB293" s="130"/>
      <c r="AC293" s="163"/>
      <c r="AD293" s="162"/>
      <c r="AE293" s="161"/>
    </row>
    <row r="294" spans="1:31" s="89" customFormat="1" x14ac:dyDescent="0.3">
      <c r="A294" s="852"/>
      <c r="B294" s="177"/>
      <c r="C294" s="140"/>
      <c r="D294" s="144"/>
      <c r="E294" s="142"/>
      <c r="F294" s="143"/>
      <c r="G294" s="137"/>
      <c r="H294" s="153"/>
      <c r="I294" s="153"/>
      <c r="J294" s="153"/>
      <c r="K294" s="136"/>
      <c r="L294" s="153"/>
      <c r="M294" s="169"/>
      <c r="N294" s="168"/>
      <c r="O294" s="168"/>
      <c r="P294" s="167"/>
      <c r="Q294" s="167"/>
      <c r="R294" s="167"/>
      <c r="S294" s="167"/>
      <c r="T294" s="167"/>
      <c r="U294" s="167"/>
      <c r="V294" s="167"/>
      <c r="W294" s="167"/>
      <c r="X294" s="167"/>
      <c r="Y294" s="166"/>
      <c r="Z294" s="166"/>
      <c r="AA294" s="165"/>
      <c r="AB294" s="130"/>
      <c r="AC294" s="163"/>
      <c r="AD294" s="162"/>
      <c r="AE294" s="161"/>
    </row>
    <row r="295" spans="1:31" s="89" customFormat="1" x14ac:dyDescent="0.3">
      <c r="A295" s="852"/>
      <c r="B295" s="177"/>
      <c r="C295" s="140"/>
      <c r="D295" s="144"/>
      <c r="E295" s="142"/>
      <c r="F295" s="143"/>
      <c r="G295" s="137"/>
      <c r="H295" s="153"/>
      <c r="I295" s="153"/>
      <c r="J295" s="153"/>
      <c r="K295" s="136"/>
      <c r="L295" s="153"/>
      <c r="M295" s="169"/>
      <c r="N295" s="168"/>
      <c r="O295" s="168"/>
      <c r="P295" s="167"/>
      <c r="Q295" s="167"/>
      <c r="R295" s="167"/>
      <c r="S295" s="167"/>
      <c r="T295" s="167"/>
      <c r="U295" s="167"/>
      <c r="V295" s="167"/>
      <c r="W295" s="167"/>
      <c r="X295" s="167"/>
      <c r="Y295" s="166"/>
      <c r="Z295" s="166"/>
      <c r="AA295" s="165"/>
      <c r="AB295" s="130"/>
      <c r="AC295" s="163"/>
      <c r="AD295" s="162"/>
      <c r="AE295" s="161"/>
    </row>
    <row r="296" spans="1:31" s="89" customFormat="1" x14ac:dyDescent="0.3">
      <c r="A296" s="852"/>
      <c r="B296" s="177"/>
      <c r="C296" s="140"/>
      <c r="D296" s="144"/>
      <c r="E296" s="142"/>
      <c r="F296" s="143"/>
      <c r="G296" s="137"/>
      <c r="H296" s="153"/>
      <c r="I296" s="153"/>
      <c r="J296" s="153"/>
      <c r="K296" s="136"/>
      <c r="L296" s="153"/>
      <c r="M296" s="169"/>
      <c r="N296" s="168"/>
      <c r="O296" s="168"/>
      <c r="P296" s="167"/>
      <c r="Q296" s="167"/>
      <c r="R296" s="167"/>
      <c r="S296" s="167"/>
      <c r="T296" s="167"/>
      <c r="U296" s="167"/>
      <c r="V296" s="167"/>
      <c r="W296" s="167"/>
      <c r="X296" s="167"/>
      <c r="Y296" s="166"/>
      <c r="Z296" s="166"/>
      <c r="AA296" s="165"/>
      <c r="AB296" s="130"/>
      <c r="AC296" s="163"/>
      <c r="AD296" s="162"/>
      <c r="AE296" s="161"/>
    </row>
    <row r="297" spans="1:31" s="89" customFormat="1" x14ac:dyDescent="0.3">
      <c r="A297" s="852"/>
      <c r="B297" s="177"/>
      <c r="C297" s="140"/>
      <c r="D297" s="144"/>
      <c r="E297" s="142"/>
      <c r="F297" s="143"/>
      <c r="G297" s="137"/>
      <c r="H297" s="153"/>
      <c r="I297" s="153"/>
      <c r="J297" s="153"/>
      <c r="K297" s="136"/>
      <c r="L297" s="153"/>
      <c r="M297" s="169"/>
      <c r="N297" s="168"/>
      <c r="O297" s="168"/>
      <c r="P297" s="167"/>
      <c r="Q297" s="167"/>
      <c r="R297" s="167"/>
      <c r="S297" s="167"/>
      <c r="T297" s="167"/>
      <c r="U297" s="167"/>
      <c r="V297" s="167"/>
      <c r="W297" s="167"/>
      <c r="X297" s="167"/>
      <c r="Y297" s="166"/>
      <c r="Z297" s="166"/>
      <c r="AA297" s="165"/>
      <c r="AB297" s="130"/>
      <c r="AC297" s="163"/>
      <c r="AD297" s="162"/>
      <c r="AE297" s="161"/>
    </row>
    <row r="298" spans="1:31" s="89" customFormat="1" x14ac:dyDescent="0.3">
      <c r="A298" s="852"/>
      <c r="B298" s="177"/>
      <c r="C298" s="140"/>
      <c r="D298" s="144"/>
      <c r="E298" s="142"/>
      <c r="F298" s="143"/>
      <c r="G298" s="137"/>
      <c r="H298" s="153"/>
      <c r="I298" s="153"/>
      <c r="J298" s="153"/>
      <c r="K298" s="136"/>
      <c r="L298" s="153"/>
      <c r="M298" s="169"/>
      <c r="N298" s="168"/>
      <c r="O298" s="168"/>
      <c r="P298" s="167"/>
      <c r="Q298" s="167"/>
      <c r="R298" s="167"/>
      <c r="S298" s="167"/>
      <c r="T298" s="167"/>
      <c r="U298" s="167"/>
      <c r="V298" s="167"/>
      <c r="W298" s="167"/>
      <c r="X298" s="167"/>
      <c r="Y298" s="166"/>
      <c r="Z298" s="166"/>
      <c r="AA298" s="165"/>
      <c r="AB298" s="130"/>
      <c r="AC298" s="163"/>
      <c r="AD298" s="162"/>
      <c r="AE298" s="161"/>
    </row>
    <row r="299" spans="1:31" s="89" customFormat="1" x14ac:dyDescent="0.3">
      <c r="A299" s="852"/>
      <c r="B299" s="178"/>
      <c r="C299" s="175"/>
      <c r="D299" s="144"/>
      <c r="E299" s="142"/>
      <c r="F299" s="143"/>
      <c r="G299" s="137"/>
      <c r="H299" s="171"/>
      <c r="I299" s="153"/>
      <c r="J299" s="153"/>
      <c r="K299" s="136"/>
      <c r="L299" s="153"/>
      <c r="M299" s="169"/>
      <c r="N299" s="168"/>
      <c r="O299" s="168"/>
      <c r="P299" s="167"/>
      <c r="Q299" s="167"/>
      <c r="R299" s="167"/>
      <c r="S299" s="167"/>
      <c r="T299" s="167"/>
      <c r="U299" s="167"/>
      <c r="V299" s="167"/>
      <c r="W299" s="167"/>
      <c r="X299" s="167"/>
      <c r="Y299" s="166"/>
      <c r="Z299" s="166"/>
      <c r="AA299" s="165"/>
      <c r="AB299" s="130"/>
      <c r="AC299" s="163"/>
      <c r="AD299" s="162"/>
      <c r="AE299" s="161"/>
    </row>
    <row r="300" spans="1:31" s="89" customFormat="1" x14ac:dyDescent="0.3">
      <c r="A300" s="852"/>
      <c r="B300" s="177"/>
      <c r="C300" s="175"/>
      <c r="D300" s="144"/>
      <c r="E300" s="142"/>
      <c r="F300" s="143"/>
      <c r="G300" s="137"/>
      <c r="H300" s="171"/>
      <c r="I300" s="153"/>
      <c r="J300" s="153"/>
      <c r="K300" s="136"/>
      <c r="L300" s="153"/>
      <c r="M300" s="169"/>
      <c r="N300" s="168"/>
      <c r="O300" s="168"/>
      <c r="P300" s="167"/>
      <c r="Q300" s="167"/>
      <c r="R300" s="167"/>
      <c r="S300" s="167"/>
      <c r="T300" s="167"/>
      <c r="U300" s="167"/>
      <c r="V300" s="167"/>
      <c r="W300" s="167"/>
      <c r="X300" s="167"/>
      <c r="Y300" s="166"/>
      <c r="Z300" s="166"/>
      <c r="AA300" s="165"/>
      <c r="AB300" s="130"/>
      <c r="AC300" s="163">
        <f t="shared" ref="AC300:AC306" si="73">H300</f>
        <v>0</v>
      </c>
      <c r="AD300" s="162"/>
      <c r="AE300" s="161"/>
    </row>
    <row r="301" spans="1:31" s="89" customFormat="1" x14ac:dyDescent="0.3">
      <c r="A301" s="852"/>
      <c r="B301" s="178"/>
      <c r="C301" s="175"/>
      <c r="D301" s="144"/>
      <c r="E301" s="142"/>
      <c r="F301" s="143"/>
      <c r="G301" s="137"/>
      <c r="H301" s="171"/>
      <c r="I301" s="153"/>
      <c r="J301" s="153"/>
      <c r="K301" s="136"/>
      <c r="L301" s="153"/>
      <c r="M301" s="169"/>
      <c r="N301" s="168"/>
      <c r="O301" s="168"/>
      <c r="P301" s="167"/>
      <c r="Q301" s="167"/>
      <c r="R301" s="167"/>
      <c r="S301" s="167"/>
      <c r="T301" s="167"/>
      <c r="U301" s="167"/>
      <c r="V301" s="167"/>
      <c r="W301" s="167"/>
      <c r="X301" s="167"/>
      <c r="Y301" s="166"/>
      <c r="Z301" s="166"/>
      <c r="AA301" s="165"/>
      <c r="AB301" s="130"/>
      <c r="AC301" s="163">
        <f t="shared" si="73"/>
        <v>0</v>
      </c>
      <c r="AD301" s="162"/>
      <c r="AE301" s="161"/>
    </row>
    <row r="302" spans="1:31" s="89" customFormat="1" x14ac:dyDescent="0.3">
      <c r="A302" s="852"/>
      <c r="B302" s="177"/>
      <c r="C302" s="175"/>
      <c r="D302" s="144"/>
      <c r="E302" s="142"/>
      <c r="F302" s="143"/>
      <c r="G302" s="137"/>
      <c r="H302" s="171"/>
      <c r="I302" s="153"/>
      <c r="J302" s="153"/>
      <c r="K302" s="136"/>
      <c r="L302" s="153"/>
      <c r="M302" s="169"/>
      <c r="N302" s="168"/>
      <c r="O302" s="168"/>
      <c r="P302" s="167"/>
      <c r="Q302" s="167"/>
      <c r="R302" s="167"/>
      <c r="S302" s="167"/>
      <c r="T302" s="167"/>
      <c r="U302" s="167"/>
      <c r="V302" s="167"/>
      <c r="W302" s="167"/>
      <c r="X302" s="167"/>
      <c r="Y302" s="166"/>
      <c r="Z302" s="166"/>
      <c r="AA302" s="165"/>
      <c r="AB302" s="130"/>
      <c r="AC302" s="163">
        <f t="shared" si="73"/>
        <v>0</v>
      </c>
      <c r="AD302" s="162"/>
      <c r="AE302" s="161"/>
    </row>
    <row r="303" spans="1:31" s="89" customFormat="1" x14ac:dyDescent="0.3">
      <c r="A303" s="852"/>
      <c r="B303" s="178"/>
      <c r="C303" s="175"/>
      <c r="D303" s="144"/>
      <c r="E303" s="142"/>
      <c r="F303" s="143"/>
      <c r="G303" s="137"/>
      <c r="H303" s="171"/>
      <c r="I303" s="153"/>
      <c r="J303" s="153"/>
      <c r="K303" s="136"/>
      <c r="L303" s="153"/>
      <c r="M303" s="169"/>
      <c r="N303" s="168"/>
      <c r="O303" s="168"/>
      <c r="P303" s="167"/>
      <c r="Q303" s="167"/>
      <c r="R303" s="167"/>
      <c r="S303" s="167"/>
      <c r="T303" s="167"/>
      <c r="U303" s="167"/>
      <c r="V303" s="167"/>
      <c r="W303" s="167"/>
      <c r="X303" s="167"/>
      <c r="Y303" s="166"/>
      <c r="Z303" s="166"/>
      <c r="AA303" s="165"/>
      <c r="AB303" s="130"/>
      <c r="AC303" s="163">
        <f t="shared" si="73"/>
        <v>0</v>
      </c>
      <c r="AD303" s="162"/>
      <c r="AE303" s="161"/>
    </row>
    <row r="304" spans="1:31" s="89" customFormat="1" x14ac:dyDescent="0.3">
      <c r="A304" s="852"/>
      <c r="B304" s="177"/>
      <c r="C304" s="175"/>
      <c r="D304" s="144"/>
      <c r="E304" s="142"/>
      <c r="F304" s="143"/>
      <c r="G304" s="137"/>
      <c r="H304" s="171"/>
      <c r="I304" s="153"/>
      <c r="J304" s="153"/>
      <c r="K304" s="136"/>
      <c r="L304" s="153"/>
      <c r="M304" s="169"/>
      <c r="N304" s="168"/>
      <c r="O304" s="168"/>
      <c r="P304" s="167"/>
      <c r="Q304" s="167"/>
      <c r="R304" s="167"/>
      <c r="S304" s="167"/>
      <c r="T304" s="167"/>
      <c r="U304" s="167"/>
      <c r="V304" s="167"/>
      <c r="W304" s="167"/>
      <c r="X304" s="167"/>
      <c r="Y304" s="166"/>
      <c r="Z304" s="166"/>
      <c r="AA304" s="165"/>
      <c r="AB304" s="130"/>
      <c r="AC304" s="163">
        <f t="shared" si="73"/>
        <v>0</v>
      </c>
      <c r="AD304" s="162"/>
      <c r="AE304" s="161"/>
    </row>
    <row r="305" spans="1:33" s="89" customFormat="1" x14ac:dyDescent="0.3">
      <c r="A305" s="852"/>
      <c r="B305" s="178"/>
      <c r="C305" s="175"/>
      <c r="D305" s="174"/>
      <c r="E305" s="173"/>
      <c r="F305" s="172"/>
      <c r="G305" s="137"/>
      <c r="H305" s="171"/>
      <c r="I305" s="153"/>
      <c r="J305" s="153"/>
      <c r="K305" s="136"/>
      <c r="L305" s="153"/>
      <c r="M305" s="169"/>
      <c r="N305" s="168"/>
      <c r="O305" s="168"/>
      <c r="P305" s="167"/>
      <c r="Q305" s="167"/>
      <c r="R305" s="167"/>
      <c r="S305" s="167"/>
      <c r="T305" s="167"/>
      <c r="U305" s="167"/>
      <c r="V305" s="167"/>
      <c r="W305" s="167"/>
      <c r="X305" s="167"/>
      <c r="Y305" s="166"/>
      <c r="Z305" s="166"/>
      <c r="AA305" s="165"/>
      <c r="AB305" s="130"/>
      <c r="AC305" s="163">
        <f t="shared" si="73"/>
        <v>0</v>
      </c>
      <c r="AD305" s="162"/>
      <c r="AE305" s="161"/>
    </row>
    <row r="306" spans="1:33" s="89" customFormat="1" x14ac:dyDescent="0.3">
      <c r="A306" s="852"/>
      <c r="B306" s="177"/>
      <c r="C306" s="175"/>
      <c r="D306" s="174"/>
      <c r="E306" s="173"/>
      <c r="F306" s="172"/>
      <c r="G306" s="137"/>
      <c r="H306" s="171"/>
      <c r="I306" s="171"/>
      <c r="J306" s="171"/>
      <c r="K306" s="170"/>
      <c r="L306" s="153"/>
      <c r="M306" s="169"/>
      <c r="N306" s="168"/>
      <c r="O306" s="168"/>
      <c r="P306" s="167"/>
      <c r="Q306" s="167"/>
      <c r="R306" s="167"/>
      <c r="S306" s="167"/>
      <c r="T306" s="167"/>
      <c r="U306" s="167"/>
      <c r="V306" s="167"/>
      <c r="W306" s="167"/>
      <c r="X306" s="167"/>
      <c r="Y306" s="166"/>
      <c r="Z306" s="166"/>
      <c r="AA306" s="165"/>
      <c r="AB306" s="164"/>
      <c r="AC306" s="163">
        <f t="shared" si="73"/>
        <v>0</v>
      </c>
      <c r="AD306" s="162"/>
      <c r="AE306" s="161"/>
    </row>
    <row r="307" spans="1:33" s="89" customFormat="1" x14ac:dyDescent="0.3">
      <c r="A307" s="852"/>
      <c r="B307" s="176"/>
      <c r="C307" s="175"/>
      <c r="D307" s="174"/>
      <c r="E307" s="173"/>
      <c r="F307" s="172"/>
      <c r="G307" s="137"/>
      <c r="H307" s="171"/>
      <c r="I307" s="171"/>
      <c r="J307" s="171"/>
      <c r="K307" s="170"/>
      <c r="L307" s="153"/>
      <c r="M307" s="169"/>
      <c r="N307" s="168"/>
      <c r="O307" s="168"/>
      <c r="P307" s="167"/>
      <c r="Q307" s="167"/>
      <c r="R307" s="167"/>
      <c r="S307" s="167"/>
      <c r="T307" s="167"/>
      <c r="U307" s="167"/>
      <c r="V307" s="167"/>
      <c r="W307" s="167"/>
      <c r="X307" s="167"/>
      <c r="Y307" s="166"/>
      <c r="Z307" s="166"/>
      <c r="AA307" s="165"/>
      <c r="AB307" s="164"/>
      <c r="AC307" s="163"/>
      <c r="AD307" s="162"/>
      <c r="AE307" s="161"/>
    </row>
    <row r="308" spans="1:33" s="89" customFormat="1" x14ac:dyDescent="0.3">
      <c r="A308" s="853"/>
      <c r="B308" s="127" t="s">
        <v>175</v>
      </c>
      <c r="C308" s="126"/>
      <c r="D308" s="126"/>
      <c r="E308" s="126"/>
      <c r="F308" s="126"/>
      <c r="G308" s="125"/>
      <c r="H308" s="160">
        <f>SUM(H283:H307)</f>
        <v>0</v>
      </c>
      <c r="I308" s="160"/>
      <c r="J308" s="160">
        <f>SUM(J283:J306)</f>
        <v>0</v>
      </c>
      <c r="K308" s="160">
        <f>SUM(K283:K306)</f>
        <v>0</v>
      </c>
      <c r="L308" s="160">
        <f>SUM(L283:L306)</f>
        <v>0</v>
      </c>
      <c r="M308" s="160">
        <f>SUM(M283:M306)</f>
        <v>0</v>
      </c>
      <c r="N308" s="159"/>
      <c r="O308" s="159"/>
      <c r="P308" s="158">
        <f>SUM(P283:P306)</f>
        <v>0</v>
      </c>
      <c r="Q308" s="158">
        <f>SUM(Q283:Q307)</f>
        <v>0</v>
      </c>
      <c r="R308" s="158"/>
      <c r="S308" s="158"/>
      <c r="T308" s="158">
        <f>SUM(T283:T307)</f>
        <v>0</v>
      </c>
      <c r="U308" s="158">
        <f>SUM(U283:U307)</f>
        <v>0</v>
      </c>
      <c r="V308" s="158"/>
      <c r="W308" s="158">
        <f>SUM(W283:W307)</f>
        <v>0</v>
      </c>
      <c r="X308" s="158">
        <f>SUM(X283:X307)</f>
        <v>0</v>
      </c>
      <c r="Y308" s="158"/>
      <c r="Z308" s="158"/>
      <c r="AA308" s="157">
        <f>SUM(AA283:AA307)</f>
        <v>0</v>
      </c>
      <c r="AB308" s="119"/>
      <c r="AC308" s="156">
        <f>SUM(AC283:AC306)</f>
        <v>0</v>
      </c>
      <c r="AD308" s="155">
        <f>SUM(AD284:AD306)</f>
        <v>0</v>
      </c>
      <c r="AE308" s="154"/>
      <c r="AG308" s="115">
        <f>L308-(SUM(P308:X308))</f>
        <v>0</v>
      </c>
    </row>
    <row r="309" spans="1:33" s="89" customFormat="1" x14ac:dyDescent="0.3">
      <c r="A309" s="150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9"/>
      <c r="O309" s="149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7"/>
      <c r="AB309" s="147"/>
      <c r="AC309" s="147"/>
      <c r="AD309" s="147"/>
      <c r="AE309" s="146"/>
    </row>
    <row r="310" spans="1:33" s="152" customFormat="1" ht="23.25" customHeight="1" x14ac:dyDescent="0.3">
      <c r="A310" s="836" t="s">
        <v>174</v>
      </c>
      <c r="B310" s="137"/>
      <c r="C310" s="141"/>
      <c r="D310" s="140"/>
      <c r="E310" s="145"/>
      <c r="F310" s="143"/>
      <c r="G310" s="137"/>
      <c r="H310" s="136"/>
      <c r="I310" s="136"/>
      <c r="J310" s="136"/>
      <c r="K310" s="136"/>
      <c r="L310" s="153"/>
      <c r="M310" s="135"/>
      <c r="N310" s="134"/>
      <c r="O310" s="134"/>
      <c r="P310" s="133"/>
      <c r="Q310" s="133"/>
      <c r="R310" s="133"/>
      <c r="S310" s="133"/>
      <c r="T310" s="133"/>
      <c r="U310" s="133"/>
      <c r="V310" s="133"/>
      <c r="W310" s="133"/>
      <c r="X310" s="132"/>
      <c r="Y310" s="132"/>
      <c r="Z310" s="132"/>
      <c r="AA310" s="131"/>
      <c r="AB310" s="130"/>
      <c r="AC310" s="128"/>
      <c r="AD310" s="128"/>
      <c r="AE310" s="128"/>
    </row>
    <row r="311" spans="1:33" s="152" customFormat="1" x14ac:dyDescent="0.3">
      <c r="A311" s="837"/>
      <c r="B311" s="137"/>
      <c r="C311" s="141"/>
      <c r="D311" s="140"/>
      <c r="E311" s="145"/>
      <c r="F311" s="143"/>
      <c r="G311" s="137"/>
      <c r="H311" s="136"/>
      <c r="I311" s="136"/>
      <c r="J311" s="136"/>
      <c r="K311" s="136"/>
      <c r="L311" s="153"/>
      <c r="M311" s="135"/>
      <c r="N311" s="134"/>
      <c r="O311" s="134"/>
      <c r="P311" s="133"/>
      <c r="Q311" s="133"/>
      <c r="R311" s="133"/>
      <c r="S311" s="133"/>
      <c r="T311" s="133"/>
      <c r="U311" s="133"/>
      <c r="V311" s="133"/>
      <c r="W311" s="133"/>
      <c r="X311" s="132"/>
      <c r="Y311" s="132"/>
      <c r="Z311" s="132"/>
      <c r="AA311" s="131"/>
      <c r="AB311" s="130"/>
      <c r="AC311" s="128"/>
      <c r="AD311" s="128"/>
      <c r="AE311" s="128"/>
    </row>
    <row r="312" spans="1:33" s="152" customFormat="1" x14ac:dyDescent="0.3">
      <c r="A312" s="837"/>
      <c r="B312" s="137"/>
      <c r="C312" s="141"/>
      <c r="D312" s="140"/>
      <c r="E312" s="139"/>
      <c r="F312" s="143"/>
      <c r="G312" s="137"/>
      <c r="H312" s="136"/>
      <c r="I312" s="136"/>
      <c r="J312" s="136"/>
      <c r="K312" s="136"/>
      <c r="L312" s="153"/>
      <c r="M312" s="135"/>
      <c r="N312" s="134"/>
      <c r="O312" s="134"/>
      <c r="P312" s="133"/>
      <c r="Q312" s="133"/>
      <c r="R312" s="133"/>
      <c r="S312" s="133"/>
      <c r="T312" s="133"/>
      <c r="U312" s="133"/>
      <c r="V312" s="133"/>
      <c r="W312" s="133"/>
      <c r="X312" s="132"/>
      <c r="Y312" s="132"/>
      <c r="Z312" s="132"/>
      <c r="AA312" s="131"/>
      <c r="AB312" s="130"/>
      <c r="AC312" s="128"/>
      <c r="AD312" s="128"/>
      <c r="AE312" s="128"/>
    </row>
    <row r="313" spans="1:33" s="152" customFormat="1" x14ac:dyDescent="0.3">
      <c r="A313" s="837"/>
      <c r="B313" s="137"/>
      <c r="C313" s="141"/>
      <c r="D313" s="140"/>
      <c r="E313" s="139"/>
      <c r="F313" s="143"/>
      <c r="G313" s="137"/>
      <c r="H313" s="136"/>
      <c r="I313" s="136"/>
      <c r="J313" s="136"/>
      <c r="K313" s="136"/>
      <c r="L313" s="153"/>
      <c r="M313" s="135"/>
      <c r="N313" s="134"/>
      <c r="O313" s="134"/>
      <c r="P313" s="133"/>
      <c r="Q313" s="133"/>
      <c r="R313" s="133"/>
      <c r="S313" s="133"/>
      <c r="T313" s="133"/>
      <c r="U313" s="133"/>
      <c r="V313" s="133"/>
      <c r="W313" s="133"/>
      <c r="X313" s="132"/>
      <c r="Y313" s="132"/>
      <c r="Z313" s="132"/>
      <c r="AA313" s="131"/>
      <c r="AB313" s="130"/>
      <c r="AC313" s="128"/>
      <c r="AD313" s="128"/>
      <c r="AE313" s="128"/>
    </row>
    <row r="314" spans="1:33" s="152" customFormat="1" x14ac:dyDescent="0.3">
      <c r="A314" s="837"/>
      <c r="B314" s="137"/>
      <c r="C314" s="141"/>
      <c r="D314" s="140"/>
      <c r="E314" s="139"/>
      <c r="F314" s="143"/>
      <c r="G314" s="137"/>
      <c r="H314" s="136"/>
      <c r="I314" s="136"/>
      <c r="J314" s="136"/>
      <c r="K314" s="136"/>
      <c r="L314" s="153"/>
      <c r="M314" s="135"/>
      <c r="N314" s="134"/>
      <c r="O314" s="134"/>
      <c r="P314" s="133"/>
      <c r="Q314" s="133"/>
      <c r="R314" s="133"/>
      <c r="S314" s="133"/>
      <c r="T314" s="133"/>
      <c r="U314" s="133"/>
      <c r="V314" s="133"/>
      <c r="W314" s="133"/>
      <c r="X314" s="132"/>
      <c r="Y314" s="132"/>
      <c r="Z314" s="132"/>
      <c r="AA314" s="131"/>
      <c r="AB314" s="130"/>
      <c r="AC314" s="128"/>
      <c r="AD314" s="128"/>
      <c r="AE314" s="128"/>
    </row>
    <row r="315" spans="1:33" s="152" customFormat="1" x14ac:dyDescent="0.3">
      <c r="A315" s="837"/>
      <c r="B315" s="137"/>
      <c r="C315" s="141"/>
      <c r="D315" s="140"/>
      <c r="E315" s="139"/>
      <c r="F315" s="143"/>
      <c r="G315" s="137"/>
      <c r="H315" s="136"/>
      <c r="I315" s="136"/>
      <c r="J315" s="136"/>
      <c r="K315" s="136"/>
      <c r="L315" s="153"/>
      <c r="M315" s="135"/>
      <c r="N315" s="134"/>
      <c r="O315" s="134"/>
      <c r="P315" s="133"/>
      <c r="Q315" s="133"/>
      <c r="R315" s="133"/>
      <c r="S315" s="133"/>
      <c r="T315" s="133"/>
      <c r="U315" s="133"/>
      <c r="V315" s="133"/>
      <c r="W315" s="133"/>
      <c r="X315" s="132"/>
      <c r="Y315" s="132"/>
      <c r="Z315" s="132"/>
      <c r="AA315" s="131"/>
      <c r="AB315" s="130"/>
      <c r="AC315" s="128"/>
      <c r="AD315" s="128"/>
      <c r="AE315" s="128"/>
    </row>
    <row r="316" spans="1:33" s="152" customFormat="1" x14ac:dyDescent="0.3">
      <c r="A316" s="837"/>
      <c r="B316" s="137"/>
      <c r="C316" s="141"/>
      <c r="D316" s="140"/>
      <c r="E316" s="139"/>
      <c r="F316" s="143"/>
      <c r="G316" s="137"/>
      <c r="H316" s="136"/>
      <c r="I316" s="136"/>
      <c r="J316" s="136"/>
      <c r="K316" s="136"/>
      <c r="L316" s="153"/>
      <c r="M316" s="135"/>
      <c r="N316" s="134"/>
      <c r="O316" s="134"/>
      <c r="P316" s="133"/>
      <c r="Q316" s="133"/>
      <c r="R316" s="133"/>
      <c r="S316" s="133"/>
      <c r="T316" s="133"/>
      <c r="U316" s="133"/>
      <c r="V316" s="133"/>
      <c r="W316" s="133"/>
      <c r="X316" s="132"/>
      <c r="Y316" s="132"/>
      <c r="Z316" s="132"/>
      <c r="AA316" s="131"/>
      <c r="AB316" s="130"/>
      <c r="AC316" s="128"/>
      <c r="AD316" s="128"/>
      <c r="AE316" s="128"/>
    </row>
    <row r="317" spans="1:33" s="152" customFormat="1" x14ac:dyDescent="0.3">
      <c r="A317" s="837"/>
      <c r="B317" s="137"/>
      <c r="C317" s="141"/>
      <c r="D317" s="140"/>
      <c r="E317" s="139"/>
      <c r="F317" s="143"/>
      <c r="G317" s="137"/>
      <c r="H317" s="136"/>
      <c r="I317" s="136"/>
      <c r="J317" s="136"/>
      <c r="K317" s="136"/>
      <c r="L317" s="153"/>
      <c r="M317" s="135"/>
      <c r="N317" s="134"/>
      <c r="O317" s="134"/>
      <c r="P317" s="133"/>
      <c r="Q317" s="133"/>
      <c r="R317" s="133"/>
      <c r="S317" s="133"/>
      <c r="T317" s="133"/>
      <c r="U317" s="133"/>
      <c r="V317" s="133"/>
      <c r="W317" s="133"/>
      <c r="X317" s="132"/>
      <c r="Y317" s="132"/>
      <c r="Z317" s="132"/>
      <c r="AA317" s="131"/>
      <c r="AB317" s="130"/>
      <c r="AC317" s="128"/>
      <c r="AD317" s="128"/>
      <c r="AE317" s="128"/>
    </row>
    <row r="318" spans="1:33" s="152" customFormat="1" x14ac:dyDescent="0.3">
      <c r="A318" s="837"/>
      <c r="B318" s="137"/>
      <c r="C318" s="141"/>
      <c r="D318" s="140"/>
      <c r="E318" s="139"/>
      <c r="F318" s="143"/>
      <c r="G318" s="137"/>
      <c r="H318" s="136"/>
      <c r="I318" s="136"/>
      <c r="J318" s="136"/>
      <c r="K318" s="136"/>
      <c r="L318" s="153"/>
      <c r="M318" s="135"/>
      <c r="N318" s="134"/>
      <c r="O318" s="134"/>
      <c r="P318" s="133"/>
      <c r="Q318" s="133"/>
      <c r="R318" s="133"/>
      <c r="S318" s="133"/>
      <c r="T318" s="133"/>
      <c r="U318" s="133"/>
      <c r="V318" s="133"/>
      <c r="W318" s="133"/>
      <c r="X318" s="132"/>
      <c r="Y318" s="132"/>
      <c r="Z318" s="132"/>
      <c r="AA318" s="131"/>
      <c r="AB318" s="130"/>
      <c r="AC318" s="128"/>
      <c r="AD318" s="128"/>
      <c r="AE318" s="128"/>
    </row>
    <row r="319" spans="1:33" s="152" customFormat="1" x14ac:dyDescent="0.3">
      <c r="A319" s="837"/>
      <c r="B319" s="137"/>
      <c r="C319" s="141"/>
      <c r="D319" s="140"/>
      <c r="E319" s="139"/>
      <c r="F319" s="143"/>
      <c r="G319" s="137"/>
      <c r="H319" s="136"/>
      <c r="I319" s="136"/>
      <c r="J319" s="136"/>
      <c r="K319" s="136"/>
      <c r="L319" s="153"/>
      <c r="M319" s="135"/>
      <c r="N319" s="134"/>
      <c r="O319" s="134"/>
      <c r="P319" s="133"/>
      <c r="Q319" s="133"/>
      <c r="R319" s="133"/>
      <c r="S319" s="133"/>
      <c r="T319" s="133"/>
      <c r="U319" s="133"/>
      <c r="V319" s="133"/>
      <c r="W319" s="133"/>
      <c r="X319" s="132"/>
      <c r="Y319" s="132"/>
      <c r="Z319" s="132"/>
      <c r="AA319" s="131"/>
      <c r="AB319" s="130"/>
      <c r="AC319" s="129"/>
      <c r="AD319" s="128"/>
      <c r="AE319" s="128"/>
    </row>
    <row r="320" spans="1:33" s="152" customFormat="1" x14ac:dyDescent="0.3">
      <c r="A320" s="837"/>
      <c r="B320" s="137"/>
      <c r="C320" s="141"/>
      <c r="D320" s="140"/>
      <c r="E320" s="139"/>
      <c r="F320" s="143"/>
      <c r="G320" s="137"/>
      <c r="H320" s="136"/>
      <c r="I320" s="136"/>
      <c r="J320" s="136"/>
      <c r="K320" s="136"/>
      <c r="L320" s="153"/>
      <c r="M320" s="135"/>
      <c r="N320" s="134"/>
      <c r="O320" s="134"/>
      <c r="P320" s="133"/>
      <c r="Q320" s="133"/>
      <c r="R320" s="133"/>
      <c r="S320" s="133"/>
      <c r="T320" s="133"/>
      <c r="U320" s="133"/>
      <c r="V320" s="133"/>
      <c r="W320" s="133"/>
      <c r="X320" s="132"/>
      <c r="Y320" s="132"/>
      <c r="Z320" s="132"/>
      <c r="AA320" s="131"/>
      <c r="AB320" s="130"/>
      <c r="AC320" s="129"/>
      <c r="AD320" s="128"/>
      <c r="AE320" s="128"/>
    </row>
    <row r="321" spans="1:33" s="152" customFormat="1" x14ac:dyDescent="0.3">
      <c r="A321" s="837"/>
      <c r="B321" s="137"/>
      <c r="C321" s="141"/>
      <c r="D321" s="140"/>
      <c r="E321" s="139"/>
      <c r="F321" s="143"/>
      <c r="G321" s="137"/>
      <c r="H321" s="136"/>
      <c r="I321" s="136"/>
      <c r="J321" s="136"/>
      <c r="K321" s="136"/>
      <c r="L321" s="153"/>
      <c r="M321" s="135"/>
      <c r="N321" s="134"/>
      <c r="O321" s="134"/>
      <c r="P321" s="133"/>
      <c r="Q321" s="133"/>
      <c r="R321" s="133"/>
      <c r="S321" s="133"/>
      <c r="T321" s="133"/>
      <c r="U321" s="133"/>
      <c r="V321" s="133"/>
      <c r="W321" s="133"/>
      <c r="X321" s="132"/>
      <c r="Y321" s="132"/>
      <c r="Z321" s="132"/>
      <c r="AA321" s="131"/>
      <c r="AB321" s="130"/>
      <c r="AC321" s="128"/>
      <c r="AD321" s="128"/>
      <c r="AE321" s="128"/>
    </row>
    <row r="322" spans="1:33" s="152" customFormat="1" x14ac:dyDescent="0.3">
      <c r="A322" s="837"/>
      <c r="B322" s="137"/>
      <c r="C322" s="141"/>
      <c r="D322" s="140"/>
      <c r="E322" s="139"/>
      <c r="F322" s="143"/>
      <c r="G322" s="137"/>
      <c r="H322" s="136"/>
      <c r="I322" s="136"/>
      <c r="J322" s="136"/>
      <c r="K322" s="136"/>
      <c r="L322" s="153"/>
      <c r="M322" s="135"/>
      <c r="N322" s="134"/>
      <c r="O322" s="134"/>
      <c r="P322" s="133"/>
      <c r="Q322" s="133"/>
      <c r="R322" s="133"/>
      <c r="S322" s="133"/>
      <c r="T322" s="133"/>
      <c r="U322" s="133"/>
      <c r="V322" s="133"/>
      <c r="W322" s="133"/>
      <c r="X322" s="132"/>
      <c r="Y322" s="132"/>
      <c r="Z322" s="132"/>
      <c r="AA322" s="131"/>
      <c r="AB322" s="130"/>
      <c r="AC322" s="128"/>
      <c r="AD322" s="128"/>
      <c r="AE322" s="128"/>
    </row>
    <row r="323" spans="1:33" s="152" customFormat="1" x14ac:dyDescent="0.3">
      <c r="A323" s="837"/>
      <c r="B323" s="137"/>
      <c r="C323" s="141"/>
      <c r="D323" s="140"/>
      <c r="E323" s="139"/>
      <c r="F323" s="143"/>
      <c r="G323" s="137"/>
      <c r="H323" s="136"/>
      <c r="I323" s="136"/>
      <c r="J323" s="136"/>
      <c r="K323" s="136"/>
      <c r="L323" s="153"/>
      <c r="M323" s="135"/>
      <c r="N323" s="134"/>
      <c r="O323" s="134"/>
      <c r="P323" s="133"/>
      <c r="Q323" s="133"/>
      <c r="R323" s="133"/>
      <c r="S323" s="133"/>
      <c r="T323" s="133"/>
      <c r="U323" s="133"/>
      <c r="V323" s="133"/>
      <c r="W323" s="133"/>
      <c r="X323" s="132"/>
      <c r="Y323" s="132"/>
      <c r="Z323" s="132"/>
      <c r="AA323" s="131"/>
      <c r="AB323" s="130"/>
      <c r="AC323" s="128"/>
      <c r="AD323" s="128"/>
      <c r="AE323" s="128"/>
    </row>
    <row r="324" spans="1:33" s="152" customFormat="1" x14ac:dyDescent="0.3">
      <c r="A324" s="837"/>
      <c r="B324" s="137"/>
      <c r="C324" s="141"/>
      <c r="D324" s="140"/>
      <c r="E324" s="139"/>
      <c r="F324" s="143"/>
      <c r="G324" s="137"/>
      <c r="H324" s="136"/>
      <c r="I324" s="136"/>
      <c r="J324" s="136"/>
      <c r="K324" s="136"/>
      <c r="L324" s="153"/>
      <c r="M324" s="135"/>
      <c r="N324" s="134"/>
      <c r="O324" s="134"/>
      <c r="P324" s="133"/>
      <c r="Q324" s="133"/>
      <c r="R324" s="133"/>
      <c r="S324" s="133"/>
      <c r="T324" s="133"/>
      <c r="U324" s="133"/>
      <c r="V324" s="133"/>
      <c r="W324" s="133"/>
      <c r="X324" s="132"/>
      <c r="Y324" s="132"/>
      <c r="Z324" s="132"/>
      <c r="AA324" s="131"/>
      <c r="AB324" s="130"/>
      <c r="AC324" s="128"/>
      <c r="AD324" s="128"/>
      <c r="AE324" s="128"/>
    </row>
    <row r="325" spans="1:33" s="152" customFormat="1" x14ac:dyDescent="0.3">
      <c r="A325" s="837"/>
      <c r="B325" s="137"/>
      <c r="C325" s="141"/>
      <c r="D325" s="140"/>
      <c r="E325" s="139"/>
      <c r="F325" s="143"/>
      <c r="G325" s="137"/>
      <c r="H325" s="136"/>
      <c r="I325" s="136"/>
      <c r="J325" s="136"/>
      <c r="K325" s="136"/>
      <c r="L325" s="153"/>
      <c r="M325" s="135"/>
      <c r="N325" s="134"/>
      <c r="O325" s="134"/>
      <c r="P325" s="133"/>
      <c r="Q325" s="133"/>
      <c r="R325" s="133"/>
      <c r="S325" s="133"/>
      <c r="T325" s="133"/>
      <c r="U325" s="133"/>
      <c r="V325" s="133"/>
      <c r="W325" s="133"/>
      <c r="X325" s="132"/>
      <c r="Y325" s="132"/>
      <c r="Z325" s="132"/>
      <c r="AA325" s="131"/>
      <c r="AB325" s="130"/>
      <c r="AC325" s="128"/>
      <c r="AD325" s="128"/>
      <c r="AE325" s="128"/>
    </row>
    <row r="326" spans="1:33" s="152" customFormat="1" x14ac:dyDescent="0.3">
      <c r="A326" s="837"/>
      <c r="B326" s="137"/>
      <c r="C326" s="141"/>
      <c r="D326" s="140"/>
      <c r="E326" s="139"/>
      <c r="F326" s="143"/>
      <c r="G326" s="137"/>
      <c r="H326" s="136"/>
      <c r="I326" s="136"/>
      <c r="J326" s="136"/>
      <c r="K326" s="136"/>
      <c r="L326" s="153"/>
      <c r="M326" s="135"/>
      <c r="N326" s="134"/>
      <c r="O326" s="134"/>
      <c r="P326" s="133"/>
      <c r="Q326" s="133"/>
      <c r="R326" s="133"/>
      <c r="S326" s="133"/>
      <c r="T326" s="133"/>
      <c r="U326" s="133"/>
      <c r="V326" s="133"/>
      <c r="W326" s="133"/>
      <c r="X326" s="132"/>
      <c r="Y326" s="132"/>
      <c r="Z326" s="132"/>
      <c r="AA326" s="131"/>
      <c r="AB326" s="130"/>
      <c r="AC326" s="128"/>
      <c r="AD326" s="128"/>
      <c r="AE326" s="128"/>
    </row>
    <row r="327" spans="1:33" s="89" customFormat="1" x14ac:dyDescent="0.3">
      <c r="A327" s="838"/>
      <c r="B327" s="127" t="s">
        <v>173</v>
      </c>
      <c r="C327" s="126"/>
      <c r="D327" s="126"/>
      <c r="E327" s="126"/>
      <c r="F327" s="126"/>
      <c r="G327" s="125"/>
      <c r="H327" s="124">
        <f>SUM(H310:H326)</f>
        <v>0</v>
      </c>
      <c r="I327" s="124"/>
      <c r="J327" s="124">
        <f>SUM(J310:J326)</f>
        <v>0</v>
      </c>
      <c r="K327" s="124">
        <f>SUM(K310:K326)</f>
        <v>0</v>
      </c>
      <c r="L327" s="123">
        <f>SUM(L310:L326)</f>
        <v>0</v>
      </c>
      <c r="M327" s="123">
        <f>SUM(M310:M326)</f>
        <v>0</v>
      </c>
      <c r="N327" s="122"/>
      <c r="O327" s="122"/>
      <c r="P327" s="151">
        <f>SUM(P310:P326)</f>
        <v>0</v>
      </c>
      <c r="Q327" s="151">
        <f>SUM(Q310:Q326)</f>
        <v>0</v>
      </c>
      <c r="R327" s="151"/>
      <c r="S327" s="151"/>
      <c r="T327" s="151">
        <f>SUM(T310:T326)</f>
        <v>0</v>
      </c>
      <c r="U327" s="151">
        <f>SUM(U310:U326)</f>
        <v>0</v>
      </c>
      <c r="V327" s="151"/>
      <c r="W327" s="151">
        <f>SUM(W310:W326)</f>
        <v>0</v>
      </c>
      <c r="X327" s="151">
        <f>SUM(X310:X326)</f>
        <v>0</v>
      </c>
      <c r="Y327" s="151"/>
      <c r="Z327" s="151"/>
      <c r="AA327" s="120">
        <f>SUM(AA310:AA326)</f>
        <v>0</v>
      </c>
      <c r="AB327" s="119"/>
      <c r="AC327" s="118">
        <f>SUM(AC310:AC326)</f>
        <v>0</v>
      </c>
      <c r="AD327" s="117">
        <f>SUM(AD310:AD326)</f>
        <v>0</v>
      </c>
      <c r="AE327" s="116"/>
      <c r="AG327" s="115">
        <f>L327-(SUM(P327:X327))</f>
        <v>0</v>
      </c>
    </row>
    <row r="328" spans="1:33" s="89" customFormat="1" x14ac:dyDescent="0.3">
      <c r="A328" s="150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9"/>
      <c r="O328" s="149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7"/>
      <c r="AB328" s="147"/>
      <c r="AC328" s="147"/>
      <c r="AD328" s="147"/>
      <c r="AE328" s="146"/>
    </row>
    <row r="329" spans="1:33" s="89" customFormat="1" ht="16.5" customHeight="1" x14ac:dyDescent="0.3">
      <c r="A329" s="858" t="s">
        <v>172</v>
      </c>
      <c r="B329" s="137"/>
      <c r="C329" s="141"/>
      <c r="D329" s="140"/>
      <c r="E329" s="145"/>
      <c r="F329" s="143"/>
      <c r="G329" s="137"/>
      <c r="H329" s="136"/>
      <c r="I329" s="136"/>
      <c r="J329" s="136"/>
      <c r="K329" s="136"/>
      <c r="L329" s="136"/>
      <c r="M329" s="135"/>
      <c r="N329" s="134"/>
      <c r="O329" s="134"/>
      <c r="P329" s="133"/>
      <c r="Q329" s="133"/>
      <c r="R329" s="133"/>
      <c r="S329" s="133"/>
      <c r="T329" s="133"/>
      <c r="U329" s="133"/>
      <c r="V329" s="133"/>
      <c r="W329" s="133"/>
      <c r="X329" s="132"/>
      <c r="Y329" s="132"/>
      <c r="Z329" s="132"/>
      <c r="AA329" s="131"/>
      <c r="AB329" s="130"/>
      <c r="AC329" s="128"/>
      <c r="AD329" s="128"/>
      <c r="AE329" s="128"/>
    </row>
    <row r="330" spans="1:33" s="89" customFormat="1" ht="16.5" customHeight="1" x14ac:dyDescent="0.3">
      <c r="A330" s="859"/>
      <c r="B330" s="137"/>
      <c r="C330" s="141"/>
      <c r="D330" s="140"/>
      <c r="E330" s="145"/>
      <c r="F330" s="143"/>
      <c r="G330" s="137"/>
      <c r="H330" s="136"/>
      <c r="I330" s="136"/>
      <c r="J330" s="136"/>
      <c r="K330" s="136"/>
      <c r="L330" s="136"/>
      <c r="M330" s="135"/>
      <c r="N330" s="134"/>
      <c r="O330" s="134"/>
      <c r="P330" s="133"/>
      <c r="Q330" s="133"/>
      <c r="R330" s="133"/>
      <c r="S330" s="133"/>
      <c r="T330" s="133"/>
      <c r="U330" s="133"/>
      <c r="V330" s="133"/>
      <c r="W330" s="133"/>
      <c r="X330" s="132"/>
      <c r="Y330" s="132"/>
      <c r="Z330" s="132"/>
      <c r="AA330" s="131"/>
      <c r="AB330" s="130"/>
      <c r="AC330" s="128"/>
      <c r="AD330" s="128"/>
      <c r="AE330" s="128"/>
    </row>
    <row r="331" spans="1:33" s="89" customFormat="1" ht="16.5" customHeight="1" x14ac:dyDescent="0.3">
      <c r="A331" s="859"/>
      <c r="B331" s="137"/>
      <c r="C331" s="141"/>
      <c r="D331" s="140"/>
      <c r="E331" s="139"/>
      <c r="F331" s="143"/>
      <c r="G331" s="137"/>
      <c r="H331" s="136"/>
      <c r="I331" s="136"/>
      <c r="J331" s="136"/>
      <c r="K331" s="136"/>
      <c r="L331" s="136"/>
      <c r="M331" s="135"/>
      <c r="N331" s="134"/>
      <c r="O331" s="134"/>
      <c r="P331" s="133"/>
      <c r="Q331" s="133"/>
      <c r="R331" s="133"/>
      <c r="S331" s="133"/>
      <c r="T331" s="133"/>
      <c r="U331" s="133"/>
      <c r="V331" s="133"/>
      <c r="W331" s="133"/>
      <c r="X331" s="132"/>
      <c r="Y331" s="132"/>
      <c r="Z331" s="132"/>
      <c r="AA331" s="131"/>
      <c r="AB331" s="130"/>
      <c r="AC331" s="129"/>
      <c r="AD331" s="128"/>
      <c r="AE331" s="128"/>
    </row>
    <row r="332" spans="1:33" s="89" customFormat="1" ht="16.5" customHeight="1" x14ac:dyDescent="0.3">
      <c r="A332" s="859"/>
      <c r="B332" s="137"/>
      <c r="C332" s="141"/>
      <c r="D332" s="140"/>
      <c r="E332" s="139"/>
      <c r="F332" s="143"/>
      <c r="G332" s="137"/>
      <c r="H332" s="136"/>
      <c r="I332" s="136"/>
      <c r="J332" s="136"/>
      <c r="K332" s="136"/>
      <c r="L332" s="136"/>
      <c r="M332" s="135"/>
      <c r="N332" s="134"/>
      <c r="O332" s="134"/>
      <c r="P332" s="133"/>
      <c r="Q332" s="133"/>
      <c r="R332" s="133"/>
      <c r="S332" s="133"/>
      <c r="T332" s="133"/>
      <c r="U332" s="133"/>
      <c r="V332" s="133"/>
      <c r="W332" s="133"/>
      <c r="X332" s="132"/>
      <c r="Y332" s="132"/>
      <c r="Z332" s="132"/>
      <c r="AA332" s="131"/>
      <c r="AB332" s="130"/>
      <c r="AC332" s="129"/>
      <c r="AD332" s="128"/>
      <c r="AE332" s="128"/>
    </row>
    <row r="333" spans="1:33" s="89" customFormat="1" ht="16.5" customHeight="1" x14ac:dyDescent="0.3">
      <c r="A333" s="859"/>
      <c r="B333" s="137"/>
      <c r="C333" s="141"/>
      <c r="D333" s="140"/>
      <c r="E333" s="139"/>
      <c r="F333" s="143"/>
      <c r="G333" s="137"/>
      <c r="H333" s="136"/>
      <c r="I333" s="136"/>
      <c r="J333" s="136"/>
      <c r="K333" s="136"/>
      <c r="L333" s="136"/>
      <c r="M333" s="135"/>
      <c r="N333" s="134"/>
      <c r="O333" s="134"/>
      <c r="P333" s="133"/>
      <c r="Q333" s="133"/>
      <c r="R333" s="133"/>
      <c r="S333" s="133"/>
      <c r="T333" s="133"/>
      <c r="U333" s="133"/>
      <c r="V333" s="133"/>
      <c r="W333" s="133"/>
      <c r="X333" s="132"/>
      <c r="Y333" s="132"/>
      <c r="Z333" s="132"/>
      <c r="AA333" s="131"/>
      <c r="AB333" s="130"/>
      <c r="AC333" s="129"/>
      <c r="AD333" s="128"/>
      <c r="AE333" s="128"/>
    </row>
    <row r="334" spans="1:33" s="89" customFormat="1" ht="16.5" customHeight="1" x14ac:dyDescent="0.3">
      <c r="A334" s="859"/>
      <c r="B334" s="137"/>
      <c r="C334" s="141"/>
      <c r="D334" s="140"/>
      <c r="E334" s="139"/>
      <c r="F334" s="143"/>
      <c r="G334" s="137"/>
      <c r="H334" s="136"/>
      <c r="I334" s="136"/>
      <c r="J334" s="136"/>
      <c r="K334" s="136"/>
      <c r="L334" s="136"/>
      <c r="M334" s="135"/>
      <c r="N334" s="134"/>
      <c r="O334" s="134"/>
      <c r="P334" s="133"/>
      <c r="Q334" s="133"/>
      <c r="R334" s="133"/>
      <c r="S334" s="133"/>
      <c r="T334" s="133"/>
      <c r="U334" s="133"/>
      <c r="V334" s="133"/>
      <c r="W334" s="133"/>
      <c r="X334" s="132"/>
      <c r="Y334" s="132"/>
      <c r="Z334" s="132"/>
      <c r="AA334" s="131"/>
      <c r="AB334" s="130"/>
      <c r="AC334" s="129"/>
      <c r="AD334" s="128"/>
      <c r="AE334" s="128"/>
    </row>
    <row r="335" spans="1:33" s="89" customFormat="1" ht="16.5" customHeight="1" x14ac:dyDescent="0.3">
      <c r="A335" s="859"/>
      <c r="B335" s="137"/>
      <c r="C335" s="141"/>
      <c r="D335" s="140"/>
      <c r="E335" s="139"/>
      <c r="F335" s="143"/>
      <c r="G335" s="137"/>
      <c r="H335" s="136"/>
      <c r="I335" s="136"/>
      <c r="J335" s="136"/>
      <c r="K335" s="136"/>
      <c r="L335" s="136"/>
      <c r="M335" s="135"/>
      <c r="N335" s="134"/>
      <c r="O335" s="134"/>
      <c r="P335" s="133"/>
      <c r="Q335" s="133"/>
      <c r="R335" s="133"/>
      <c r="S335" s="133"/>
      <c r="T335" s="133"/>
      <c r="U335" s="133"/>
      <c r="V335" s="133"/>
      <c r="W335" s="133"/>
      <c r="X335" s="132"/>
      <c r="Y335" s="132"/>
      <c r="Z335" s="132"/>
      <c r="AA335" s="131"/>
      <c r="AB335" s="130"/>
      <c r="AC335" s="129"/>
      <c r="AD335" s="128"/>
      <c r="AE335" s="128"/>
    </row>
    <row r="336" spans="1:33" s="89" customFormat="1" ht="16.5" customHeight="1" x14ac:dyDescent="0.3">
      <c r="A336" s="859"/>
      <c r="B336" s="137"/>
      <c r="C336" s="141"/>
      <c r="D336" s="140"/>
      <c r="E336" s="139"/>
      <c r="F336" s="143"/>
      <c r="G336" s="137"/>
      <c r="H336" s="136"/>
      <c r="I336" s="136"/>
      <c r="J336" s="136"/>
      <c r="K336" s="136"/>
      <c r="L336" s="136"/>
      <c r="M336" s="135"/>
      <c r="N336" s="134"/>
      <c r="O336" s="134"/>
      <c r="P336" s="133"/>
      <c r="Q336" s="133"/>
      <c r="R336" s="133"/>
      <c r="S336" s="133"/>
      <c r="T336" s="133"/>
      <c r="U336" s="133"/>
      <c r="V336" s="133"/>
      <c r="W336" s="133"/>
      <c r="X336" s="132"/>
      <c r="Y336" s="132"/>
      <c r="Z336" s="132"/>
      <c r="AA336" s="131"/>
      <c r="AB336" s="130"/>
      <c r="AC336" s="129"/>
      <c r="AD336" s="128"/>
      <c r="AE336" s="128"/>
    </row>
    <row r="337" spans="1:256" s="89" customFormat="1" ht="16.5" customHeight="1" x14ac:dyDescent="0.3">
      <c r="A337" s="859"/>
      <c r="B337" s="137"/>
      <c r="C337" s="141"/>
      <c r="D337" s="140"/>
      <c r="E337" s="139"/>
      <c r="F337" s="143"/>
      <c r="G337" s="137"/>
      <c r="H337" s="136"/>
      <c r="I337" s="136"/>
      <c r="J337" s="136"/>
      <c r="K337" s="136"/>
      <c r="L337" s="136"/>
      <c r="M337" s="135"/>
      <c r="N337" s="134"/>
      <c r="O337" s="134"/>
      <c r="P337" s="133"/>
      <c r="Q337" s="133"/>
      <c r="R337" s="133"/>
      <c r="S337" s="133"/>
      <c r="T337" s="133"/>
      <c r="U337" s="133"/>
      <c r="V337" s="133"/>
      <c r="W337" s="133"/>
      <c r="X337" s="132"/>
      <c r="Y337" s="132"/>
      <c r="Z337" s="132"/>
      <c r="AA337" s="131"/>
      <c r="AB337" s="130"/>
      <c r="AC337" s="129"/>
      <c r="AD337" s="128"/>
      <c r="AE337" s="128"/>
    </row>
    <row r="338" spans="1:256" s="89" customFormat="1" ht="16.5" customHeight="1" x14ac:dyDescent="0.3">
      <c r="A338" s="859"/>
      <c r="B338" s="137"/>
      <c r="C338" s="141"/>
      <c r="D338" s="140"/>
      <c r="E338" s="143"/>
      <c r="F338" s="143"/>
      <c r="G338" s="137"/>
      <c r="H338" s="136"/>
      <c r="I338" s="136"/>
      <c r="J338" s="136"/>
      <c r="K338" s="136"/>
      <c r="L338" s="136"/>
      <c r="M338" s="135"/>
      <c r="N338" s="134"/>
      <c r="O338" s="134"/>
      <c r="P338" s="133"/>
      <c r="Q338" s="133"/>
      <c r="R338" s="133"/>
      <c r="S338" s="133"/>
      <c r="T338" s="133"/>
      <c r="U338" s="133"/>
      <c r="V338" s="133"/>
      <c r="W338" s="133"/>
      <c r="X338" s="132"/>
      <c r="Y338" s="132"/>
      <c r="Z338" s="132"/>
      <c r="AA338" s="131"/>
      <c r="AB338" s="130"/>
      <c r="AC338" s="129"/>
      <c r="AD338" s="128"/>
      <c r="AE338" s="128"/>
    </row>
    <row r="339" spans="1:256" s="89" customFormat="1" ht="16.5" customHeight="1" x14ac:dyDescent="0.3">
      <c r="A339" s="859"/>
      <c r="B339" s="137"/>
      <c r="C339" s="141"/>
      <c r="D339" s="144"/>
      <c r="E339" s="143"/>
      <c r="F339" s="143"/>
      <c r="G339" s="137"/>
      <c r="H339" s="136"/>
      <c r="I339" s="136"/>
      <c r="J339" s="136"/>
      <c r="K339" s="136"/>
      <c r="L339" s="136"/>
      <c r="M339" s="135"/>
      <c r="N339" s="134"/>
      <c r="O339" s="134"/>
      <c r="P339" s="133"/>
      <c r="Q339" s="133"/>
      <c r="R339" s="133"/>
      <c r="S339" s="133"/>
      <c r="T339" s="133"/>
      <c r="U339" s="133"/>
      <c r="V339" s="133"/>
      <c r="W339" s="133"/>
      <c r="X339" s="132"/>
      <c r="Y339" s="132"/>
      <c r="Z339" s="132"/>
      <c r="AA339" s="131"/>
      <c r="AB339" s="130"/>
      <c r="AC339" s="129"/>
      <c r="AD339" s="128"/>
      <c r="AE339" s="128"/>
    </row>
    <row r="340" spans="1:256" s="89" customFormat="1" ht="16.5" customHeight="1" x14ac:dyDescent="0.3">
      <c r="A340" s="859"/>
      <c r="B340" s="137"/>
      <c r="C340" s="141"/>
      <c r="D340" s="140"/>
      <c r="E340" s="139"/>
      <c r="F340" s="143"/>
      <c r="G340" s="137"/>
      <c r="H340" s="136"/>
      <c r="I340" s="136"/>
      <c r="J340" s="136"/>
      <c r="K340" s="136"/>
      <c r="L340" s="136"/>
      <c r="M340" s="135"/>
      <c r="N340" s="134"/>
      <c r="O340" s="134"/>
      <c r="P340" s="133"/>
      <c r="Q340" s="133"/>
      <c r="R340" s="133"/>
      <c r="S340" s="133"/>
      <c r="T340" s="133"/>
      <c r="U340" s="133"/>
      <c r="V340" s="133"/>
      <c r="W340" s="133"/>
      <c r="X340" s="132"/>
      <c r="Y340" s="132"/>
      <c r="Z340" s="132"/>
      <c r="AA340" s="131"/>
      <c r="AB340" s="130"/>
      <c r="AC340" s="129"/>
      <c r="AD340" s="128"/>
      <c r="AE340" s="128"/>
    </row>
    <row r="341" spans="1:256" s="89" customFormat="1" ht="16.5" customHeight="1" x14ac:dyDescent="0.3">
      <c r="A341" s="859"/>
      <c r="B341" s="137"/>
      <c r="C341" s="141"/>
      <c r="D341" s="140"/>
      <c r="E341" s="139"/>
      <c r="F341" s="143"/>
      <c r="G341" s="137"/>
      <c r="H341" s="136"/>
      <c r="I341" s="136"/>
      <c r="J341" s="136"/>
      <c r="K341" s="136"/>
      <c r="L341" s="136"/>
      <c r="M341" s="135"/>
      <c r="N341" s="134"/>
      <c r="O341" s="134"/>
      <c r="P341" s="133"/>
      <c r="Q341" s="133"/>
      <c r="R341" s="133"/>
      <c r="S341" s="133"/>
      <c r="T341" s="133"/>
      <c r="U341" s="133"/>
      <c r="V341" s="133"/>
      <c r="W341" s="133"/>
      <c r="X341" s="132"/>
      <c r="Y341" s="132"/>
      <c r="Z341" s="132"/>
      <c r="AA341" s="131"/>
      <c r="AB341" s="130"/>
      <c r="AC341" s="129"/>
      <c r="AD341" s="128"/>
      <c r="AE341" s="128"/>
    </row>
    <row r="342" spans="1:256" s="89" customFormat="1" ht="16.5" customHeight="1" x14ac:dyDescent="0.3">
      <c r="A342" s="859"/>
      <c r="B342" s="137"/>
      <c r="C342" s="140"/>
      <c r="D342" s="144"/>
      <c r="E342" s="142"/>
      <c r="F342" s="143"/>
      <c r="G342" s="137"/>
      <c r="H342" s="136"/>
      <c r="I342" s="136"/>
      <c r="J342" s="136"/>
      <c r="K342" s="136"/>
      <c r="L342" s="136"/>
      <c r="M342" s="135"/>
      <c r="N342" s="134"/>
      <c r="O342" s="134"/>
      <c r="P342" s="133"/>
      <c r="Q342" s="133"/>
      <c r="R342" s="133"/>
      <c r="S342" s="133"/>
      <c r="T342" s="133"/>
      <c r="U342" s="133"/>
      <c r="V342" s="133"/>
      <c r="W342" s="133"/>
      <c r="X342" s="132"/>
      <c r="Y342" s="132"/>
      <c r="Z342" s="132"/>
      <c r="AA342" s="131"/>
      <c r="AB342" s="130"/>
      <c r="AC342" s="129"/>
      <c r="AD342" s="128"/>
      <c r="AE342" s="128"/>
    </row>
    <row r="343" spans="1:256" s="89" customFormat="1" ht="16.5" customHeight="1" x14ac:dyDescent="0.3">
      <c r="A343" s="859"/>
      <c r="B343" s="137"/>
      <c r="C343" s="141"/>
      <c r="D343" s="140"/>
      <c r="E343" s="142"/>
      <c r="F343" s="143"/>
      <c r="G343" s="137"/>
      <c r="H343" s="136"/>
      <c r="I343" s="136"/>
      <c r="J343" s="136"/>
      <c r="K343" s="136"/>
      <c r="L343" s="136"/>
      <c r="M343" s="135"/>
      <c r="N343" s="134"/>
      <c r="O343" s="134"/>
      <c r="P343" s="133"/>
      <c r="Q343" s="133"/>
      <c r="R343" s="133"/>
      <c r="S343" s="133"/>
      <c r="T343" s="133"/>
      <c r="U343" s="133"/>
      <c r="V343" s="133"/>
      <c r="W343" s="133"/>
      <c r="X343" s="132"/>
      <c r="Y343" s="132"/>
      <c r="Z343" s="132"/>
      <c r="AA343" s="131"/>
      <c r="AB343" s="130"/>
      <c r="AC343" s="129"/>
      <c r="AD343" s="128"/>
      <c r="AE343" s="128"/>
    </row>
    <row r="344" spans="1:256" s="89" customFormat="1" ht="16.5" customHeight="1" x14ac:dyDescent="0.3">
      <c r="A344" s="859"/>
      <c r="B344" s="137"/>
      <c r="C344" s="141"/>
      <c r="D344" s="140"/>
      <c r="E344" s="142"/>
      <c r="F344" s="143"/>
      <c r="G344" s="137"/>
      <c r="H344" s="136"/>
      <c r="I344" s="136"/>
      <c r="J344" s="136"/>
      <c r="K344" s="136"/>
      <c r="L344" s="136"/>
      <c r="M344" s="135"/>
      <c r="N344" s="134"/>
      <c r="O344" s="134"/>
      <c r="P344" s="133"/>
      <c r="Q344" s="133"/>
      <c r="R344" s="133"/>
      <c r="S344" s="133"/>
      <c r="T344" s="133"/>
      <c r="U344" s="133"/>
      <c r="V344" s="133"/>
      <c r="W344" s="133"/>
      <c r="X344" s="132"/>
      <c r="Y344" s="132"/>
      <c r="Z344" s="132"/>
      <c r="AA344" s="131"/>
      <c r="AB344" s="130"/>
      <c r="AC344" s="129"/>
      <c r="AD344" s="129"/>
      <c r="AE344" s="128"/>
    </row>
    <row r="345" spans="1:256" s="89" customFormat="1" ht="16.5" customHeight="1" x14ac:dyDescent="0.3">
      <c r="A345" s="859"/>
      <c r="B345" s="137"/>
      <c r="C345" s="141"/>
      <c r="D345" s="140"/>
      <c r="E345" s="142"/>
      <c r="F345" s="138"/>
      <c r="G345" s="137"/>
      <c r="H345" s="136"/>
      <c r="I345" s="136"/>
      <c r="J345" s="136"/>
      <c r="K345" s="136"/>
      <c r="L345" s="136"/>
      <c r="M345" s="135"/>
      <c r="N345" s="134"/>
      <c r="O345" s="134"/>
      <c r="P345" s="133"/>
      <c r="Q345" s="133"/>
      <c r="R345" s="133"/>
      <c r="S345" s="133"/>
      <c r="T345" s="133"/>
      <c r="U345" s="133"/>
      <c r="V345" s="133"/>
      <c r="W345" s="133"/>
      <c r="X345" s="132"/>
      <c r="Y345" s="132"/>
      <c r="Z345" s="132"/>
      <c r="AA345" s="131"/>
      <c r="AB345" s="130"/>
      <c r="AC345" s="129"/>
      <c r="AD345" s="129"/>
      <c r="AE345" s="128"/>
    </row>
    <row r="346" spans="1:256" s="89" customFormat="1" ht="16.5" customHeight="1" x14ac:dyDescent="0.3">
      <c r="A346" s="859"/>
      <c r="B346" s="137"/>
      <c r="C346" s="141"/>
      <c r="D346" s="140"/>
      <c r="E346" s="142"/>
      <c r="F346" s="138"/>
      <c r="G346" s="137"/>
      <c r="H346" s="136"/>
      <c r="I346" s="136"/>
      <c r="J346" s="136"/>
      <c r="K346" s="136"/>
      <c r="L346" s="136"/>
      <c r="M346" s="135"/>
      <c r="N346" s="134"/>
      <c r="O346" s="134"/>
      <c r="P346" s="133"/>
      <c r="Q346" s="133"/>
      <c r="R346" s="133"/>
      <c r="S346" s="133"/>
      <c r="T346" s="133"/>
      <c r="U346" s="133"/>
      <c r="V346" s="133"/>
      <c r="W346" s="133"/>
      <c r="X346" s="132"/>
      <c r="Y346" s="132"/>
      <c r="Z346" s="132"/>
      <c r="AA346" s="131"/>
      <c r="AB346" s="130"/>
      <c r="AC346" s="129"/>
      <c r="AD346" s="129"/>
      <c r="AE346" s="128"/>
    </row>
    <row r="347" spans="1:256" s="89" customFormat="1" ht="16.5" customHeight="1" x14ac:dyDescent="0.3">
      <c r="A347" s="859"/>
      <c r="B347" s="137"/>
      <c r="C347" s="141"/>
      <c r="D347" s="140"/>
      <c r="E347" s="139"/>
      <c r="F347" s="138"/>
      <c r="G347" s="137"/>
      <c r="H347" s="136"/>
      <c r="I347" s="136"/>
      <c r="J347" s="136"/>
      <c r="K347" s="136"/>
      <c r="L347" s="136"/>
      <c r="M347" s="135"/>
      <c r="N347" s="134"/>
      <c r="O347" s="134"/>
      <c r="P347" s="133"/>
      <c r="Q347" s="133"/>
      <c r="R347" s="133"/>
      <c r="S347" s="133"/>
      <c r="T347" s="133"/>
      <c r="U347" s="133"/>
      <c r="V347" s="133"/>
      <c r="W347" s="133"/>
      <c r="X347" s="132"/>
      <c r="Y347" s="132"/>
      <c r="Z347" s="132"/>
      <c r="AA347" s="131"/>
      <c r="AB347" s="130"/>
      <c r="AC347" s="129"/>
      <c r="AD347" s="128"/>
      <c r="AE347" s="128"/>
    </row>
    <row r="348" spans="1:256" s="89" customFormat="1" ht="16.5" customHeight="1" x14ac:dyDescent="0.3">
      <c r="A348" s="860"/>
      <c r="B348" s="127" t="s">
        <v>171</v>
      </c>
      <c r="C348" s="126"/>
      <c r="D348" s="126"/>
      <c r="E348" s="126"/>
      <c r="F348" s="126"/>
      <c r="G348" s="125"/>
      <c r="H348" s="124">
        <f>SUM(H329:H347)</f>
        <v>0</v>
      </c>
      <c r="I348" s="124"/>
      <c r="J348" s="124">
        <f>SUM(J329:J347)</f>
        <v>0</v>
      </c>
      <c r="K348" s="124">
        <f>SUM(K329:K347)</f>
        <v>0</v>
      </c>
      <c r="L348" s="123">
        <f>SUM(L329:L347)</f>
        <v>0</v>
      </c>
      <c r="M348" s="123">
        <f>SUM(M329:M347)</f>
        <v>0</v>
      </c>
      <c r="N348" s="122"/>
      <c r="O348" s="122"/>
      <c r="P348" s="121">
        <f>SUM(P329:P347)</f>
        <v>0</v>
      </c>
      <c r="Q348" s="121">
        <f>SUM(Q329:Q347)</f>
        <v>0</v>
      </c>
      <c r="R348" s="121"/>
      <c r="S348" s="121"/>
      <c r="T348" s="121">
        <f>SUM(T329:T347)</f>
        <v>0</v>
      </c>
      <c r="U348" s="121">
        <f>SUM(U329:U347)</f>
        <v>0</v>
      </c>
      <c r="V348" s="121"/>
      <c r="W348" s="121">
        <f>SUM(W329:W347)</f>
        <v>0</v>
      </c>
      <c r="X348" s="121">
        <f>SUM(X329:X347)</f>
        <v>0</v>
      </c>
      <c r="Y348" s="121"/>
      <c r="Z348" s="121"/>
      <c r="AA348" s="120">
        <f>SUM(AA329:AA347)</f>
        <v>0</v>
      </c>
      <c r="AB348" s="119"/>
      <c r="AC348" s="118">
        <f>SUM(AC329:AC347)</f>
        <v>0</v>
      </c>
      <c r="AD348" s="117">
        <f>SUM(AD329:AD347)</f>
        <v>0</v>
      </c>
      <c r="AE348" s="116"/>
      <c r="AG348" s="115">
        <f>L348-(SUM(P348:X348))</f>
        <v>0</v>
      </c>
    </row>
    <row r="349" spans="1:256" s="109" customFormat="1" ht="18" x14ac:dyDescent="0.3">
      <c r="A349" s="114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3"/>
      <c r="O349" s="113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1"/>
      <c r="AB349" s="111"/>
      <c r="AC349" s="111"/>
      <c r="AD349" s="111"/>
      <c r="AE349" s="111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  <c r="CB349" s="110"/>
      <c r="CC349" s="110"/>
      <c r="CD349" s="110"/>
      <c r="CE349" s="110"/>
      <c r="CF349" s="110"/>
      <c r="CG349" s="110"/>
      <c r="CH349" s="110"/>
      <c r="CI349" s="110"/>
      <c r="CJ349" s="110"/>
      <c r="CK349" s="110"/>
      <c r="CL349" s="110"/>
      <c r="CM349" s="110"/>
      <c r="CN349" s="110"/>
      <c r="CO349" s="110"/>
      <c r="CP349" s="110"/>
      <c r="CQ349" s="110"/>
      <c r="CR349" s="110"/>
      <c r="CS349" s="110"/>
      <c r="CT349" s="110"/>
      <c r="CU349" s="110"/>
      <c r="CV349" s="110"/>
      <c r="CW349" s="110"/>
      <c r="CX349" s="110"/>
      <c r="CY349" s="110"/>
      <c r="CZ349" s="110"/>
      <c r="DA349" s="110"/>
      <c r="DB349" s="110"/>
      <c r="DC349" s="110"/>
      <c r="DD349" s="110"/>
      <c r="DE349" s="110"/>
      <c r="DF349" s="110"/>
      <c r="DG349" s="110"/>
      <c r="DH349" s="110"/>
      <c r="DI349" s="110"/>
      <c r="DJ349" s="110"/>
      <c r="DK349" s="110"/>
      <c r="DL349" s="110"/>
      <c r="DM349" s="110"/>
      <c r="DN349" s="110"/>
      <c r="DO349" s="110"/>
      <c r="DP349" s="110"/>
      <c r="DQ349" s="110"/>
      <c r="DR349" s="110"/>
      <c r="DS349" s="110"/>
      <c r="DT349" s="110"/>
      <c r="DU349" s="110"/>
      <c r="DV349" s="110"/>
      <c r="DW349" s="110"/>
      <c r="DX349" s="110"/>
      <c r="DY349" s="110"/>
      <c r="DZ349" s="110"/>
      <c r="EA349" s="110"/>
      <c r="EB349" s="110"/>
      <c r="EC349" s="110"/>
      <c r="ED349" s="110"/>
      <c r="EE349" s="110"/>
      <c r="EF349" s="110"/>
      <c r="EG349" s="110"/>
      <c r="EH349" s="110"/>
      <c r="EI349" s="110"/>
      <c r="EJ349" s="110"/>
      <c r="EK349" s="110"/>
      <c r="EL349" s="110"/>
      <c r="EM349" s="110"/>
      <c r="EN349" s="110"/>
      <c r="EO349" s="110"/>
      <c r="EP349" s="110"/>
      <c r="EQ349" s="110"/>
      <c r="ER349" s="110"/>
      <c r="ES349" s="110"/>
      <c r="ET349" s="110"/>
      <c r="EU349" s="110"/>
      <c r="EV349" s="110"/>
      <c r="EW349" s="110"/>
      <c r="EX349" s="110"/>
      <c r="EY349" s="110"/>
      <c r="EZ349" s="110"/>
      <c r="FA349" s="110"/>
      <c r="FB349" s="110"/>
      <c r="FC349" s="110"/>
      <c r="FD349" s="110"/>
      <c r="FE349" s="110"/>
      <c r="FF349" s="110"/>
      <c r="FG349" s="110"/>
      <c r="FH349" s="110"/>
      <c r="FI349" s="110"/>
      <c r="FJ349" s="110"/>
      <c r="FK349" s="110"/>
      <c r="FL349" s="110"/>
      <c r="FM349" s="110"/>
      <c r="FN349" s="110"/>
      <c r="FO349" s="110"/>
      <c r="FP349" s="110"/>
      <c r="FQ349" s="110"/>
      <c r="FR349" s="110"/>
      <c r="FS349" s="110"/>
      <c r="FT349" s="110"/>
      <c r="FU349" s="110"/>
      <c r="FV349" s="110"/>
      <c r="FW349" s="110"/>
      <c r="FX349" s="110"/>
      <c r="FY349" s="110"/>
      <c r="FZ349" s="110"/>
      <c r="GA349" s="110"/>
      <c r="GB349" s="110"/>
      <c r="GC349" s="110"/>
      <c r="GD349" s="110"/>
      <c r="GE349" s="110"/>
      <c r="GF349" s="110"/>
      <c r="GG349" s="110"/>
      <c r="GH349" s="110"/>
      <c r="GI349" s="110"/>
      <c r="GJ349" s="110"/>
      <c r="GK349" s="110"/>
      <c r="GL349" s="110"/>
      <c r="GM349" s="110"/>
      <c r="GN349" s="110"/>
      <c r="GO349" s="110"/>
      <c r="GP349" s="110"/>
      <c r="GQ349" s="110"/>
      <c r="GR349" s="110"/>
      <c r="GS349" s="110"/>
      <c r="GT349" s="110"/>
      <c r="GU349" s="110"/>
      <c r="GV349" s="110"/>
      <c r="GW349" s="110"/>
      <c r="GX349" s="110"/>
      <c r="GY349" s="110"/>
      <c r="GZ349" s="110"/>
      <c r="HA349" s="110"/>
      <c r="HB349" s="110"/>
      <c r="HC349" s="110"/>
      <c r="HD349" s="110"/>
      <c r="HE349" s="110"/>
      <c r="HF349" s="110"/>
      <c r="HG349" s="110"/>
      <c r="HH349" s="110"/>
      <c r="HI349" s="110"/>
      <c r="HJ349" s="110"/>
      <c r="HK349" s="110"/>
      <c r="HL349" s="110"/>
      <c r="HM349" s="110"/>
      <c r="HN349" s="110"/>
      <c r="HO349" s="110"/>
      <c r="HP349" s="110"/>
      <c r="HQ349" s="110"/>
      <c r="HR349" s="110"/>
      <c r="HS349" s="110"/>
      <c r="HT349" s="110"/>
      <c r="HU349" s="110"/>
      <c r="HV349" s="110"/>
      <c r="HW349" s="110"/>
      <c r="HX349" s="110"/>
      <c r="HY349" s="110"/>
      <c r="HZ349" s="110"/>
      <c r="IA349" s="110"/>
      <c r="IB349" s="110"/>
      <c r="IC349" s="110"/>
      <c r="ID349" s="110"/>
      <c r="IE349" s="110"/>
      <c r="IF349" s="110"/>
      <c r="IG349" s="110"/>
      <c r="IH349" s="110"/>
      <c r="II349" s="110"/>
      <c r="IJ349" s="110"/>
      <c r="IK349" s="110"/>
      <c r="IL349" s="110"/>
      <c r="IM349" s="110"/>
      <c r="IN349" s="110"/>
      <c r="IO349" s="110"/>
      <c r="IP349" s="110"/>
      <c r="IQ349" s="110"/>
      <c r="IR349" s="110"/>
      <c r="IS349" s="110"/>
      <c r="IT349" s="110"/>
      <c r="IU349" s="110"/>
      <c r="IV349" s="110"/>
    </row>
    <row r="350" spans="1:256" s="89" customFormat="1" ht="18" x14ac:dyDescent="0.3">
      <c r="A350" s="849" t="s">
        <v>170</v>
      </c>
      <c r="B350" s="850"/>
      <c r="C350" s="850"/>
      <c r="D350" s="850"/>
      <c r="E350" s="850"/>
      <c r="F350" s="850"/>
      <c r="G350" s="851"/>
      <c r="H350" s="108">
        <f>H40+H66+H96+H125+H152+H189+H220+H250+H281+H308+H327+H348</f>
        <v>13385664774</v>
      </c>
      <c r="I350" s="108"/>
      <c r="J350" s="108" t="e">
        <f>J40+J66+J96+J125+J152+J189+J220+J250+J281+J308+J327+J348</f>
        <v>#REF!</v>
      </c>
      <c r="K350" s="108" t="e">
        <f>K40+K66+K96+K125+K152+K189+K220+K250+K281+K308+K327+K348</f>
        <v>#REF!</v>
      </c>
      <c r="L350" s="105" t="e">
        <f>L40+L66+L96+L125+L152+L189+L220+L250+L281+L308+L327+L348</f>
        <v>#REF!</v>
      </c>
      <c r="M350" s="105" t="e">
        <f>M40+M66+M96+M125+M152+M189+M220+M250+M281+M308+M327+M348</f>
        <v>#REF!</v>
      </c>
      <c r="N350" s="107"/>
      <c r="O350" s="107"/>
      <c r="P350" s="106">
        <f>P40+P66+P96+P125+P152+P189+P220+P250+P281+P308+P327+P348</f>
        <v>1096622500</v>
      </c>
      <c r="Q350" s="106">
        <f>Q40+Q66+Q96+Q125+Q152+Q189+Q220+Q250+Q281+Q308+Q327+Q348</f>
        <v>1196939408</v>
      </c>
      <c r="R350" s="106"/>
      <c r="S350" s="106"/>
      <c r="T350" s="106">
        <f>T40+T66+T96+T125+T152+T189+T220+T250+T281+T308+T327+T348</f>
        <v>401131396</v>
      </c>
      <c r="U350" s="106">
        <f>U40+U66+U96+U125+U152+U189+U220+U250+U281+U308+U327+U348</f>
        <v>1672843319</v>
      </c>
      <c r="V350" s="106"/>
      <c r="W350" s="106">
        <f>W40+W66+W96+W125+W152+W189+W220+W250+W281+W308+W327+W348</f>
        <v>2466380000</v>
      </c>
      <c r="X350" s="106">
        <f>X40+X66+X96+X125+X152+X189+X220+X250+X281+X308+X327+X348</f>
        <v>80000000</v>
      </c>
      <c r="Y350" s="106"/>
      <c r="Z350" s="106"/>
      <c r="AA350" s="105">
        <f>AA40+AA66+AA96+AA125+AA152+AA189+AA220+AA250+AA281+AA308+AA327+AA348</f>
        <v>0</v>
      </c>
      <c r="AB350" s="104"/>
      <c r="AC350" s="103" t="e">
        <f>AC40+AC66+AC96+AC125+AC152+AC189+AC220+AC250+AC281+AC308+AC327+AC348</f>
        <v>#REF!</v>
      </c>
      <c r="AD350" s="102" t="e">
        <f>AD40+AD66+AD96+AD125+AD152+AD189+AD220+AD250+AD281+AD308+AD327+AD348</f>
        <v>#REF!</v>
      </c>
      <c r="AE350" s="101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</row>
    <row r="351" spans="1:256" x14ac:dyDescent="0.3">
      <c r="AB351" s="89" t="s">
        <v>169</v>
      </c>
      <c r="AC351" s="100" t="e">
        <f>H350-AC350</f>
        <v>#REF!</v>
      </c>
    </row>
    <row r="352" spans="1:256" x14ac:dyDescent="0.3">
      <c r="H352" s="96"/>
    </row>
    <row r="353" spans="1:256" x14ac:dyDescent="0.3">
      <c r="H353" s="97"/>
      <c r="AB353" s="99"/>
      <c r="AC353" s="98"/>
    </row>
    <row r="354" spans="1:256" x14ac:dyDescent="0.3">
      <c r="H354" s="97"/>
    </row>
    <row r="355" spans="1:256" x14ac:dyDescent="0.3">
      <c r="H355" s="96"/>
    </row>
    <row r="356" spans="1:256" x14ac:dyDescent="0.3">
      <c r="H356" s="97"/>
      <c r="Q356" s="96"/>
      <c r="R356" s="96"/>
      <c r="S356" s="96"/>
    </row>
    <row r="358" spans="1:256" s="88" customFormat="1" x14ac:dyDescent="0.3">
      <c r="A358" s="87"/>
      <c r="B358" s="90"/>
      <c r="C358" s="89" t="s">
        <v>168</v>
      </c>
      <c r="D358" s="91"/>
      <c r="E358" s="90"/>
      <c r="F358" s="87"/>
      <c r="G358" s="90"/>
      <c r="H358" s="92">
        <f>H40</f>
        <v>1918034152</v>
      </c>
      <c r="I358" s="92"/>
      <c r="J358" s="92">
        <f t="shared" ref="J358:J369" si="74">J357+H358</f>
        <v>1918034152</v>
      </c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9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  <c r="DH358" s="87"/>
      <c r="DI358" s="87"/>
      <c r="DJ358" s="87"/>
      <c r="DK358" s="87"/>
      <c r="DL358" s="87"/>
      <c r="DM358" s="87"/>
      <c r="DN358" s="87"/>
      <c r="DO358" s="87"/>
      <c r="DP358" s="87"/>
      <c r="DQ358" s="87"/>
      <c r="DR358" s="87"/>
      <c r="DS358" s="87"/>
      <c r="DT358" s="87"/>
      <c r="DU358" s="87"/>
      <c r="DV358" s="87"/>
      <c r="DW358" s="87"/>
      <c r="DX358" s="87"/>
      <c r="DY358" s="87"/>
      <c r="DZ358" s="87"/>
      <c r="EA358" s="87"/>
      <c r="EB358" s="87"/>
      <c r="EC358" s="87"/>
      <c r="ED358" s="87"/>
      <c r="EE358" s="87"/>
      <c r="EF358" s="87"/>
      <c r="EG358" s="87"/>
      <c r="EH358" s="87"/>
      <c r="EI358" s="87"/>
      <c r="EJ358" s="87"/>
      <c r="EK358" s="87"/>
      <c r="EL358" s="87"/>
      <c r="EM358" s="87"/>
      <c r="EN358" s="87"/>
      <c r="EO358" s="87"/>
      <c r="EP358" s="87"/>
      <c r="EQ358" s="87"/>
      <c r="ER358" s="87"/>
      <c r="ES358" s="87"/>
      <c r="ET358" s="87"/>
      <c r="EU358" s="87"/>
      <c r="EV358" s="87"/>
      <c r="EW358" s="87"/>
      <c r="EX358" s="87"/>
      <c r="EY358" s="87"/>
      <c r="EZ358" s="87"/>
      <c r="FA358" s="87"/>
      <c r="FB358" s="87"/>
      <c r="FC358" s="87"/>
      <c r="FD358" s="87"/>
      <c r="FE358" s="87"/>
      <c r="FF358" s="87"/>
      <c r="FG358" s="87"/>
      <c r="FH358" s="87"/>
      <c r="FI358" s="87"/>
      <c r="FJ358" s="87"/>
      <c r="FK358" s="87"/>
      <c r="FL358" s="87"/>
      <c r="FM358" s="87"/>
      <c r="FN358" s="87"/>
      <c r="FO358" s="87"/>
      <c r="FP358" s="87"/>
      <c r="FQ358" s="87"/>
      <c r="FR358" s="87"/>
      <c r="FS358" s="87"/>
      <c r="FT358" s="87"/>
      <c r="FU358" s="87"/>
      <c r="FV358" s="87"/>
      <c r="FW358" s="87"/>
      <c r="FX358" s="87"/>
      <c r="FY358" s="87"/>
      <c r="FZ358" s="87"/>
      <c r="GA358" s="87"/>
      <c r="GB358" s="87"/>
      <c r="GC358" s="87"/>
      <c r="GD358" s="87"/>
      <c r="GE358" s="87"/>
      <c r="GF358" s="87"/>
      <c r="GG358" s="87"/>
      <c r="GH358" s="87"/>
      <c r="GI358" s="87"/>
      <c r="GJ358" s="87"/>
      <c r="GK358" s="87"/>
      <c r="GL358" s="87"/>
      <c r="GM358" s="87"/>
      <c r="GN358" s="87"/>
      <c r="GO358" s="87"/>
      <c r="GP358" s="87"/>
      <c r="GQ358" s="87"/>
      <c r="GR358" s="87"/>
      <c r="GS358" s="87"/>
      <c r="GT358" s="87"/>
      <c r="GU358" s="87"/>
      <c r="GV358" s="87"/>
      <c r="GW358" s="87"/>
      <c r="GX358" s="87"/>
      <c r="GY358" s="87"/>
      <c r="GZ358" s="87"/>
      <c r="HA358" s="87"/>
      <c r="HB358" s="87"/>
      <c r="HC358" s="87"/>
      <c r="HD358" s="87"/>
      <c r="HE358" s="87"/>
      <c r="HF358" s="87"/>
      <c r="HG358" s="87"/>
      <c r="HH358" s="87"/>
      <c r="HI358" s="87"/>
      <c r="HJ358" s="87"/>
      <c r="HK358" s="87"/>
      <c r="HL358" s="87"/>
      <c r="HM358" s="87"/>
      <c r="HN358" s="87"/>
      <c r="HO358" s="87"/>
      <c r="HP358" s="87"/>
      <c r="HQ358" s="87"/>
      <c r="HR358" s="87"/>
      <c r="HS358" s="87"/>
      <c r="HT358" s="87"/>
      <c r="HU358" s="87"/>
      <c r="HV358" s="87"/>
      <c r="HW358" s="87"/>
      <c r="HX358" s="87"/>
      <c r="HY358" s="87"/>
      <c r="HZ358" s="87"/>
      <c r="IA358" s="87"/>
      <c r="IB358" s="87"/>
      <c r="IC358" s="87"/>
      <c r="ID358" s="87"/>
      <c r="IE358" s="87"/>
      <c r="IF358" s="87"/>
      <c r="IG358" s="87"/>
      <c r="IH358" s="87"/>
      <c r="II358" s="87"/>
      <c r="IJ358" s="87"/>
      <c r="IK358" s="87"/>
      <c r="IL358" s="87"/>
      <c r="IM358" s="87"/>
      <c r="IN358" s="87"/>
      <c r="IO358" s="87"/>
      <c r="IP358" s="87"/>
      <c r="IQ358" s="87"/>
      <c r="IR358" s="87"/>
      <c r="IS358" s="87"/>
      <c r="IT358" s="87"/>
      <c r="IU358" s="87"/>
      <c r="IV358" s="87"/>
    </row>
    <row r="359" spans="1:256" s="88" customFormat="1" x14ac:dyDescent="0.3">
      <c r="A359" s="87"/>
      <c r="B359" s="90"/>
      <c r="C359" s="89" t="s">
        <v>167</v>
      </c>
      <c r="D359" s="91"/>
      <c r="E359" s="90"/>
      <c r="F359" s="87"/>
      <c r="G359" s="90"/>
      <c r="H359" s="92">
        <f>H66</f>
        <v>1317573756</v>
      </c>
      <c r="I359" s="92"/>
      <c r="J359" s="92">
        <f t="shared" si="74"/>
        <v>3235607908</v>
      </c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9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  <c r="DH359" s="87"/>
      <c r="DI359" s="87"/>
      <c r="DJ359" s="87"/>
      <c r="DK359" s="87"/>
      <c r="DL359" s="87"/>
      <c r="DM359" s="87"/>
      <c r="DN359" s="87"/>
      <c r="DO359" s="87"/>
      <c r="DP359" s="87"/>
      <c r="DQ359" s="87"/>
      <c r="DR359" s="87"/>
      <c r="DS359" s="87"/>
      <c r="DT359" s="87"/>
      <c r="DU359" s="87"/>
      <c r="DV359" s="87"/>
      <c r="DW359" s="87"/>
      <c r="DX359" s="87"/>
      <c r="DY359" s="87"/>
      <c r="DZ359" s="87"/>
      <c r="EA359" s="87"/>
      <c r="EB359" s="87"/>
      <c r="EC359" s="87"/>
      <c r="ED359" s="87"/>
      <c r="EE359" s="87"/>
      <c r="EF359" s="87"/>
      <c r="EG359" s="87"/>
      <c r="EH359" s="87"/>
      <c r="EI359" s="87"/>
      <c r="EJ359" s="87"/>
      <c r="EK359" s="87"/>
      <c r="EL359" s="87"/>
      <c r="EM359" s="87"/>
      <c r="EN359" s="87"/>
      <c r="EO359" s="87"/>
      <c r="EP359" s="87"/>
      <c r="EQ359" s="87"/>
      <c r="ER359" s="87"/>
      <c r="ES359" s="87"/>
      <c r="ET359" s="87"/>
      <c r="EU359" s="87"/>
      <c r="EV359" s="87"/>
      <c r="EW359" s="87"/>
      <c r="EX359" s="87"/>
      <c r="EY359" s="87"/>
      <c r="EZ359" s="87"/>
      <c r="FA359" s="87"/>
      <c r="FB359" s="87"/>
      <c r="FC359" s="87"/>
      <c r="FD359" s="87"/>
      <c r="FE359" s="87"/>
      <c r="FF359" s="87"/>
      <c r="FG359" s="87"/>
      <c r="FH359" s="87"/>
      <c r="FI359" s="87"/>
      <c r="FJ359" s="87"/>
      <c r="FK359" s="87"/>
      <c r="FL359" s="87"/>
      <c r="FM359" s="87"/>
      <c r="FN359" s="87"/>
      <c r="FO359" s="87"/>
      <c r="FP359" s="87"/>
      <c r="FQ359" s="87"/>
      <c r="FR359" s="87"/>
      <c r="FS359" s="87"/>
      <c r="FT359" s="87"/>
      <c r="FU359" s="87"/>
      <c r="FV359" s="87"/>
      <c r="FW359" s="87"/>
      <c r="FX359" s="87"/>
      <c r="FY359" s="87"/>
      <c r="FZ359" s="87"/>
      <c r="GA359" s="87"/>
      <c r="GB359" s="87"/>
      <c r="GC359" s="87"/>
      <c r="GD359" s="87"/>
      <c r="GE359" s="87"/>
      <c r="GF359" s="87"/>
      <c r="GG359" s="87"/>
      <c r="GH359" s="87"/>
      <c r="GI359" s="87"/>
      <c r="GJ359" s="87"/>
      <c r="GK359" s="87"/>
      <c r="GL359" s="87"/>
      <c r="GM359" s="87"/>
      <c r="GN359" s="87"/>
      <c r="GO359" s="87"/>
      <c r="GP359" s="87"/>
      <c r="GQ359" s="87"/>
      <c r="GR359" s="87"/>
      <c r="GS359" s="87"/>
      <c r="GT359" s="87"/>
      <c r="GU359" s="87"/>
      <c r="GV359" s="87"/>
      <c r="GW359" s="87"/>
      <c r="GX359" s="87"/>
      <c r="GY359" s="87"/>
      <c r="GZ359" s="87"/>
      <c r="HA359" s="87"/>
      <c r="HB359" s="87"/>
      <c r="HC359" s="87"/>
      <c r="HD359" s="87"/>
      <c r="HE359" s="87"/>
      <c r="HF359" s="87"/>
      <c r="HG359" s="87"/>
      <c r="HH359" s="87"/>
      <c r="HI359" s="87"/>
      <c r="HJ359" s="87"/>
      <c r="HK359" s="87"/>
      <c r="HL359" s="87"/>
      <c r="HM359" s="87"/>
      <c r="HN359" s="87"/>
      <c r="HO359" s="87"/>
      <c r="HP359" s="87"/>
      <c r="HQ359" s="87"/>
      <c r="HR359" s="87"/>
      <c r="HS359" s="87"/>
      <c r="HT359" s="87"/>
      <c r="HU359" s="87"/>
      <c r="HV359" s="87"/>
      <c r="HW359" s="87"/>
      <c r="HX359" s="87"/>
      <c r="HY359" s="87"/>
      <c r="HZ359" s="87"/>
      <c r="IA359" s="87"/>
      <c r="IB359" s="87"/>
      <c r="IC359" s="87"/>
      <c r="ID359" s="87"/>
      <c r="IE359" s="87"/>
      <c r="IF359" s="87"/>
      <c r="IG359" s="87"/>
      <c r="IH359" s="87"/>
      <c r="II359" s="87"/>
      <c r="IJ359" s="87"/>
      <c r="IK359" s="87"/>
      <c r="IL359" s="87"/>
      <c r="IM359" s="87"/>
      <c r="IN359" s="87"/>
      <c r="IO359" s="87"/>
      <c r="IP359" s="87"/>
      <c r="IQ359" s="87"/>
      <c r="IR359" s="87"/>
      <c r="IS359" s="87"/>
      <c r="IT359" s="87"/>
      <c r="IU359" s="87"/>
      <c r="IV359" s="87"/>
    </row>
    <row r="360" spans="1:256" s="88" customFormat="1" x14ac:dyDescent="0.3">
      <c r="A360" s="87"/>
      <c r="B360" s="90"/>
      <c r="C360" s="89" t="s">
        <v>166</v>
      </c>
      <c r="D360" s="91"/>
      <c r="E360" s="90"/>
      <c r="F360" s="87"/>
      <c r="G360" s="90"/>
      <c r="H360" s="92">
        <f>H96</f>
        <v>1430474280</v>
      </c>
      <c r="I360" s="92"/>
      <c r="J360" s="92">
        <f t="shared" si="74"/>
        <v>4666082188</v>
      </c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9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87"/>
      <c r="DQ360" s="87"/>
      <c r="DR360" s="87"/>
      <c r="DS360" s="87"/>
      <c r="DT360" s="87"/>
      <c r="DU360" s="87"/>
      <c r="DV360" s="87"/>
      <c r="DW360" s="87"/>
      <c r="DX360" s="87"/>
      <c r="DY360" s="87"/>
      <c r="DZ360" s="87"/>
      <c r="EA360" s="87"/>
      <c r="EB360" s="87"/>
      <c r="EC360" s="87"/>
      <c r="ED360" s="87"/>
      <c r="EE360" s="87"/>
      <c r="EF360" s="87"/>
      <c r="EG360" s="87"/>
      <c r="EH360" s="87"/>
      <c r="EI360" s="87"/>
      <c r="EJ360" s="87"/>
      <c r="EK360" s="87"/>
      <c r="EL360" s="87"/>
      <c r="EM360" s="87"/>
      <c r="EN360" s="87"/>
      <c r="EO360" s="87"/>
      <c r="EP360" s="87"/>
      <c r="EQ360" s="87"/>
      <c r="ER360" s="87"/>
      <c r="ES360" s="87"/>
      <c r="ET360" s="87"/>
      <c r="EU360" s="87"/>
      <c r="EV360" s="87"/>
      <c r="EW360" s="87"/>
      <c r="EX360" s="87"/>
      <c r="EY360" s="87"/>
      <c r="EZ360" s="87"/>
      <c r="FA360" s="87"/>
      <c r="FB360" s="87"/>
      <c r="FC360" s="87"/>
      <c r="FD360" s="87"/>
      <c r="FE360" s="87"/>
      <c r="FF360" s="87"/>
      <c r="FG360" s="87"/>
      <c r="FH360" s="87"/>
      <c r="FI360" s="87"/>
      <c r="FJ360" s="87"/>
      <c r="FK360" s="87"/>
      <c r="FL360" s="87"/>
      <c r="FM360" s="87"/>
      <c r="FN360" s="87"/>
      <c r="FO360" s="87"/>
      <c r="FP360" s="87"/>
      <c r="FQ360" s="87"/>
      <c r="FR360" s="87"/>
      <c r="FS360" s="87"/>
      <c r="FT360" s="87"/>
      <c r="FU360" s="87"/>
      <c r="FV360" s="87"/>
      <c r="FW360" s="87"/>
      <c r="FX360" s="87"/>
      <c r="FY360" s="87"/>
      <c r="FZ360" s="87"/>
      <c r="GA360" s="87"/>
      <c r="GB360" s="87"/>
      <c r="GC360" s="87"/>
      <c r="GD360" s="87"/>
      <c r="GE360" s="87"/>
      <c r="GF360" s="87"/>
      <c r="GG360" s="87"/>
      <c r="GH360" s="87"/>
      <c r="GI360" s="87"/>
      <c r="GJ360" s="87"/>
      <c r="GK360" s="87"/>
      <c r="GL360" s="87"/>
      <c r="GM360" s="87"/>
      <c r="GN360" s="87"/>
      <c r="GO360" s="87"/>
      <c r="GP360" s="87"/>
      <c r="GQ360" s="87"/>
      <c r="GR360" s="87"/>
      <c r="GS360" s="87"/>
      <c r="GT360" s="87"/>
      <c r="GU360" s="87"/>
      <c r="GV360" s="87"/>
      <c r="GW360" s="87"/>
      <c r="GX360" s="87"/>
      <c r="GY360" s="87"/>
      <c r="GZ360" s="87"/>
      <c r="HA360" s="87"/>
      <c r="HB360" s="87"/>
      <c r="HC360" s="87"/>
      <c r="HD360" s="87"/>
      <c r="HE360" s="87"/>
      <c r="HF360" s="87"/>
      <c r="HG360" s="87"/>
      <c r="HH360" s="87"/>
      <c r="HI360" s="87"/>
      <c r="HJ360" s="87"/>
      <c r="HK360" s="87"/>
      <c r="HL360" s="87"/>
      <c r="HM360" s="87"/>
      <c r="HN360" s="87"/>
      <c r="HO360" s="87"/>
      <c r="HP360" s="87"/>
      <c r="HQ360" s="87"/>
      <c r="HR360" s="87"/>
      <c r="HS360" s="87"/>
      <c r="HT360" s="87"/>
      <c r="HU360" s="87"/>
      <c r="HV360" s="87"/>
      <c r="HW360" s="87"/>
      <c r="HX360" s="87"/>
      <c r="HY360" s="87"/>
      <c r="HZ360" s="87"/>
      <c r="IA360" s="87"/>
      <c r="IB360" s="87"/>
      <c r="IC360" s="87"/>
      <c r="ID360" s="87"/>
      <c r="IE360" s="87"/>
      <c r="IF360" s="87"/>
      <c r="IG360" s="87"/>
      <c r="IH360" s="87"/>
      <c r="II360" s="87"/>
      <c r="IJ360" s="87"/>
      <c r="IK360" s="87"/>
      <c r="IL360" s="87"/>
      <c r="IM360" s="87"/>
      <c r="IN360" s="87"/>
      <c r="IO360" s="87"/>
      <c r="IP360" s="87"/>
      <c r="IQ360" s="87"/>
      <c r="IR360" s="87"/>
      <c r="IS360" s="87"/>
      <c r="IT360" s="87"/>
      <c r="IU360" s="87"/>
      <c r="IV360" s="87"/>
    </row>
    <row r="361" spans="1:256" s="88" customFormat="1" x14ac:dyDescent="0.3">
      <c r="A361" s="87"/>
      <c r="B361" s="90"/>
      <c r="C361" s="89" t="s">
        <v>165</v>
      </c>
      <c r="D361" s="91"/>
      <c r="E361" s="90"/>
      <c r="F361" s="87"/>
      <c r="G361" s="90"/>
      <c r="H361" s="92">
        <f>H125</f>
        <v>1537629000</v>
      </c>
      <c r="I361" s="92"/>
      <c r="J361" s="92">
        <f t="shared" si="74"/>
        <v>6203711188</v>
      </c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9"/>
      <c r="AC361" s="95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  <c r="DH361" s="87"/>
      <c r="DI361" s="87"/>
      <c r="DJ361" s="87"/>
      <c r="DK361" s="87"/>
      <c r="DL361" s="87"/>
      <c r="DM361" s="87"/>
      <c r="DN361" s="87"/>
      <c r="DO361" s="87"/>
      <c r="DP361" s="87"/>
      <c r="DQ361" s="87"/>
      <c r="DR361" s="87"/>
      <c r="DS361" s="87"/>
      <c r="DT361" s="87"/>
      <c r="DU361" s="87"/>
      <c r="DV361" s="87"/>
      <c r="DW361" s="87"/>
      <c r="DX361" s="87"/>
      <c r="DY361" s="87"/>
      <c r="DZ361" s="87"/>
      <c r="EA361" s="87"/>
      <c r="EB361" s="87"/>
      <c r="EC361" s="87"/>
      <c r="ED361" s="87"/>
      <c r="EE361" s="87"/>
      <c r="EF361" s="87"/>
      <c r="EG361" s="87"/>
      <c r="EH361" s="87"/>
      <c r="EI361" s="87"/>
      <c r="EJ361" s="87"/>
      <c r="EK361" s="87"/>
      <c r="EL361" s="87"/>
      <c r="EM361" s="87"/>
      <c r="EN361" s="87"/>
      <c r="EO361" s="87"/>
      <c r="EP361" s="87"/>
      <c r="EQ361" s="87"/>
      <c r="ER361" s="87"/>
      <c r="ES361" s="87"/>
      <c r="ET361" s="87"/>
      <c r="EU361" s="87"/>
      <c r="EV361" s="87"/>
      <c r="EW361" s="87"/>
      <c r="EX361" s="87"/>
      <c r="EY361" s="87"/>
      <c r="EZ361" s="87"/>
      <c r="FA361" s="87"/>
      <c r="FB361" s="87"/>
      <c r="FC361" s="87"/>
      <c r="FD361" s="87"/>
      <c r="FE361" s="87"/>
      <c r="FF361" s="87"/>
      <c r="FG361" s="87"/>
      <c r="FH361" s="87"/>
      <c r="FI361" s="87"/>
      <c r="FJ361" s="87"/>
      <c r="FK361" s="87"/>
      <c r="FL361" s="87"/>
      <c r="FM361" s="87"/>
      <c r="FN361" s="87"/>
      <c r="FO361" s="87"/>
      <c r="FP361" s="87"/>
      <c r="FQ361" s="87"/>
      <c r="FR361" s="87"/>
      <c r="FS361" s="87"/>
      <c r="FT361" s="87"/>
      <c r="FU361" s="87"/>
      <c r="FV361" s="87"/>
      <c r="FW361" s="87"/>
      <c r="FX361" s="87"/>
      <c r="FY361" s="87"/>
      <c r="FZ361" s="87"/>
      <c r="GA361" s="87"/>
      <c r="GB361" s="87"/>
      <c r="GC361" s="87"/>
      <c r="GD361" s="87"/>
      <c r="GE361" s="87"/>
      <c r="GF361" s="87"/>
      <c r="GG361" s="87"/>
      <c r="GH361" s="87"/>
      <c r="GI361" s="87"/>
      <c r="GJ361" s="87"/>
      <c r="GK361" s="87"/>
      <c r="GL361" s="87"/>
      <c r="GM361" s="87"/>
      <c r="GN361" s="87"/>
      <c r="GO361" s="87"/>
      <c r="GP361" s="87"/>
      <c r="GQ361" s="87"/>
      <c r="GR361" s="87"/>
      <c r="GS361" s="87"/>
      <c r="GT361" s="87"/>
      <c r="GU361" s="87"/>
      <c r="GV361" s="87"/>
      <c r="GW361" s="87"/>
      <c r="GX361" s="87"/>
      <c r="GY361" s="87"/>
      <c r="GZ361" s="87"/>
      <c r="HA361" s="87"/>
      <c r="HB361" s="87"/>
      <c r="HC361" s="87"/>
      <c r="HD361" s="87"/>
      <c r="HE361" s="87"/>
      <c r="HF361" s="87"/>
      <c r="HG361" s="87"/>
      <c r="HH361" s="87"/>
      <c r="HI361" s="87"/>
      <c r="HJ361" s="87"/>
      <c r="HK361" s="87"/>
      <c r="HL361" s="87"/>
      <c r="HM361" s="87"/>
      <c r="HN361" s="87"/>
      <c r="HO361" s="87"/>
      <c r="HP361" s="87"/>
      <c r="HQ361" s="87"/>
      <c r="HR361" s="87"/>
      <c r="HS361" s="87"/>
      <c r="HT361" s="87"/>
      <c r="HU361" s="87"/>
      <c r="HV361" s="87"/>
      <c r="HW361" s="87"/>
      <c r="HX361" s="87"/>
      <c r="HY361" s="87"/>
      <c r="HZ361" s="87"/>
      <c r="IA361" s="87"/>
      <c r="IB361" s="87"/>
      <c r="IC361" s="87"/>
      <c r="ID361" s="87"/>
      <c r="IE361" s="87"/>
      <c r="IF361" s="87"/>
      <c r="IG361" s="87"/>
      <c r="IH361" s="87"/>
      <c r="II361" s="87"/>
      <c r="IJ361" s="87"/>
      <c r="IK361" s="87"/>
      <c r="IL361" s="87"/>
      <c r="IM361" s="87"/>
      <c r="IN361" s="87"/>
      <c r="IO361" s="87"/>
      <c r="IP361" s="87"/>
      <c r="IQ361" s="87"/>
      <c r="IR361" s="87"/>
      <c r="IS361" s="87"/>
      <c r="IT361" s="87"/>
      <c r="IU361" s="87"/>
      <c r="IV361" s="87"/>
    </row>
    <row r="362" spans="1:256" s="88" customFormat="1" x14ac:dyDescent="0.3">
      <c r="A362" s="87"/>
      <c r="B362" s="90"/>
      <c r="C362" s="89" t="s">
        <v>164</v>
      </c>
      <c r="D362" s="91"/>
      <c r="E362" s="90"/>
      <c r="F362" s="87"/>
      <c r="G362" s="90"/>
      <c r="H362" s="92">
        <f>H152</f>
        <v>1483039696</v>
      </c>
      <c r="I362" s="92"/>
      <c r="J362" s="92">
        <f t="shared" si="74"/>
        <v>7686750884</v>
      </c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9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  <c r="DH362" s="87"/>
      <c r="DI362" s="87"/>
      <c r="DJ362" s="87"/>
      <c r="DK362" s="87"/>
      <c r="DL362" s="87"/>
      <c r="DM362" s="87"/>
      <c r="DN362" s="87"/>
      <c r="DO362" s="87"/>
      <c r="DP362" s="87"/>
      <c r="DQ362" s="87"/>
      <c r="DR362" s="87"/>
      <c r="DS362" s="87"/>
      <c r="DT362" s="87"/>
      <c r="DU362" s="87"/>
      <c r="DV362" s="87"/>
      <c r="DW362" s="87"/>
      <c r="DX362" s="87"/>
      <c r="DY362" s="87"/>
      <c r="DZ362" s="87"/>
      <c r="EA362" s="87"/>
      <c r="EB362" s="87"/>
      <c r="EC362" s="87"/>
      <c r="ED362" s="87"/>
      <c r="EE362" s="87"/>
      <c r="EF362" s="87"/>
      <c r="EG362" s="87"/>
      <c r="EH362" s="87"/>
      <c r="EI362" s="87"/>
      <c r="EJ362" s="87"/>
      <c r="EK362" s="87"/>
      <c r="EL362" s="87"/>
      <c r="EM362" s="87"/>
      <c r="EN362" s="87"/>
      <c r="EO362" s="87"/>
      <c r="EP362" s="87"/>
      <c r="EQ362" s="87"/>
      <c r="ER362" s="87"/>
      <c r="ES362" s="87"/>
      <c r="ET362" s="87"/>
      <c r="EU362" s="87"/>
      <c r="EV362" s="87"/>
      <c r="EW362" s="87"/>
      <c r="EX362" s="87"/>
      <c r="EY362" s="87"/>
      <c r="EZ362" s="87"/>
      <c r="FA362" s="87"/>
      <c r="FB362" s="87"/>
      <c r="FC362" s="87"/>
      <c r="FD362" s="87"/>
      <c r="FE362" s="87"/>
      <c r="FF362" s="87"/>
      <c r="FG362" s="87"/>
      <c r="FH362" s="87"/>
      <c r="FI362" s="87"/>
      <c r="FJ362" s="87"/>
      <c r="FK362" s="87"/>
      <c r="FL362" s="87"/>
      <c r="FM362" s="87"/>
      <c r="FN362" s="87"/>
      <c r="FO362" s="87"/>
      <c r="FP362" s="87"/>
      <c r="FQ362" s="87"/>
      <c r="FR362" s="87"/>
      <c r="FS362" s="87"/>
      <c r="FT362" s="87"/>
      <c r="FU362" s="87"/>
      <c r="FV362" s="87"/>
      <c r="FW362" s="87"/>
      <c r="FX362" s="87"/>
      <c r="FY362" s="87"/>
      <c r="FZ362" s="87"/>
      <c r="GA362" s="87"/>
      <c r="GB362" s="87"/>
      <c r="GC362" s="87"/>
      <c r="GD362" s="87"/>
      <c r="GE362" s="87"/>
      <c r="GF362" s="87"/>
      <c r="GG362" s="87"/>
      <c r="GH362" s="87"/>
      <c r="GI362" s="87"/>
      <c r="GJ362" s="87"/>
      <c r="GK362" s="87"/>
      <c r="GL362" s="87"/>
      <c r="GM362" s="87"/>
      <c r="GN362" s="87"/>
      <c r="GO362" s="87"/>
      <c r="GP362" s="87"/>
      <c r="GQ362" s="87"/>
      <c r="GR362" s="87"/>
      <c r="GS362" s="87"/>
      <c r="GT362" s="87"/>
      <c r="GU362" s="87"/>
      <c r="GV362" s="87"/>
      <c r="GW362" s="87"/>
      <c r="GX362" s="87"/>
      <c r="GY362" s="87"/>
      <c r="GZ362" s="87"/>
      <c r="HA362" s="87"/>
      <c r="HB362" s="87"/>
      <c r="HC362" s="87"/>
      <c r="HD362" s="87"/>
      <c r="HE362" s="87"/>
      <c r="HF362" s="87"/>
      <c r="HG362" s="87"/>
      <c r="HH362" s="87"/>
      <c r="HI362" s="87"/>
      <c r="HJ362" s="87"/>
      <c r="HK362" s="87"/>
      <c r="HL362" s="87"/>
      <c r="HM362" s="87"/>
      <c r="HN362" s="87"/>
      <c r="HO362" s="87"/>
      <c r="HP362" s="87"/>
      <c r="HQ362" s="87"/>
      <c r="HR362" s="87"/>
      <c r="HS362" s="87"/>
      <c r="HT362" s="87"/>
      <c r="HU362" s="87"/>
      <c r="HV362" s="87"/>
      <c r="HW362" s="87"/>
      <c r="HX362" s="87"/>
      <c r="HY362" s="87"/>
      <c r="HZ362" s="87"/>
      <c r="IA362" s="87"/>
      <c r="IB362" s="87"/>
      <c r="IC362" s="87"/>
      <c r="ID362" s="87"/>
      <c r="IE362" s="87"/>
      <c r="IF362" s="87"/>
      <c r="IG362" s="87"/>
      <c r="IH362" s="87"/>
      <c r="II362" s="87"/>
      <c r="IJ362" s="87"/>
      <c r="IK362" s="87"/>
      <c r="IL362" s="87"/>
      <c r="IM362" s="87"/>
      <c r="IN362" s="87"/>
      <c r="IO362" s="87"/>
      <c r="IP362" s="87"/>
      <c r="IQ362" s="87"/>
      <c r="IR362" s="87"/>
      <c r="IS362" s="87"/>
      <c r="IT362" s="87"/>
      <c r="IU362" s="87"/>
      <c r="IV362" s="87"/>
    </row>
    <row r="363" spans="1:256" s="88" customFormat="1" x14ac:dyDescent="0.3">
      <c r="A363" s="87"/>
      <c r="B363" s="90"/>
      <c r="C363" s="89" t="s">
        <v>163</v>
      </c>
      <c r="D363" s="91"/>
      <c r="E363" s="90"/>
      <c r="F363" s="87"/>
      <c r="G363" s="90"/>
      <c r="H363" s="92">
        <f>H189</f>
        <v>1201567990</v>
      </c>
      <c r="I363" s="92"/>
      <c r="J363" s="92">
        <f t="shared" si="74"/>
        <v>8888318874</v>
      </c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9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  <c r="DH363" s="87"/>
      <c r="DI363" s="87"/>
      <c r="DJ363" s="87"/>
      <c r="DK363" s="87"/>
      <c r="DL363" s="87"/>
      <c r="DM363" s="87"/>
      <c r="DN363" s="87"/>
      <c r="DO363" s="87"/>
      <c r="DP363" s="87"/>
      <c r="DQ363" s="87"/>
      <c r="DR363" s="87"/>
      <c r="DS363" s="87"/>
      <c r="DT363" s="87"/>
      <c r="DU363" s="87"/>
      <c r="DV363" s="87"/>
      <c r="DW363" s="87"/>
      <c r="DX363" s="87"/>
      <c r="DY363" s="87"/>
      <c r="DZ363" s="87"/>
      <c r="EA363" s="87"/>
      <c r="EB363" s="87"/>
      <c r="EC363" s="87"/>
      <c r="ED363" s="87"/>
      <c r="EE363" s="87"/>
      <c r="EF363" s="87"/>
      <c r="EG363" s="87"/>
      <c r="EH363" s="87"/>
      <c r="EI363" s="87"/>
      <c r="EJ363" s="87"/>
      <c r="EK363" s="87"/>
      <c r="EL363" s="87"/>
      <c r="EM363" s="87"/>
      <c r="EN363" s="87"/>
      <c r="EO363" s="87"/>
      <c r="EP363" s="87"/>
      <c r="EQ363" s="87"/>
      <c r="ER363" s="87"/>
      <c r="ES363" s="87"/>
      <c r="ET363" s="87"/>
      <c r="EU363" s="87"/>
      <c r="EV363" s="87"/>
      <c r="EW363" s="87"/>
      <c r="EX363" s="87"/>
      <c r="EY363" s="87"/>
      <c r="EZ363" s="87"/>
      <c r="FA363" s="87"/>
      <c r="FB363" s="87"/>
      <c r="FC363" s="87"/>
      <c r="FD363" s="87"/>
      <c r="FE363" s="87"/>
      <c r="FF363" s="87"/>
      <c r="FG363" s="87"/>
      <c r="FH363" s="87"/>
      <c r="FI363" s="87"/>
      <c r="FJ363" s="87"/>
      <c r="FK363" s="87"/>
      <c r="FL363" s="87"/>
      <c r="FM363" s="87"/>
      <c r="FN363" s="87"/>
      <c r="FO363" s="87"/>
      <c r="FP363" s="87"/>
      <c r="FQ363" s="87"/>
      <c r="FR363" s="87"/>
      <c r="FS363" s="87"/>
      <c r="FT363" s="87"/>
      <c r="FU363" s="87"/>
      <c r="FV363" s="87"/>
      <c r="FW363" s="87"/>
      <c r="FX363" s="87"/>
      <c r="FY363" s="87"/>
      <c r="FZ363" s="87"/>
      <c r="GA363" s="87"/>
      <c r="GB363" s="87"/>
      <c r="GC363" s="87"/>
      <c r="GD363" s="87"/>
      <c r="GE363" s="87"/>
      <c r="GF363" s="87"/>
      <c r="GG363" s="87"/>
      <c r="GH363" s="87"/>
      <c r="GI363" s="87"/>
      <c r="GJ363" s="87"/>
      <c r="GK363" s="87"/>
      <c r="GL363" s="87"/>
      <c r="GM363" s="87"/>
      <c r="GN363" s="87"/>
      <c r="GO363" s="87"/>
      <c r="GP363" s="87"/>
      <c r="GQ363" s="87"/>
      <c r="GR363" s="87"/>
      <c r="GS363" s="87"/>
      <c r="GT363" s="87"/>
      <c r="GU363" s="87"/>
      <c r="GV363" s="87"/>
      <c r="GW363" s="87"/>
      <c r="GX363" s="87"/>
      <c r="GY363" s="87"/>
      <c r="GZ363" s="87"/>
      <c r="HA363" s="87"/>
      <c r="HB363" s="87"/>
      <c r="HC363" s="87"/>
      <c r="HD363" s="87"/>
      <c r="HE363" s="87"/>
      <c r="HF363" s="87"/>
      <c r="HG363" s="87"/>
      <c r="HH363" s="87"/>
      <c r="HI363" s="87"/>
      <c r="HJ363" s="87"/>
      <c r="HK363" s="87"/>
      <c r="HL363" s="87"/>
      <c r="HM363" s="87"/>
      <c r="HN363" s="87"/>
      <c r="HO363" s="87"/>
      <c r="HP363" s="87"/>
      <c r="HQ363" s="87"/>
      <c r="HR363" s="87"/>
      <c r="HS363" s="87"/>
      <c r="HT363" s="87"/>
      <c r="HU363" s="87"/>
      <c r="HV363" s="87"/>
      <c r="HW363" s="87"/>
      <c r="HX363" s="87"/>
      <c r="HY363" s="87"/>
      <c r="HZ363" s="87"/>
      <c r="IA363" s="87"/>
      <c r="IB363" s="87"/>
      <c r="IC363" s="87"/>
      <c r="ID363" s="87"/>
      <c r="IE363" s="87"/>
      <c r="IF363" s="87"/>
      <c r="IG363" s="87"/>
      <c r="IH363" s="87"/>
      <c r="II363" s="87"/>
      <c r="IJ363" s="87"/>
      <c r="IK363" s="87"/>
      <c r="IL363" s="87"/>
      <c r="IM363" s="87"/>
      <c r="IN363" s="87"/>
      <c r="IO363" s="87"/>
      <c r="IP363" s="87"/>
      <c r="IQ363" s="87"/>
      <c r="IR363" s="87"/>
      <c r="IS363" s="87"/>
      <c r="IT363" s="87"/>
      <c r="IU363" s="87"/>
      <c r="IV363" s="87"/>
    </row>
    <row r="364" spans="1:256" s="88" customFormat="1" x14ac:dyDescent="0.3">
      <c r="A364" s="87"/>
      <c r="B364" s="90"/>
      <c r="C364" s="89" t="s">
        <v>162</v>
      </c>
      <c r="D364" s="91"/>
      <c r="E364" s="90"/>
      <c r="F364" s="87"/>
      <c r="G364" s="90"/>
      <c r="H364" s="92">
        <f>H220</f>
        <v>1365854380</v>
      </c>
      <c r="I364" s="92"/>
      <c r="J364" s="92">
        <f t="shared" si="74"/>
        <v>10254173254</v>
      </c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9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  <c r="DH364" s="87"/>
      <c r="DI364" s="87"/>
      <c r="DJ364" s="87"/>
      <c r="DK364" s="87"/>
      <c r="DL364" s="87"/>
      <c r="DM364" s="87"/>
      <c r="DN364" s="87"/>
      <c r="DO364" s="87"/>
      <c r="DP364" s="87"/>
      <c r="DQ364" s="87"/>
      <c r="DR364" s="87"/>
      <c r="DS364" s="87"/>
      <c r="DT364" s="87"/>
      <c r="DU364" s="87"/>
      <c r="DV364" s="87"/>
      <c r="DW364" s="87"/>
      <c r="DX364" s="87"/>
      <c r="DY364" s="87"/>
      <c r="DZ364" s="87"/>
      <c r="EA364" s="87"/>
      <c r="EB364" s="87"/>
      <c r="EC364" s="87"/>
      <c r="ED364" s="87"/>
      <c r="EE364" s="87"/>
      <c r="EF364" s="87"/>
      <c r="EG364" s="87"/>
      <c r="EH364" s="87"/>
      <c r="EI364" s="87"/>
      <c r="EJ364" s="87"/>
      <c r="EK364" s="87"/>
      <c r="EL364" s="87"/>
      <c r="EM364" s="87"/>
      <c r="EN364" s="87"/>
      <c r="EO364" s="87"/>
      <c r="EP364" s="87"/>
      <c r="EQ364" s="87"/>
      <c r="ER364" s="87"/>
      <c r="ES364" s="87"/>
      <c r="ET364" s="87"/>
      <c r="EU364" s="87"/>
      <c r="EV364" s="87"/>
      <c r="EW364" s="87"/>
      <c r="EX364" s="87"/>
      <c r="EY364" s="87"/>
      <c r="EZ364" s="87"/>
      <c r="FA364" s="87"/>
      <c r="FB364" s="87"/>
      <c r="FC364" s="87"/>
      <c r="FD364" s="87"/>
      <c r="FE364" s="87"/>
      <c r="FF364" s="87"/>
      <c r="FG364" s="87"/>
      <c r="FH364" s="87"/>
      <c r="FI364" s="87"/>
      <c r="FJ364" s="87"/>
      <c r="FK364" s="87"/>
      <c r="FL364" s="87"/>
      <c r="FM364" s="87"/>
      <c r="FN364" s="87"/>
      <c r="FO364" s="87"/>
      <c r="FP364" s="87"/>
      <c r="FQ364" s="87"/>
      <c r="FR364" s="87"/>
      <c r="FS364" s="87"/>
      <c r="FT364" s="87"/>
      <c r="FU364" s="87"/>
      <c r="FV364" s="87"/>
      <c r="FW364" s="87"/>
      <c r="FX364" s="87"/>
      <c r="FY364" s="87"/>
      <c r="FZ364" s="87"/>
      <c r="GA364" s="87"/>
      <c r="GB364" s="87"/>
      <c r="GC364" s="87"/>
      <c r="GD364" s="87"/>
      <c r="GE364" s="87"/>
      <c r="GF364" s="87"/>
      <c r="GG364" s="87"/>
      <c r="GH364" s="87"/>
      <c r="GI364" s="87"/>
      <c r="GJ364" s="87"/>
      <c r="GK364" s="87"/>
      <c r="GL364" s="87"/>
      <c r="GM364" s="87"/>
      <c r="GN364" s="87"/>
      <c r="GO364" s="87"/>
      <c r="GP364" s="87"/>
      <c r="GQ364" s="87"/>
      <c r="GR364" s="87"/>
      <c r="GS364" s="87"/>
      <c r="GT364" s="87"/>
      <c r="GU364" s="87"/>
      <c r="GV364" s="87"/>
      <c r="GW364" s="87"/>
      <c r="GX364" s="87"/>
      <c r="GY364" s="87"/>
      <c r="GZ364" s="87"/>
      <c r="HA364" s="87"/>
      <c r="HB364" s="87"/>
      <c r="HC364" s="87"/>
      <c r="HD364" s="87"/>
      <c r="HE364" s="87"/>
      <c r="HF364" s="87"/>
      <c r="HG364" s="87"/>
      <c r="HH364" s="87"/>
      <c r="HI364" s="87"/>
      <c r="HJ364" s="87"/>
      <c r="HK364" s="87"/>
      <c r="HL364" s="87"/>
      <c r="HM364" s="87"/>
      <c r="HN364" s="87"/>
      <c r="HO364" s="87"/>
      <c r="HP364" s="87"/>
      <c r="HQ364" s="87"/>
      <c r="HR364" s="87"/>
      <c r="HS364" s="87"/>
      <c r="HT364" s="87"/>
      <c r="HU364" s="87"/>
      <c r="HV364" s="87"/>
      <c r="HW364" s="87"/>
      <c r="HX364" s="87"/>
      <c r="HY364" s="87"/>
      <c r="HZ364" s="87"/>
      <c r="IA364" s="87"/>
      <c r="IB364" s="87"/>
      <c r="IC364" s="87"/>
      <c r="ID364" s="87"/>
      <c r="IE364" s="87"/>
      <c r="IF364" s="87"/>
      <c r="IG364" s="87"/>
      <c r="IH364" s="87"/>
      <c r="II364" s="87"/>
      <c r="IJ364" s="87"/>
      <c r="IK364" s="87"/>
      <c r="IL364" s="87"/>
      <c r="IM364" s="87"/>
      <c r="IN364" s="87"/>
      <c r="IO364" s="87"/>
      <c r="IP364" s="87"/>
      <c r="IQ364" s="87"/>
      <c r="IR364" s="87"/>
      <c r="IS364" s="87"/>
      <c r="IT364" s="87"/>
      <c r="IU364" s="87"/>
      <c r="IV364" s="87"/>
    </row>
    <row r="365" spans="1:256" s="88" customFormat="1" x14ac:dyDescent="0.3">
      <c r="A365" s="87"/>
      <c r="B365" s="90"/>
      <c r="C365" s="89" t="s">
        <v>161</v>
      </c>
      <c r="D365" s="91"/>
      <c r="E365" s="90"/>
      <c r="F365" s="87"/>
      <c r="G365" s="90"/>
      <c r="H365" s="92">
        <f>H250</f>
        <v>753980801</v>
      </c>
      <c r="I365" s="92"/>
      <c r="J365" s="94">
        <f t="shared" si="74"/>
        <v>11008154055</v>
      </c>
      <c r="K365" s="93">
        <v>10529238601</v>
      </c>
      <c r="L365" s="93"/>
      <c r="M365" s="93">
        <v>816748860</v>
      </c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87"/>
      <c r="Y365" s="87"/>
      <c r="Z365" s="87"/>
      <c r="AA365" s="87"/>
      <c r="AB365" s="89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87"/>
      <c r="DQ365" s="87"/>
      <c r="DR365" s="87"/>
      <c r="DS365" s="87"/>
      <c r="DT365" s="87"/>
      <c r="DU365" s="87"/>
      <c r="DV365" s="87"/>
      <c r="DW365" s="87"/>
      <c r="DX365" s="87"/>
      <c r="DY365" s="87"/>
      <c r="DZ365" s="87"/>
      <c r="EA365" s="87"/>
      <c r="EB365" s="87"/>
      <c r="EC365" s="87"/>
      <c r="ED365" s="87"/>
      <c r="EE365" s="87"/>
      <c r="EF365" s="87"/>
      <c r="EG365" s="87"/>
      <c r="EH365" s="87"/>
      <c r="EI365" s="87"/>
      <c r="EJ365" s="87"/>
      <c r="EK365" s="87"/>
      <c r="EL365" s="87"/>
      <c r="EM365" s="87"/>
      <c r="EN365" s="87"/>
      <c r="EO365" s="87"/>
      <c r="EP365" s="87"/>
      <c r="EQ365" s="87"/>
      <c r="ER365" s="87"/>
      <c r="ES365" s="87"/>
      <c r="ET365" s="87"/>
      <c r="EU365" s="87"/>
      <c r="EV365" s="87"/>
      <c r="EW365" s="87"/>
      <c r="EX365" s="87"/>
      <c r="EY365" s="87"/>
      <c r="EZ365" s="87"/>
      <c r="FA365" s="87"/>
      <c r="FB365" s="87"/>
      <c r="FC365" s="87"/>
      <c r="FD365" s="87"/>
      <c r="FE365" s="87"/>
      <c r="FF365" s="87"/>
      <c r="FG365" s="87"/>
      <c r="FH365" s="87"/>
      <c r="FI365" s="87"/>
      <c r="FJ365" s="87"/>
      <c r="FK365" s="87"/>
      <c r="FL365" s="87"/>
      <c r="FM365" s="87"/>
      <c r="FN365" s="87"/>
      <c r="FO365" s="87"/>
      <c r="FP365" s="87"/>
      <c r="FQ365" s="87"/>
      <c r="FR365" s="87"/>
      <c r="FS365" s="87"/>
      <c r="FT365" s="87"/>
      <c r="FU365" s="87"/>
      <c r="FV365" s="87"/>
      <c r="FW365" s="87"/>
      <c r="FX365" s="87"/>
      <c r="FY365" s="87"/>
      <c r="FZ365" s="87"/>
      <c r="GA365" s="87"/>
      <c r="GB365" s="87"/>
      <c r="GC365" s="87"/>
      <c r="GD365" s="87"/>
      <c r="GE365" s="87"/>
      <c r="GF365" s="87"/>
      <c r="GG365" s="87"/>
      <c r="GH365" s="87"/>
      <c r="GI365" s="87"/>
      <c r="GJ365" s="87"/>
      <c r="GK365" s="87"/>
      <c r="GL365" s="87"/>
      <c r="GM365" s="87"/>
      <c r="GN365" s="87"/>
      <c r="GO365" s="87"/>
      <c r="GP365" s="87"/>
      <c r="GQ365" s="87"/>
      <c r="GR365" s="87"/>
      <c r="GS365" s="87"/>
      <c r="GT365" s="87"/>
      <c r="GU365" s="87"/>
      <c r="GV365" s="87"/>
      <c r="GW365" s="87"/>
      <c r="GX365" s="87"/>
      <c r="GY365" s="87"/>
      <c r="GZ365" s="87"/>
      <c r="HA365" s="87"/>
      <c r="HB365" s="87"/>
      <c r="HC365" s="87"/>
      <c r="HD365" s="87"/>
      <c r="HE365" s="87"/>
      <c r="HF365" s="87"/>
      <c r="HG365" s="87"/>
      <c r="HH365" s="87"/>
      <c r="HI365" s="87"/>
      <c r="HJ365" s="87"/>
      <c r="HK365" s="87"/>
      <c r="HL365" s="87"/>
      <c r="HM365" s="87"/>
      <c r="HN365" s="87"/>
      <c r="HO365" s="87"/>
      <c r="HP365" s="87"/>
      <c r="HQ365" s="87"/>
      <c r="HR365" s="87"/>
      <c r="HS365" s="87"/>
      <c r="HT365" s="87"/>
      <c r="HU365" s="87"/>
      <c r="HV365" s="87"/>
      <c r="HW365" s="87"/>
      <c r="HX365" s="87"/>
      <c r="HY365" s="87"/>
      <c r="HZ365" s="87"/>
      <c r="IA365" s="87"/>
      <c r="IB365" s="87"/>
      <c r="IC365" s="87"/>
      <c r="ID365" s="87"/>
      <c r="IE365" s="87"/>
      <c r="IF365" s="87"/>
      <c r="IG365" s="87"/>
      <c r="IH365" s="87"/>
      <c r="II365" s="87"/>
      <c r="IJ365" s="87"/>
      <c r="IK365" s="87"/>
      <c r="IL365" s="87"/>
      <c r="IM365" s="87"/>
      <c r="IN365" s="87"/>
      <c r="IO365" s="87"/>
      <c r="IP365" s="87"/>
      <c r="IQ365" s="87"/>
      <c r="IR365" s="87"/>
      <c r="IS365" s="87"/>
      <c r="IT365" s="87"/>
      <c r="IU365" s="87"/>
      <c r="IV365" s="87"/>
    </row>
    <row r="366" spans="1:256" s="88" customFormat="1" x14ac:dyDescent="0.3">
      <c r="A366" s="87"/>
      <c r="B366" s="90"/>
      <c r="C366" s="89" t="s">
        <v>160</v>
      </c>
      <c r="D366" s="91"/>
      <c r="E366" s="90"/>
      <c r="F366" s="87"/>
      <c r="G366" s="90"/>
      <c r="H366" s="87"/>
      <c r="I366" s="87"/>
      <c r="J366" s="92">
        <f t="shared" si="74"/>
        <v>11008154055</v>
      </c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9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  <c r="DH366" s="87"/>
      <c r="DI366" s="87"/>
      <c r="DJ366" s="87"/>
      <c r="DK366" s="87"/>
      <c r="DL366" s="87"/>
      <c r="DM366" s="87"/>
      <c r="DN366" s="87"/>
      <c r="DO366" s="87"/>
      <c r="DP366" s="87"/>
      <c r="DQ366" s="87"/>
      <c r="DR366" s="87"/>
      <c r="DS366" s="87"/>
      <c r="DT366" s="87"/>
      <c r="DU366" s="87"/>
      <c r="DV366" s="87"/>
      <c r="DW366" s="87"/>
      <c r="DX366" s="87"/>
      <c r="DY366" s="87"/>
      <c r="DZ366" s="87"/>
      <c r="EA366" s="87"/>
      <c r="EB366" s="87"/>
      <c r="EC366" s="87"/>
      <c r="ED366" s="87"/>
      <c r="EE366" s="87"/>
      <c r="EF366" s="87"/>
      <c r="EG366" s="87"/>
      <c r="EH366" s="87"/>
      <c r="EI366" s="87"/>
      <c r="EJ366" s="87"/>
      <c r="EK366" s="87"/>
      <c r="EL366" s="87"/>
      <c r="EM366" s="87"/>
      <c r="EN366" s="87"/>
      <c r="EO366" s="87"/>
      <c r="EP366" s="87"/>
      <c r="EQ366" s="87"/>
      <c r="ER366" s="87"/>
      <c r="ES366" s="87"/>
      <c r="ET366" s="87"/>
      <c r="EU366" s="87"/>
      <c r="EV366" s="87"/>
      <c r="EW366" s="87"/>
      <c r="EX366" s="87"/>
      <c r="EY366" s="87"/>
      <c r="EZ366" s="87"/>
      <c r="FA366" s="87"/>
      <c r="FB366" s="87"/>
      <c r="FC366" s="87"/>
      <c r="FD366" s="87"/>
      <c r="FE366" s="87"/>
      <c r="FF366" s="87"/>
      <c r="FG366" s="87"/>
      <c r="FH366" s="87"/>
      <c r="FI366" s="87"/>
      <c r="FJ366" s="87"/>
      <c r="FK366" s="87"/>
      <c r="FL366" s="87"/>
      <c r="FM366" s="87"/>
      <c r="FN366" s="87"/>
      <c r="FO366" s="87"/>
      <c r="FP366" s="87"/>
      <c r="FQ366" s="87"/>
      <c r="FR366" s="87"/>
      <c r="FS366" s="87"/>
      <c r="FT366" s="87"/>
      <c r="FU366" s="87"/>
      <c r="FV366" s="87"/>
      <c r="FW366" s="87"/>
      <c r="FX366" s="87"/>
      <c r="FY366" s="87"/>
      <c r="FZ366" s="87"/>
      <c r="GA366" s="87"/>
      <c r="GB366" s="87"/>
      <c r="GC366" s="87"/>
      <c r="GD366" s="87"/>
      <c r="GE366" s="87"/>
      <c r="GF366" s="87"/>
      <c r="GG366" s="87"/>
      <c r="GH366" s="87"/>
      <c r="GI366" s="87"/>
      <c r="GJ366" s="87"/>
      <c r="GK366" s="87"/>
      <c r="GL366" s="87"/>
      <c r="GM366" s="87"/>
      <c r="GN366" s="87"/>
      <c r="GO366" s="87"/>
      <c r="GP366" s="87"/>
      <c r="GQ366" s="87"/>
      <c r="GR366" s="87"/>
      <c r="GS366" s="87"/>
      <c r="GT366" s="87"/>
      <c r="GU366" s="87"/>
      <c r="GV366" s="87"/>
      <c r="GW366" s="87"/>
      <c r="GX366" s="87"/>
      <c r="GY366" s="87"/>
      <c r="GZ366" s="87"/>
      <c r="HA366" s="87"/>
      <c r="HB366" s="87"/>
      <c r="HC366" s="87"/>
      <c r="HD366" s="87"/>
      <c r="HE366" s="87"/>
      <c r="HF366" s="87"/>
      <c r="HG366" s="87"/>
      <c r="HH366" s="87"/>
      <c r="HI366" s="87"/>
      <c r="HJ366" s="87"/>
      <c r="HK366" s="87"/>
      <c r="HL366" s="87"/>
      <c r="HM366" s="87"/>
      <c r="HN366" s="87"/>
      <c r="HO366" s="87"/>
      <c r="HP366" s="87"/>
      <c r="HQ366" s="87"/>
      <c r="HR366" s="87"/>
      <c r="HS366" s="87"/>
      <c r="HT366" s="87"/>
      <c r="HU366" s="87"/>
      <c r="HV366" s="87"/>
      <c r="HW366" s="87"/>
      <c r="HX366" s="87"/>
      <c r="HY366" s="87"/>
      <c r="HZ366" s="87"/>
      <c r="IA366" s="87"/>
      <c r="IB366" s="87"/>
      <c r="IC366" s="87"/>
      <c r="ID366" s="87"/>
      <c r="IE366" s="87"/>
      <c r="IF366" s="87"/>
      <c r="IG366" s="87"/>
      <c r="IH366" s="87"/>
      <c r="II366" s="87"/>
      <c r="IJ366" s="87"/>
      <c r="IK366" s="87"/>
      <c r="IL366" s="87"/>
      <c r="IM366" s="87"/>
      <c r="IN366" s="87"/>
      <c r="IO366" s="87"/>
      <c r="IP366" s="87"/>
      <c r="IQ366" s="87"/>
      <c r="IR366" s="87"/>
      <c r="IS366" s="87"/>
      <c r="IT366" s="87"/>
      <c r="IU366" s="87"/>
      <c r="IV366" s="87"/>
    </row>
    <row r="367" spans="1:256" s="88" customFormat="1" x14ac:dyDescent="0.3">
      <c r="A367" s="87"/>
      <c r="B367" s="90"/>
      <c r="C367" s="89" t="s">
        <v>159</v>
      </c>
      <c r="D367" s="91"/>
      <c r="E367" s="90"/>
      <c r="F367" s="87"/>
      <c r="G367" s="90"/>
      <c r="H367" s="87"/>
      <c r="I367" s="87"/>
      <c r="J367" s="92">
        <f t="shared" si="74"/>
        <v>11008154055</v>
      </c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9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  <c r="DH367" s="87"/>
      <c r="DI367" s="87"/>
      <c r="DJ367" s="87"/>
      <c r="DK367" s="87"/>
      <c r="DL367" s="87"/>
      <c r="DM367" s="87"/>
      <c r="DN367" s="87"/>
      <c r="DO367" s="87"/>
      <c r="DP367" s="87"/>
      <c r="DQ367" s="87"/>
      <c r="DR367" s="87"/>
      <c r="DS367" s="87"/>
      <c r="DT367" s="87"/>
      <c r="DU367" s="87"/>
      <c r="DV367" s="87"/>
      <c r="DW367" s="87"/>
      <c r="DX367" s="87"/>
      <c r="DY367" s="87"/>
      <c r="DZ367" s="87"/>
      <c r="EA367" s="87"/>
      <c r="EB367" s="87"/>
      <c r="EC367" s="87"/>
      <c r="ED367" s="87"/>
      <c r="EE367" s="87"/>
      <c r="EF367" s="87"/>
      <c r="EG367" s="87"/>
      <c r="EH367" s="87"/>
      <c r="EI367" s="87"/>
      <c r="EJ367" s="87"/>
      <c r="EK367" s="87"/>
      <c r="EL367" s="87"/>
      <c r="EM367" s="87"/>
      <c r="EN367" s="87"/>
      <c r="EO367" s="87"/>
      <c r="EP367" s="87"/>
      <c r="EQ367" s="87"/>
      <c r="ER367" s="87"/>
      <c r="ES367" s="87"/>
      <c r="ET367" s="87"/>
      <c r="EU367" s="87"/>
      <c r="EV367" s="87"/>
      <c r="EW367" s="87"/>
      <c r="EX367" s="87"/>
      <c r="EY367" s="87"/>
      <c r="EZ367" s="87"/>
      <c r="FA367" s="87"/>
      <c r="FB367" s="87"/>
      <c r="FC367" s="87"/>
      <c r="FD367" s="87"/>
      <c r="FE367" s="87"/>
      <c r="FF367" s="87"/>
      <c r="FG367" s="87"/>
      <c r="FH367" s="87"/>
      <c r="FI367" s="87"/>
      <c r="FJ367" s="87"/>
      <c r="FK367" s="87"/>
      <c r="FL367" s="87"/>
      <c r="FM367" s="87"/>
      <c r="FN367" s="87"/>
      <c r="FO367" s="87"/>
      <c r="FP367" s="87"/>
      <c r="FQ367" s="87"/>
      <c r="FR367" s="87"/>
      <c r="FS367" s="87"/>
      <c r="FT367" s="87"/>
      <c r="FU367" s="87"/>
      <c r="FV367" s="87"/>
      <c r="FW367" s="87"/>
      <c r="FX367" s="87"/>
      <c r="FY367" s="87"/>
      <c r="FZ367" s="87"/>
      <c r="GA367" s="87"/>
      <c r="GB367" s="87"/>
      <c r="GC367" s="87"/>
      <c r="GD367" s="87"/>
      <c r="GE367" s="87"/>
      <c r="GF367" s="87"/>
      <c r="GG367" s="87"/>
      <c r="GH367" s="87"/>
      <c r="GI367" s="87"/>
      <c r="GJ367" s="87"/>
      <c r="GK367" s="87"/>
      <c r="GL367" s="87"/>
      <c r="GM367" s="87"/>
      <c r="GN367" s="87"/>
      <c r="GO367" s="87"/>
      <c r="GP367" s="87"/>
      <c r="GQ367" s="87"/>
      <c r="GR367" s="87"/>
      <c r="GS367" s="87"/>
      <c r="GT367" s="87"/>
      <c r="GU367" s="87"/>
      <c r="GV367" s="87"/>
      <c r="GW367" s="87"/>
      <c r="GX367" s="87"/>
      <c r="GY367" s="87"/>
      <c r="GZ367" s="87"/>
      <c r="HA367" s="87"/>
      <c r="HB367" s="87"/>
      <c r="HC367" s="87"/>
      <c r="HD367" s="87"/>
      <c r="HE367" s="87"/>
      <c r="HF367" s="87"/>
      <c r="HG367" s="87"/>
      <c r="HH367" s="87"/>
      <c r="HI367" s="87"/>
      <c r="HJ367" s="87"/>
      <c r="HK367" s="87"/>
      <c r="HL367" s="87"/>
      <c r="HM367" s="87"/>
      <c r="HN367" s="87"/>
      <c r="HO367" s="87"/>
      <c r="HP367" s="87"/>
      <c r="HQ367" s="87"/>
      <c r="HR367" s="87"/>
      <c r="HS367" s="87"/>
      <c r="HT367" s="87"/>
      <c r="HU367" s="87"/>
      <c r="HV367" s="87"/>
      <c r="HW367" s="87"/>
      <c r="HX367" s="87"/>
      <c r="HY367" s="87"/>
      <c r="HZ367" s="87"/>
      <c r="IA367" s="87"/>
      <c r="IB367" s="87"/>
      <c r="IC367" s="87"/>
      <c r="ID367" s="87"/>
      <c r="IE367" s="87"/>
      <c r="IF367" s="87"/>
      <c r="IG367" s="87"/>
      <c r="IH367" s="87"/>
      <c r="II367" s="87"/>
      <c r="IJ367" s="87"/>
      <c r="IK367" s="87"/>
      <c r="IL367" s="87"/>
      <c r="IM367" s="87"/>
      <c r="IN367" s="87"/>
      <c r="IO367" s="87"/>
      <c r="IP367" s="87"/>
      <c r="IQ367" s="87"/>
      <c r="IR367" s="87"/>
      <c r="IS367" s="87"/>
      <c r="IT367" s="87"/>
      <c r="IU367" s="87"/>
      <c r="IV367" s="87"/>
    </row>
    <row r="368" spans="1:256" s="88" customFormat="1" x14ac:dyDescent="0.3">
      <c r="A368" s="87"/>
      <c r="B368" s="90"/>
      <c r="C368" s="89" t="s">
        <v>158</v>
      </c>
      <c r="D368" s="91"/>
      <c r="E368" s="90"/>
      <c r="F368" s="87"/>
      <c r="G368" s="90"/>
      <c r="H368" s="87"/>
      <c r="I368" s="87"/>
      <c r="J368" s="92">
        <f t="shared" si="74"/>
        <v>11008154055</v>
      </c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9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87"/>
      <c r="DQ368" s="87"/>
      <c r="DR368" s="87"/>
      <c r="DS368" s="87"/>
      <c r="DT368" s="87"/>
      <c r="DU368" s="87"/>
      <c r="DV368" s="87"/>
      <c r="DW368" s="87"/>
      <c r="DX368" s="87"/>
      <c r="DY368" s="87"/>
      <c r="DZ368" s="87"/>
      <c r="EA368" s="87"/>
      <c r="EB368" s="87"/>
      <c r="EC368" s="87"/>
      <c r="ED368" s="87"/>
      <c r="EE368" s="87"/>
      <c r="EF368" s="87"/>
      <c r="EG368" s="87"/>
      <c r="EH368" s="87"/>
      <c r="EI368" s="87"/>
      <c r="EJ368" s="87"/>
      <c r="EK368" s="87"/>
      <c r="EL368" s="87"/>
      <c r="EM368" s="87"/>
      <c r="EN368" s="87"/>
      <c r="EO368" s="87"/>
      <c r="EP368" s="87"/>
      <c r="EQ368" s="87"/>
      <c r="ER368" s="87"/>
      <c r="ES368" s="87"/>
      <c r="ET368" s="87"/>
      <c r="EU368" s="87"/>
      <c r="EV368" s="87"/>
      <c r="EW368" s="87"/>
      <c r="EX368" s="87"/>
      <c r="EY368" s="87"/>
      <c r="EZ368" s="87"/>
      <c r="FA368" s="87"/>
      <c r="FB368" s="87"/>
      <c r="FC368" s="87"/>
      <c r="FD368" s="87"/>
      <c r="FE368" s="87"/>
      <c r="FF368" s="87"/>
      <c r="FG368" s="87"/>
      <c r="FH368" s="87"/>
      <c r="FI368" s="87"/>
      <c r="FJ368" s="87"/>
      <c r="FK368" s="87"/>
      <c r="FL368" s="87"/>
      <c r="FM368" s="87"/>
      <c r="FN368" s="87"/>
      <c r="FO368" s="87"/>
      <c r="FP368" s="87"/>
      <c r="FQ368" s="87"/>
      <c r="FR368" s="87"/>
      <c r="FS368" s="87"/>
      <c r="FT368" s="87"/>
      <c r="FU368" s="87"/>
      <c r="FV368" s="87"/>
      <c r="FW368" s="87"/>
      <c r="FX368" s="87"/>
      <c r="FY368" s="87"/>
      <c r="FZ368" s="87"/>
      <c r="GA368" s="87"/>
      <c r="GB368" s="87"/>
      <c r="GC368" s="87"/>
      <c r="GD368" s="87"/>
      <c r="GE368" s="87"/>
      <c r="GF368" s="87"/>
      <c r="GG368" s="87"/>
      <c r="GH368" s="87"/>
      <c r="GI368" s="87"/>
      <c r="GJ368" s="87"/>
      <c r="GK368" s="87"/>
      <c r="GL368" s="87"/>
      <c r="GM368" s="87"/>
      <c r="GN368" s="87"/>
      <c r="GO368" s="87"/>
      <c r="GP368" s="87"/>
      <c r="GQ368" s="87"/>
      <c r="GR368" s="87"/>
      <c r="GS368" s="87"/>
      <c r="GT368" s="87"/>
      <c r="GU368" s="87"/>
      <c r="GV368" s="87"/>
      <c r="GW368" s="87"/>
      <c r="GX368" s="87"/>
      <c r="GY368" s="87"/>
      <c r="GZ368" s="87"/>
      <c r="HA368" s="87"/>
      <c r="HB368" s="87"/>
      <c r="HC368" s="87"/>
      <c r="HD368" s="87"/>
      <c r="HE368" s="87"/>
      <c r="HF368" s="87"/>
      <c r="HG368" s="87"/>
      <c r="HH368" s="87"/>
      <c r="HI368" s="87"/>
      <c r="HJ368" s="87"/>
      <c r="HK368" s="87"/>
      <c r="HL368" s="87"/>
      <c r="HM368" s="87"/>
      <c r="HN368" s="87"/>
      <c r="HO368" s="87"/>
      <c r="HP368" s="87"/>
      <c r="HQ368" s="87"/>
      <c r="HR368" s="87"/>
      <c r="HS368" s="87"/>
      <c r="HT368" s="87"/>
      <c r="HU368" s="87"/>
      <c r="HV368" s="87"/>
      <c r="HW368" s="87"/>
      <c r="HX368" s="87"/>
      <c r="HY368" s="87"/>
      <c r="HZ368" s="87"/>
      <c r="IA368" s="87"/>
      <c r="IB368" s="87"/>
      <c r="IC368" s="87"/>
      <c r="ID368" s="87"/>
      <c r="IE368" s="87"/>
      <c r="IF368" s="87"/>
      <c r="IG368" s="87"/>
      <c r="IH368" s="87"/>
      <c r="II368" s="87"/>
      <c r="IJ368" s="87"/>
      <c r="IK368" s="87"/>
      <c r="IL368" s="87"/>
      <c r="IM368" s="87"/>
      <c r="IN368" s="87"/>
      <c r="IO368" s="87"/>
      <c r="IP368" s="87"/>
      <c r="IQ368" s="87"/>
      <c r="IR368" s="87"/>
      <c r="IS368" s="87"/>
      <c r="IT368" s="87"/>
      <c r="IU368" s="87"/>
      <c r="IV368" s="87"/>
    </row>
    <row r="369" spans="1:256" s="88" customFormat="1" x14ac:dyDescent="0.3">
      <c r="A369" s="87"/>
      <c r="B369" s="90"/>
      <c r="C369" s="89" t="s">
        <v>157</v>
      </c>
      <c r="D369" s="91"/>
      <c r="E369" s="90"/>
      <c r="F369" s="87"/>
      <c r="G369" s="90"/>
      <c r="H369" s="87"/>
      <c r="I369" s="87"/>
      <c r="J369" s="92">
        <f t="shared" si="74"/>
        <v>11008154055</v>
      </c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9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DR369" s="87"/>
      <c r="DS369" s="87"/>
      <c r="DT369" s="87"/>
      <c r="DU369" s="87"/>
      <c r="DV369" s="87"/>
      <c r="DW369" s="87"/>
      <c r="DX369" s="87"/>
      <c r="DY369" s="87"/>
      <c r="DZ369" s="87"/>
      <c r="EA369" s="87"/>
      <c r="EB369" s="87"/>
      <c r="EC369" s="87"/>
      <c r="ED369" s="87"/>
      <c r="EE369" s="87"/>
      <c r="EF369" s="87"/>
      <c r="EG369" s="87"/>
      <c r="EH369" s="87"/>
      <c r="EI369" s="87"/>
      <c r="EJ369" s="87"/>
      <c r="EK369" s="87"/>
      <c r="EL369" s="87"/>
      <c r="EM369" s="87"/>
      <c r="EN369" s="87"/>
      <c r="EO369" s="87"/>
      <c r="EP369" s="87"/>
      <c r="EQ369" s="87"/>
      <c r="ER369" s="87"/>
      <c r="ES369" s="87"/>
      <c r="ET369" s="87"/>
      <c r="EU369" s="87"/>
      <c r="EV369" s="87"/>
      <c r="EW369" s="87"/>
      <c r="EX369" s="87"/>
      <c r="EY369" s="87"/>
      <c r="EZ369" s="87"/>
      <c r="FA369" s="87"/>
      <c r="FB369" s="87"/>
      <c r="FC369" s="87"/>
      <c r="FD369" s="87"/>
      <c r="FE369" s="87"/>
      <c r="FF369" s="87"/>
      <c r="FG369" s="87"/>
      <c r="FH369" s="87"/>
      <c r="FI369" s="87"/>
      <c r="FJ369" s="87"/>
      <c r="FK369" s="87"/>
      <c r="FL369" s="87"/>
      <c r="FM369" s="87"/>
      <c r="FN369" s="87"/>
      <c r="FO369" s="87"/>
      <c r="FP369" s="87"/>
      <c r="FQ369" s="87"/>
      <c r="FR369" s="87"/>
      <c r="FS369" s="87"/>
      <c r="FT369" s="87"/>
      <c r="FU369" s="87"/>
      <c r="FV369" s="87"/>
      <c r="FW369" s="87"/>
      <c r="FX369" s="87"/>
      <c r="FY369" s="87"/>
      <c r="FZ369" s="87"/>
      <c r="GA369" s="87"/>
      <c r="GB369" s="87"/>
      <c r="GC369" s="87"/>
      <c r="GD369" s="87"/>
      <c r="GE369" s="87"/>
      <c r="GF369" s="87"/>
      <c r="GG369" s="87"/>
      <c r="GH369" s="87"/>
      <c r="GI369" s="87"/>
      <c r="GJ369" s="87"/>
      <c r="GK369" s="87"/>
      <c r="GL369" s="87"/>
      <c r="GM369" s="87"/>
      <c r="GN369" s="87"/>
      <c r="GO369" s="87"/>
      <c r="GP369" s="87"/>
      <c r="GQ369" s="87"/>
      <c r="GR369" s="87"/>
      <c r="GS369" s="87"/>
      <c r="GT369" s="87"/>
      <c r="GU369" s="87"/>
      <c r="GV369" s="87"/>
      <c r="GW369" s="87"/>
      <c r="GX369" s="87"/>
      <c r="GY369" s="87"/>
      <c r="GZ369" s="87"/>
      <c r="HA369" s="87"/>
      <c r="HB369" s="87"/>
      <c r="HC369" s="87"/>
      <c r="HD369" s="87"/>
      <c r="HE369" s="87"/>
      <c r="HF369" s="87"/>
      <c r="HG369" s="87"/>
      <c r="HH369" s="87"/>
      <c r="HI369" s="87"/>
      <c r="HJ369" s="87"/>
      <c r="HK369" s="87"/>
      <c r="HL369" s="87"/>
      <c r="HM369" s="87"/>
      <c r="HN369" s="87"/>
      <c r="HO369" s="87"/>
      <c r="HP369" s="87"/>
      <c r="HQ369" s="87"/>
      <c r="HR369" s="87"/>
      <c r="HS369" s="87"/>
      <c r="HT369" s="87"/>
      <c r="HU369" s="87"/>
      <c r="HV369" s="87"/>
      <c r="HW369" s="87"/>
      <c r="HX369" s="87"/>
      <c r="HY369" s="87"/>
      <c r="HZ369" s="87"/>
      <c r="IA369" s="87"/>
      <c r="IB369" s="87"/>
      <c r="IC369" s="87"/>
      <c r="ID369" s="87"/>
      <c r="IE369" s="87"/>
      <c r="IF369" s="87"/>
      <c r="IG369" s="87"/>
      <c r="IH369" s="87"/>
      <c r="II369" s="87"/>
      <c r="IJ369" s="87"/>
      <c r="IK369" s="87"/>
      <c r="IL369" s="87"/>
      <c r="IM369" s="87"/>
      <c r="IN369" s="87"/>
      <c r="IO369" s="87"/>
      <c r="IP369" s="87"/>
      <c r="IQ369" s="87"/>
      <c r="IR369" s="87"/>
      <c r="IS369" s="87"/>
      <c r="IT369" s="87"/>
      <c r="IU369" s="87"/>
      <c r="IV369" s="87"/>
    </row>
  </sheetData>
  <mergeCells count="31">
    <mergeCell ref="A350:G350"/>
    <mergeCell ref="A68:A96"/>
    <mergeCell ref="A98:A125"/>
    <mergeCell ref="A154:A189"/>
    <mergeCell ref="A191:A220"/>
    <mergeCell ref="A127:A152"/>
    <mergeCell ref="A252:A281"/>
    <mergeCell ref="A222:A250"/>
    <mergeCell ref="A283:A308"/>
    <mergeCell ref="A329:A348"/>
    <mergeCell ref="O6:O7"/>
    <mergeCell ref="A310:A327"/>
    <mergeCell ref="P6:T6"/>
    <mergeCell ref="A8:A40"/>
    <mergeCell ref="A42:A66"/>
    <mergeCell ref="I6:I7"/>
    <mergeCell ref="J6:J7"/>
    <mergeCell ref="E6:E7"/>
    <mergeCell ref="L6:L7"/>
    <mergeCell ref="M6:M7"/>
    <mergeCell ref="N6:N7"/>
    <mergeCell ref="G6:G7"/>
    <mergeCell ref="K6:K7"/>
    <mergeCell ref="H6:H7"/>
    <mergeCell ref="D6:D7"/>
    <mergeCell ref="F6:F7"/>
    <mergeCell ref="A3:M3"/>
    <mergeCell ref="A4:M4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7"/>
  <sheetViews>
    <sheetView zoomScale="89" zoomScaleNormal="89" workbookViewId="0">
      <pane xSplit="3" topLeftCell="D1" activePane="topRight" state="frozen"/>
      <selection pane="topRight" activeCell="B6" sqref="B6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22" style="52" customWidth="1"/>
    <col min="4" max="4" width="25.125" style="54" bestFit="1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28" t="s">
        <v>782</v>
      </c>
      <c r="B6" s="628" t="s">
        <v>801</v>
      </c>
      <c r="C6" s="70" t="s">
        <v>811</v>
      </c>
      <c r="D6" s="632" t="s">
        <v>812</v>
      </c>
      <c r="E6" s="628"/>
      <c r="F6" s="628"/>
      <c r="G6" s="628"/>
      <c r="H6" s="628"/>
      <c r="I6" s="629">
        <f>(4050000+5062500)*3</f>
        <v>27337500</v>
      </c>
      <c r="J6" s="628" t="s">
        <v>833</v>
      </c>
    </row>
    <row r="7" spans="1:95" ht="15" thickBot="1" x14ac:dyDescent="0.3">
      <c r="A7" s="631" t="s">
        <v>782</v>
      </c>
      <c r="B7" s="628" t="s">
        <v>9</v>
      </c>
      <c r="C7" s="70" t="s">
        <v>811</v>
      </c>
      <c r="D7" s="632" t="s">
        <v>812</v>
      </c>
      <c r="E7" s="628"/>
      <c r="F7" s="628"/>
      <c r="G7" s="628"/>
      <c r="H7" s="628"/>
      <c r="I7" s="629">
        <f>5062500*3</f>
        <v>15187500</v>
      </c>
      <c r="J7" s="628" t="s">
        <v>833</v>
      </c>
    </row>
    <row r="8" spans="1:95" ht="15" thickBot="1" x14ac:dyDescent="0.3">
      <c r="A8" s="636" t="s">
        <v>53</v>
      </c>
      <c r="B8" s="628" t="s">
        <v>801</v>
      </c>
      <c r="C8" s="70" t="s">
        <v>811</v>
      </c>
      <c r="D8" s="632" t="s">
        <v>839</v>
      </c>
      <c r="E8" s="628"/>
      <c r="F8" s="628"/>
      <c r="G8" s="630">
        <f>6300/2</f>
        <v>3150</v>
      </c>
      <c r="H8" s="637"/>
      <c r="I8" s="637"/>
      <c r="J8" s="628" t="s">
        <v>833</v>
      </c>
    </row>
    <row r="9" spans="1:95" ht="15" thickBot="1" x14ac:dyDescent="0.3">
      <c r="A9" s="636" t="s">
        <v>53</v>
      </c>
      <c r="B9" s="628" t="s">
        <v>802</v>
      </c>
      <c r="C9" s="70" t="s">
        <v>811</v>
      </c>
      <c r="D9" s="632" t="s">
        <v>839</v>
      </c>
      <c r="E9" s="628"/>
      <c r="F9" s="628"/>
      <c r="G9" s="628">
        <v>900</v>
      </c>
      <c r="H9" s="637"/>
      <c r="I9" s="630"/>
      <c r="J9" s="628" t="s">
        <v>833</v>
      </c>
    </row>
    <row r="10" spans="1:95" ht="15.75" thickBot="1" x14ac:dyDescent="0.3">
      <c r="A10" s="620" t="s">
        <v>769</v>
      </c>
      <c r="B10" s="66" t="s">
        <v>800</v>
      </c>
      <c r="C10" s="70" t="s">
        <v>811</v>
      </c>
      <c r="D10" s="632" t="s">
        <v>812</v>
      </c>
      <c r="E10" s="64"/>
      <c r="F10" s="64"/>
      <c r="G10" s="63"/>
      <c r="H10" s="62"/>
      <c r="I10" s="62">
        <f>8775000*3</f>
        <v>26325000</v>
      </c>
      <c r="J10" s="628" t="s">
        <v>833</v>
      </c>
    </row>
    <row r="11" spans="1:95" ht="15.75" thickBot="1" x14ac:dyDescent="0.3">
      <c r="A11" s="620" t="s">
        <v>769</v>
      </c>
      <c r="B11" s="66" t="s">
        <v>801</v>
      </c>
      <c r="C11" s="70" t="s">
        <v>811</v>
      </c>
      <c r="D11" s="632" t="s">
        <v>812</v>
      </c>
      <c r="E11" s="64"/>
      <c r="F11" s="64"/>
      <c r="G11" s="63"/>
      <c r="H11" s="62"/>
      <c r="I11" s="62">
        <f>8775000*3</f>
        <v>26325000</v>
      </c>
      <c r="J11" s="628" t="s">
        <v>833</v>
      </c>
    </row>
    <row r="12" spans="1:95" ht="15.75" thickBot="1" x14ac:dyDescent="0.3">
      <c r="A12" s="620" t="s">
        <v>769</v>
      </c>
      <c r="B12" s="66" t="s">
        <v>748</v>
      </c>
      <c r="C12" s="70" t="s">
        <v>811</v>
      </c>
      <c r="D12" s="65" t="s">
        <v>803</v>
      </c>
      <c r="E12" s="64"/>
      <c r="F12" s="64"/>
      <c r="G12" s="63"/>
      <c r="H12" s="62"/>
      <c r="I12" s="62">
        <v>47250000</v>
      </c>
      <c r="J12" s="628" t="s">
        <v>833</v>
      </c>
    </row>
    <row r="13" spans="1:95" ht="15.75" thickBot="1" x14ac:dyDescent="0.3">
      <c r="A13" s="621" t="s">
        <v>786</v>
      </c>
      <c r="B13" s="66" t="s">
        <v>801</v>
      </c>
      <c r="C13" s="70" t="s">
        <v>811</v>
      </c>
      <c r="D13" s="632" t="s">
        <v>812</v>
      </c>
      <c r="E13" s="64"/>
      <c r="F13" s="64"/>
      <c r="G13" s="63">
        <f>900*3</f>
        <v>2700</v>
      </c>
      <c r="H13" s="62"/>
      <c r="I13" s="62"/>
      <c r="J13" s="628" t="s">
        <v>833</v>
      </c>
    </row>
    <row r="14" spans="1:95" ht="14.25" customHeight="1" thickBot="1" x14ac:dyDescent="0.3">
      <c r="A14" s="67" t="s">
        <v>778</v>
      </c>
      <c r="B14" s="70" t="s">
        <v>800</v>
      </c>
      <c r="C14" s="70" t="s">
        <v>814</v>
      </c>
      <c r="D14" s="633" t="s">
        <v>812</v>
      </c>
      <c r="E14" s="64"/>
      <c r="F14" s="65"/>
      <c r="G14" s="63"/>
      <c r="H14" s="63"/>
      <c r="I14" s="63">
        <f>9600000*3</f>
        <v>28800000</v>
      </c>
      <c r="J14" s="61"/>
    </row>
    <row r="15" spans="1:95" ht="15" thickBot="1" x14ac:dyDescent="0.3">
      <c r="A15" s="67" t="s">
        <v>778</v>
      </c>
      <c r="B15" s="66" t="s">
        <v>801</v>
      </c>
      <c r="C15" s="70" t="s">
        <v>814</v>
      </c>
      <c r="D15" s="633" t="s">
        <v>812</v>
      </c>
      <c r="E15" s="65"/>
      <c r="F15" s="65"/>
      <c r="G15" s="63"/>
      <c r="H15" s="63"/>
      <c r="I15" s="63">
        <f>6000000*3</f>
        <v>18000000</v>
      </c>
      <c r="J15" s="61"/>
    </row>
    <row r="16" spans="1:95" ht="15" thickBot="1" x14ac:dyDescent="0.3">
      <c r="A16" s="67" t="s">
        <v>778</v>
      </c>
      <c r="B16" s="66" t="s">
        <v>802</v>
      </c>
      <c r="C16" s="70" t="s">
        <v>814</v>
      </c>
      <c r="D16" s="633" t="s">
        <v>812</v>
      </c>
      <c r="E16" s="64"/>
      <c r="F16" s="64"/>
      <c r="G16" s="63"/>
      <c r="H16" s="63"/>
      <c r="I16" s="63">
        <f>4000000*3</f>
        <v>12000000</v>
      </c>
      <c r="J16" s="68"/>
    </row>
    <row r="17" spans="1:10" ht="15" thickBot="1" x14ac:dyDescent="0.3">
      <c r="A17" s="67" t="s">
        <v>778</v>
      </c>
      <c r="B17" s="66" t="s">
        <v>9</v>
      </c>
      <c r="C17" s="70" t="s">
        <v>814</v>
      </c>
      <c r="D17" s="633" t="s">
        <v>812</v>
      </c>
      <c r="E17" s="64"/>
      <c r="F17" s="64"/>
      <c r="G17" s="63"/>
      <c r="H17" s="62"/>
      <c r="I17" s="62">
        <f>6000000*3</f>
        <v>18000000</v>
      </c>
      <c r="J17" s="61"/>
    </row>
    <row r="18" spans="1:10" ht="15" thickBot="1" x14ac:dyDescent="0.3">
      <c r="A18" s="622" t="s">
        <v>778</v>
      </c>
      <c r="B18" s="623" t="s">
        <v>10</v>
      </c>
      <c r="C18" s="70" t="s">
        <v>814</v>
      </c>
      <c r="D18" s="633" t="s">
        <v>812</v>
      </c>
      <c r="E18" s="624"/>
      <c r="F18" s="624"/>
      <c r="G18" s="625"/>
      <c r="H18" s="626"/>
      <c r="I18" s="626">
        <f>2400000*3</f>
        <v>7200000</v>
      </c>
      <c r="J18" s="627"/>
    </row>
    <row r="19" spans="1:10" ht="14.25" customHeight="1" thickBot="1" x14ac:dyDescent="0.3">
      <c r="A19" s="67" t="s">
        <v>778</v>
      </c>
      <c r="B19" s="70" t="s">
        <v>800</v>
      </c>
      <c r="C19" s="634">
        <v>42826</v>
      </c>
      <c r="D19" s="635">
        <v>42826</v>
      </c>
      <c r="E19" s="64"/>
      <c r="F19" s="65"/>
      <c r="G19" s="63"/>
      <c r="H19" s="63"/>
      <c r="I19" s="63">
        <f>9600000*3</f>
        <v>28800000</v>
      </c>
      <c r="J19" s="61"/>
    </row>
    <row r="20" spans="1:10" ht="15" thickBot="1" x14ac:dyDescent="0.3">
      <c r="A20" s="67" t="s">
        <v>778</v>
      </c>
      <c r="B20" s="66" t="s">
        <v>801</v>
      </c>
      <c r="C20" s="634">
        <v>42826</v>
      </c>
      <c r="D20" s="635">
        <v>42826</v>
      </c>
      <c r="E20" s="65"/>
      <c r="F20" s="65"/>
      <c r="G20" s="63"/>
      <c r="H20" s="63"/>
      <c r="I20" s="63">
        <v>6000000</v>
      </c>
      <c r="J20" s="61"/>
    </row>
    <row r="21" spans="1:10" ht="15" thickBot="1" x14ac:dyDescent="0.3">
      <c r="A21" s="67" t="s">
        <v>778</v>
      </c>
      <c r="B21" s="66" t="s">
        <v>802</v>
      </c>
      <c r="C21" s="634">
        <v>42826</v>
      </c>
      <c r="D21" s="635">
        <v>42826</v>
      </c>
      <c r="E21" s="64"/>
      <c r="F21" s="64"/>
      <c r="G21" s="63"/>
      <c r="H21" s="63"/>
      <c r="I21" s="63">
        <v>4000000</v>
      </c>
      <c r="J21" s="68"/>
    </row>
    <row r="22" spans="1:10" ht="15" thickBot="1" x14ac:dyDescent="0.3">
      <c r="A22" s="67" t="s">
        <v>778</v>
      </c>
      <c r="B22" s="66" t="s">
        <v>9</v>
      </c>
      <c r="C22" s="634">
        <v>42826</v>
      </c>
      <c r="D22" s="635">
        <v>42826</v>
      </c>
      <c r="E22" s="64"/>
      <c r="F22" s="64"/>
      <c r="G22" s="63"/>
      <c r="H22" s="62"/>
      <c r="I22" s="62">
        <v>6000000</v>
      </c>
      <c r="J22" s="61"/>
    </row>
    <row r="23" spans="1:10" ht="15" thickBot="1" x14ac:dyDescent="0.3">
      <c r="A23" s="622" t="s">
        <v>778</v>
      </c>
      <c r="B23" s="623" t="s">
        <v>10</v>
      </c>
      <c r="C23" s="634">
        <v>42826</v>
      </c>
      <c r="D23" s="635">
        <v>42826</v>
      </c>
      <c r="E23" s="624"/>
      <c r="F23" s="624"/>
      <c r="G23" s="625"/>
      <c r="H23" s="626"/>
      <c r="I23" s="626">
        <v>2400000</v>
      </c>
      <c r="J23" s="627"/>
    </row>
    <row r="24" spans="1:10" ht="15" thickBot="1" x14ac:dyDescent="0.3">
      <c r="A24" s="628" t="s">
        <v>782</v>
      </c>
      <c r="B24" s="628" t="s">
        <v>801</v>
      </c>
      <c r="C24" s="634">
        <v>42826</v>
      </c>
      <c r="D24" s="632" t="s">
        <v>822</v>
      </c>
      <c r="E24" s="628"/>
      <c r="F24" s="628"/>
      <c r="G24" s="628"/>
      <c r="H24" s="628"/>
      <c r="I24" s="629">
        <f>(4050000+5062500)*2</f>
        <v>18225000</v>
      </c>
      <c r="J24" s="628"/>
    </row>
    <row r="25" spans="1:10" ht="15" thickBot="1" x14ac:dyDescent="0.3">
      <c r="A25" s="631" t="s">
        <v>782</v>
      </c>
      <c r="B25" s="628" t="s">
        <v>9</v>
      </c>
      <c r="C25" s="634">
        <v>42826</v>
      </c>
      <c r="D25" s="632" t="s">
        <v>822</v>
      </c>
      <c r="E25" s="628"/>
      <c r="F25" s="628"/>
      <c r="G25" s="628"/>
      <c r="H25" s="628"/>
      <c r="I25" s="629">
        <f>5062500*2</f>
        <v>10125000</v>
      </c>
      <c r="J25" s="628"/>
    </row>
    <row r="26" spans="1:10" ht="15.75" thickBot="1" x14ac:dyDescent="0.3">
      <c r="A26" s="621" t="s">
        <v>786</v>
      </c>
      <c r="B26" s="66" t="s">
        <v>748</v>
      </c>
      <c r="C26" s="70" t="s">
        <v>837</v>
      </c>
      <c r="D26" s="65" t="s">
        <v>804</v>
      </c>
      <c r="E26" s="64"/>
      <c r="F26" s="64"/>
      <c r="G26" s="63">
        <v>2500</v>
      </c>
      <c r="H26" s="62"/>
      <c r="I26" s="62"/>
      <c r="J26" s="644" t="s">
        <v>834</v>
      </c>
    </row>
    <row r="27" spans="1:10" ht="15.75" thickBot="1" x14ac:dyDescent="0.35">
      <c r="A27" s="631" t="s">
        <v>782</v>
      </c>
      <c r="B27" s="628" t="s">
        <v>748</v>
      </c>
      <c r="C27" s="634">
        <v>42826</v>
      </c>
      <c r="D27" s="632" t="s">
        <v>809</v>
      </c>
      <c r="E27" s="628"/>
      <c r="F27" s="628"/>
      <c r="G27" s="628"/>
      <c r="H27" s="637"/>
      <c r="I27" s="630">
        <v>32400000</v>
      </c>
      <c r="J27" s="643"/>
    </row>
    <row r="28" spans="1:10" ht="15.75" thickBot="1" x14ac:dyDescent="0.3">
      <c r="A28" s="620" t="s">
        <v>769</v>
      </c>
      <c r="B28" s="66" t="s">
        <v>800</v>
      </c>
      <c r="C28" s="634">
        <v>42826</v>
      </c>
      <c r="D28" s="65" t="s">
        <v>823</v>
      </c>
      <c r="E28" s="64"/>
      <c r="F28" s="64"/>
      <c r="G28" s="63"/>
      <c r="H28" s="62"/>
      <c r="I28" s="62">
        <f>8775000*3</f>
        <v>26325000</v>
      </c>
      <c r="J28" s="61"/>
    </row>
    <row r="29" spans="1:10" ht="15.75" thickBot="1" x14ac:dyDescent="0.3">
      <c r="A29" s="620" t="s">
        <v>769</v>
      </c>
      <c r="B29" s="66" t="s">
        <v>801</v>
      </c>
      <c r="C29" s="634">
        <v>42826</v>
      </c>
      <c r="D29" s="65" t="s">
        <v>823</v>
      </c>
      <c r="E29" s="64"/>
      <c r="F29" s="64"/>
      <c r="G29" s="63"/>
      <c r="H29" s="62"/>
      <c r="I29" s="62">
        <f>8775000*3</f>
        <v>26325000</v>
      </c>
      <c r="J29" s="61"/>
    </row>
    <row r="30" spans="1:10" ht="15" thickBot="1" x14ac:dyDescent="0.3">
      <c r="A30" s="636" t="s">
        <v>53</v>
      </c>
      <c r="B30" s="628" t="s">
        <v>801</v>
      </c>
      <c r="C30" s="70" t="s">
        <v>818</v>
      </c>
      <c r="D30" s="632" t="s">
        <v>839</v>
      </c>
      <c r="E30" s="628"/>
      <c r="F30" s="628"/>
      <c r="G30" s="630">
        <f>6300/2</f>
        <v>3150</v>
      </c>
      <c r="H30" s="637"/>
      <c r="I30" s="637"/>
      <c r="J30" s="628" t="s">
        <v>833</v>
      </c>
    </row>
    <row r="31" spans="1:10" ht="15" thickBot="1" x14ac:dyDescent="0.3">
      <c r="A31" s="636" t="s">
        <v>53</v>
      </c>
      <c r="B31" s="628" t="s">
        <v>802</v>
      </c>
      <c r="C31" s="70" t="s">
        <v>818</v>
      </c>
      <c r="D31" s="632" t="s">
        <v>839</v>
      </c>
      <c r="E31" s="628"/>
      <c r="F31" s="628"/>
      <c r="G31" s="628">
        <v>900</v>
      </c>
      <c r="H31" s="637"/>
      <c r="I31" s="630"/>
      <c r="J31" s="628" t="s">
        <v>833</v>
      </c>
    </row>
    <row r="32" spans="1:10" ht="15.75" thickBot="1" x14ac:dyDescent="0.3">
      <c r="A32" s="620" t="s">
        <v>769</v>
      </c>
      <c r="B32" s="66" t="s">
        <v>800</v>
      </c>
      <c r="C32" s="70" t="s">
        <v>818</v>
      </c>
      <c r="D32" s="65" t="s">
        <v>819</v>
      </c>
      <c r="E32" s="64"/>
      <c r="F32" s="64"/>
      <c r="G32" s="63"/>
      <c r="H32" s="62"/>
      <c r="I32" s="62">
        <f>8775000*3</f>
        <v>26325000</v>
      </c>
      <c r="J32" s="61"/>
    </row>
    <row r="33" spans="1:95" ht="15.75" thickBot="1" x14ac:dyDescent="0.3">
      <c r="A33" s="620" t="s">
        <v>769</v>
      </c>
      <c r="B33" s="66" t="s">
        <v>801</v>
      </c>
      <c r="C33" s="70" t="s">
        <v>818</v>
      </c>
      <c r="D33" s="65" t="s">
        <v>819</v>
      </c>
      <c r="E33" s="64"/>
      <c r="F33" s="64"/>
      <c r="G33" s="63"/>
      <c r="H33" s="62"/>
      <c r="I33" s="62">
        <f>8775000*3</f>
        <v>26325000</v>
      </c>
      <c r="J33" s="61"/>
    </row>
    <row r="34" spans="1:95" ht="15.75" thickBot="1" x14ac:dyDescent="0.3">
      <c r="A34" s="620" t="s">
        <v>769</v>
      </c>
      <c r="B34" s="66" t="s">
        <v>800</v>
      </c>
      <c r="C34" s="70" t="s">
        <v>806</v>
      </c>
      <c r="D34" s="65" t="s">
        <v>821</v>
      </c>
      <c r="E34" s="64"/>
      <c r="F34" s="64"/>
      <c r="G34" s="63"/>
      <c r="H34" s="62"/>
      <c r="I34" s="62">
        <f>8775000*3</f>
        <v>26325000</v>
      </c>
      <c r="J34" s="61"/>
    </row>
    <row r="35" spans="1:95" ht="15.75" thickBot="1" x14ac:dyDescent="0.3">
      <c r="A35" s="620" t="s">
        <v>769</v>
      </c>
      <c r="B35" s="66" t="s">
        <v>801</v>
      </c>
      <c r="C35" s="70" t="s">
        <v>806</v>
      </c>
      <c r="D35" s="65" t="s">
        <v>821</v>
      </c>
      <c r="E35" s="64"/>
      <c r="F35" s="64"/>
      <c r="G35" s="63"/>
      <c r="H35" s="62"/>
      <c r="I35" s="62">
        <f>8775000*3</f>
        <v>26325000</v>
      </c>
      <c r="J35" s="61"/>
    </row>
    <row r="36" spans="1:95" ht="17.25" customHeight="1" thickBot="1" x14ac:dyDescent="0.3">
      <c r="A36" s="862" t="s">
        <v>149</v>
      </c>
      <c r="B36" s="862"/>
      <c r="C36" s="618"/>
      <c r="D36" s="60"/>
      <c r="E36" s="60"/>
      <c r="F36" s="60"/>
      <c r="G36" s="59">
        <f>SUM(G6:G35)</f>
        <v>13300</v>
      </c>
      <c r="H36" s="59">
        <f>SUM(H6:H13)</f>
        <v>0</v>
      </c>
      <c r="I36" s="59">
        <f>SUM(I6:I35)</f>
        <v>492325000</v>
      </c>
      <c r="J36" s="58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</row>
    <row r="37" spans="1:95" s="53" customFormat="1" x14ac:dyDescent="0.25">
      <c r="D37" s="55"/>
      <c r="E37" s="55"/>
      <c r="F37" s="55"/>
      <c r="I37" s="57"/>
    </row>
    <row r="38" spans="1:95" s="53" customFormat="1" x14ac:dyDescent="0.25">
      <c r="D38" s="55"/>
      <c r="E38" s="55"/>
      <c r="F38" s="55"/>
      <c r="G38" s="56"/>
      <c r="H38" s="56"/>
    </row>
    <row r="39" spans="1:95" s="53" customFormat="1" x14ac:dyDescent="0.25">
      <c r="D39" s="55"/>
      <c r="E39" s="55"/>
      <c r="F39" s="55"/>
    </row>
    <row r="40" spans="1:95" s="53" customFormat="1" x14ac:dyDescent="0.25">
      <c r="D40" s="55"/>
      <c r="E40" s="55"/>
      <c r="F40" s="55"/>
    </row>
    <row r="41" spans="1:95" s="53" customFormat="1" x14ac:dyDescent="0.25">
      <c r="D41" s="55"/>
      <c r="E41" s="55"/>
      <c r="F41" s="55"/>
    </row>
    <row r="42" spans="1:95" s="53" customFormat="1" x14ac:dyDescent="0.25">
      <c r="D42" s="55"/>
      <c r="E42" s="55"/>
      <c r="F42" s="55"/>
    </row>
    <row r="43" spans="1:95" s="53" customFormat="1" x14ac:dyDescent="0.25">
      <c r="D43" s="55"/>
      <c r="E43" s="55"/>
      <c r="F43" s="55"/>
    </row>
    <row r="44" spans="1:95" s="53" customFormat="1" x14ac:dyDescent="0.25">
      <c r="D44" s="55"/>
      <c r="E44" s="55"/>
      <c r="F44" s="55"/>
    </row>
    <row r="45" spans="1:95" s="53" customFormat="1" x14ac:dyDescent="0.25">
      <c r="D45" s="55"/>
      <c r="E45" s="55"/>
      <c r="F45" s="55"/>
    </row>
    <row r="46" spans="1:95" s="53" customFormat="1" x14ac:dyDescent="0.25">
      <c r="D46" s="55"/>
      <c r="E46" s="55"/>
      <c r="F46" s="55"/>
    </row>
    <row r="47" spans="1:95" s="53" customFormat="1" x14ac:dyDescent="0.25">
      <c r="D47" s="55"/>
      <c r="E47" s="55"/>
      <c r="F47" s="55"/>
    </row>
    <row r="48" spans="1:95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</sheetData>
  <mergeCells count="2">
    <mergeCell ref="A2:J2"/>
    <mergeCell ref="A36:B36"/>
  </mergeCells>
  <pageMargins left="0.7" right="0.7" top="0.75" bottom="0.75" header="0.3" footer="0.3"/>
  <pageSetup orientation="portrait" r:id="rId1"/>
  <ignoredErrors>
    <ignoredError sqref="I16 H3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51"/>
  <sheetViews>
    <sheetView zoomScale="80" zoomScaleNormal="80" workbookViewId="0">
      <pane xSplit="3" topLeftCell="D1" activePane="topRight" state="frozen"/>
      <selection pane="topRight" activeCell="I40" sqref="I40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22.625" style="52" customWidth="1"/>
    <col min="4" max="4" width="21.75" style="54" bestFit="1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826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4.2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8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6" t="s">
        <v>773</v>
      </c>
      <c r="B6" s="82" t="s">
        <v>800</v>
      </c>
      <c r="C6" s="64" t="s">
        <v>811</v>
      </c>
      <c r="D6" s="64" t="s">
        <v>812</v>
      </c>
      <c r="E6" s="83"/>
      <c r="F6" s="64"/>
      <c r="G6" s="63"/>
      <c r="H6" s="62"/>
      <c r="I6" s="62">
        <f>3770000*3</f>
        <v>11310000</v>
      </c>
      <c r="J6" s="64" t="s">
        <v>836</v>
      </c>
    </row>
    <row r="7" spans="1:95" ht="15" thickBot="1" x14ac:dyDescent="0.3">
      <c r="A7" s="66" t="s">
        <v>773</v>
      </c>
      <c r="B7" s="66" t="s">
        <v>801</v>
      </c>
      <c r="C7" s="65" t="s">
        <v>811</v>
      </c>
      <c r="D7" s="65" t="s">
        <v>812</v>
      </c>
      <c r="E7" s="84"/>
      <c r="F7" s="64"/>
      <c r="G7" s="63"/>
      <c r="H7" s="62"/>
      <c r="I7" s="62">
        <f>3770000*3</f>
        <v>11310000</v>
      </c>
      <c r="J7" s="64" t="s">
        <v>836</v>
      </c>
    </row>
    <row r="8" spans="1:95" ht="15" thickBot="1" x14ac:dyDescent="0.3">
      <c r="A8" s="66" t="s">
        <v>773</v>
      </c>
      <c r="B8" s="66" t="s">
        <v>802</v>
      </c>
      <c r="C8" s="65" t="s">
        <v>811</v>
      </c>
      <c r="D8" s="65" t="s">
        <v>812</v>
      </c>
      <c r="E8" s="83"/>
      <c r="F8" s="64"/>
      <c r="G8" s="63"/>
      <c r="H8" s="62"/>
      <c r="I8" s="62">
        <f>3770000*3</f>
        <v>11310000</v>
      </c>
      <c r="J8" s="64" t="s">
        <v>836</v>
      </c>
    </row>
    <row r="9" spans="1:95" ht="15" thickBot="1" x14ac:dyDescent="0.3">
      <c r="A9" s="66" t="s">
        <v>773</v>
      </c>
      <c r="B9" s="66" t="s">
        <v>9</v>
      </c>
      <c r="C9" s="65" t="s">
        <v>811</v>
      </c>
      <c r="D9" s="65" t="s">
        <v>812</v>
      </c>
      <c r="E9" s="83"/>
      <c r="F9" s="64"/>
      <c r="G9" s="63"/>
      <c r="H9" s="62"/>
      <c r="I9" s="62">
        <f>3770000*3</f>
        <v>11310000</v>
      </c>
      <c r="J9" s="64" t="s">
        <v>836</v>
      </c>
    </row>
    <row r="10" spans="1:95" ht="15" thickBot="1" x14ac:dyDescent="0.3">
      <c r="A10" s="66" t="s">
        <v>773</v>
      </c>
      <c r="B10" s="66" t="s">
        <v>10</v>
      </c>
      <c r="C10" s="65" t="s">
        <v>811</v>
      </c>
      <c r="D10" s="65" t="s">
        <v>812</v>
      </c>
      <c r="E10" s="83"/>
      <c r="F10" s="64"/>
      <c r="G10" s="63"/>
      <c r="H10" s="62"/>
      <c r="I10" s="62">
        <f>3770000*3</f>
        <v>11310000</v>
      </c>
      <c r="J10" s="64" t="s">
        <v>836</v>
      </c>
    </row>
    <row r="11" spans="1:95" ht="15" thickBot="1" x14ac:dyDescent="0.3">
      <c r="A11" s="66" t="s">
        <v>775</v>
      </c>
      <c r="B11" s="66" t="s">
        <v>801</v>
      </c>
      <c r="C11" s="65" t="s">
        <v>811</v>
      </c>
      <c r="D11" s="65" t="s">
        <v>811</v>
      </c>
      <c r="E11" s="78"/>
      <c r="F11" s="64"/>
      <c r="G11" s="63">
        <v>400</v>
      </c>
      <c r="H11" s="62"/>
      <c r="I11" s="62"/>
      <c r="J11" s="68"/>
    </row>
    <row r="12" spans="1:95" ht="15" thickBot="1" x14ac:dyDescent="0.3">
      <c r="A12" s="67" t="s">
        <v>67</v>
      </c>
      <c r="B12" s="66" t="s">
        <v>800</v>
      </c>
      <c r="C12" s="65" t="s">
        <v>811</v>
      </c>
      <c r="D12" s="65" t="s">
        <v>812</v>
      </c>
      <c r="E12" s="78"/>
      <c r="F12" s="64"/>
      <c r="G12" s="63">
        <f>450*3</f>
        <v>1350</v>
      </c>
      <c r="H12" s="62"/>
      <c r="I12" s="62"/>
      <c r="J12" s="61"/>
    </row>
    <row r="13" spans="1:95" ht="15" thickBot="1" x14ac:dyDescent="0.3">
      <c r="A13" s="67" t="s">
        <v>67</v>
      </c>
      <c r="B13" s="66" t="s">
        <v>801</v>
      </c>
      <c r="C13" s="65" t="s">
        <v>811</v>
      </c>
      <c r="D13" s="65" t="s">
        <v>812</v>
      </c>
      <c r="E13" s="78"/>
      <c r="F13" s="64"/>
      <c r="G13" s="63">
        <f>450*3</f>
        <v>1350</v>
      </c>
      <c r="H13" s="62"/>
      <c r="I13" s="62"/>
      <c r="J13" s="61"/>
    </row>
    <row r="14" spans="1:95" ht="15" thickBot="1" x14ac:dyDescent="0.3">
      <c r="A14" s="67" t="s">
        <v>67</v>
      </c>
      <c r="B14" s="66" t="s">
        <v>802</v>
      </c>
      <c r="C14" s="65" t="s">
        <v>811</v>
      </c>
      <c r="D14" s="65" t="s">
        <v>812</v>
      </c>
      <c r="E14" s="78"/>
      <c r="F14" s="64"/>
      <c r="G14" s="63">
        <f>450*3</f>
        <v>1350</v>
      </c>
      <c r="H14" s="62"/>
      <c r="I14" s="62"/>
      <c r="J14" s="61"/>
    </row>
    <row r="15" spans="1:95" ht="15" thickBot="1" x14ac:dyDescent="0.3">
      <c r="A15" s="67" t="s">
        <v>67</v>
      </c>
      <c r="B15" s="66" t="s">
        <v>9</v>
      </c>
      <c r="C15" s="65" t="s">
        <v>811</v>
      </c>
      <c r="D15" s="65" t="s">
        <v>812</v>
      </c>
      <c r="E15" s="78"/>
      <c r="F15" s="64"/>
      <c r="G15" s="63">
        <f>450*3</f>
        <v>1350</v>
      </c>
      <c r="H15" s="62"/>
      <c r="I15" s="62"/>
      <c r="J15" s="61"/>
    </row>
    <row r="16" spans="1:95" ht="15" thickBot="1" x14ac:dyDescent="0.3">
      <c r="A16" s="66" t="s">
        <v>791</v>
      </c>
      <c r="B16" s="66" t="s">
        <v>9</v>
      </c>
      <c r="C16" s="65" t="s">
        <v>813</v>
      </c>
      <c r="D16" s="65" t="s">
        <v>812</v>
      </c>
      <c r="E16" s="78"/>
      <c r="F16" s="64"/>
      <c r="G16" s="63">
        <f>(14400/12)*3</f>
        <v>3600</v>
      </c>
      <c r="H16" s="62"/>
      <c r="I16" s="62"/>
      <c r="J16" s="68"/>
    </row>
    <row r="17" spans="1:10" ht="15" thickBot="1" x14ac:dyDescent="0.3">
      <c r="A17" s="66" t="s">
        <v>775</v>
      </c>
      <c r="B17" s="66" t="s">
        <v>801</v>
      </c>
      <c r="C17" s="65" t="s">
        <v>813</v>
      </c>
      <c r="D17" s="65" t="s">
        <v>813</v>
      </c>
      <c r="E17" s="78"/>
      <c r="F17" s="64"/>
      <c r="G17" s="63">
        <v>400</v>
      </c>
      <c r="H17" s="62"/>
      <c r="I17" s="62"/>
      <c r="J17" s="68"/>
    </row>
    <row r="18" spans="1:10" ht="15" thickBot="1" x14ac:dyDescent="0.3">
      <c r="A18" s="67" t="s">
        <v>67</v>
      </c>
      <c r="B18" s="66" t="s">
        <v>748</v>
      </c>
      <c r="C18" s="65" t="s">
        <v>814</v>
      </c>
      <c r="D18" s="65" t="s">
        <v>825</v>
      </c>
      <c r="E18" s="78"/>
      <c r="F18" s="64"/>
      <c r="G18" s="63">
        <v>3000</v>
      </c>
      <c r="H18" s="62"/>
      <c r="I18" s="62"/>
      <c r="J18" s="65" t="s">
        <v>835</v>
      </c>
    </row>
    <row r="19" spans="1:10" ht="14.25" customHeight="1" thickBot="1" x14ac:dyDescent="0.3">
      <c r="A19" s="66" t="s">
        <v>775</v>
      </c>
      <c r="B19" s="66" t="s">
        <v>801</v>
      </c>
      <c r="C19" s="65" t="s">
        <v>814</v>
      </c>
      <c r="D19" s="65" t="s">
        <v>814</v>
      </c>
      <c r="E19" s="78"/>
      <c r="F19" s="64"/>
      <c r="G19" s="63">
        <v>400</v>
      </c>
      <c r="H19" s="62"/>
      <c r="I19" s="62"/>
      <c r="J19" s="68"/>
    </row>
    <row r="20" spans="1:10" ht="15" thickBot="1" x14ac:dyDescent="0.3">
      <c r="A20" s="66" t="s">
        <v>773</v>
      </c>
      <c r="B20" s="82" t="s">
        <v>748</v>
      </c>
      <c r="C20" s="64">
        <v>42826</v>
      </c>
      <c r="D20" s="69" t="s">
        <v>824</v>
      </c>
      <c r="E20" s="81"/>
      <c r="F20" s="80"/>
      <c r="G20" s="63"/>
      <c r="H20" s="62"/>
      <c r="I20" s="62">
        <v>26000000</v>
      </c>
      <c r="J20" s="64"/>
    </row>
    <row r="21" spans="1:10" ht="15" thickBot="1" x14ac:dyDescent="0.3">
      <c r="A21" s="66" t="s">
        <v>773</v>
      </c>
      <c r="B21" s="82" t="s">
        <v>800</v>
      </c>
      <c r="C21" s="69">
        <v>42826</v>
      </c>
      <c r="D21" s="64" t="s">
        <v>823</v>
      </c>
      <c r="E21" s="83"/>
      <c r="F21" s="64"/>
      <c r="G21" s="63"/>
      <c r="H21" s="62"/>
      <c r="I21" s="62">
        <f>3770000*3</f>
        <v>11310000</v>
      </c>
      <c r="J21" s="79"/>
    </row>
    <row r="22" spans="1:10" ht="15" thickBot="1" x14ac:dyDescent="0.3">
      <c r="A22" s="66" t="s">
        <v>773</v>
      </c>
      <c r="B22" s="66" t="s">
        <v>801</v>
      </c>
      <c r="C22" s="69">
        <v>42826</v>
      </c>
      <c r="D22" s="64" t="s">
        <v>823</v>
      </c>
      <c r="E22" s="84"/>
      <c r="F22" s="64"/>
      <c r="G22" s="63"/>
      <c r="H22" s="62"/>
      <c r="I22" s="62">
        <f>3770000*3</f>
        <v>11310000</v>
      </c>
      <c r="J22" s="79"/>
    </row>
    <row r="23" spans="1:10" ht="15" thickBot="1" x14ac:dyDescent="0.3">
      <c r="A23" s="66" t="s">
        <v>773</v>
      </c>
      <c r="B23" s="66" t="s">
        <v>802</v>
      </c>
      <c r="C23" s="69">
        <v>42826</v>
      </c>
      <c r="D23" s="64" t="s">
        <v>823</v>
      </c>
      <c r="E23" s="83"/>
      <c r="F23" s="64"/>
      <c r="G23" s="63"/>
      <c r="H23" s="62"/>
      <c r="I23" s="62">
        <f>3770000*3</f>
        <v>11310000</v>
      </c>
      <c r="J23" s="79"/>
    </row>
    <row r="24" spans="1:10" ht="15" thickBot="1" x14ac:dyDescent="0.3">
      <c r="A24" s="66" t="s">
        <v>773</v>
      </c>
      <c r="B24" s="66" t="s">
        <v>9</v>
      </c>
      <c r="C24" s="69">
        <v>42826</v>
      </c>
      <c r="D24" s="64" t="s">
        <v>823</v>
      </c>
      <c r="E24" s="83"/>
      <c r="F24" s="64"/>
      <c r="G24" s="63"/>
      <c r="H24" s="62"/>
      <c r="I24" s="62">
        <f>3770000*3</f>
        <v>11310000</v>
      </c>
      <c r="J24" s="79"/>
    </row>
    <row r="25" spans="1:10" ht="15" thickBot="1" x14ac:dyDescent="0.3">
      <c r="A25" s="66" t="s">
        <v>773</v>
      </c>
      <c r="B25" s="66" t="s">
        <v>10</v>
      </c>
      <c r="C25" s="69">
        <v>42826</v>
      </c>
      <c r="D25" s="64" t="s">
        <v>823</v>
      </c>
      <c r="E25" s="83"/>
      <c r="F25" s="64"/>
      <c r="G25" s="63"/>
      <c r="H25" s="62"/>
      <c r="I25" s="62">
        <f>3770000*3</f>
        <v>11310000</v>
      </c>
      <c r="J25" s="79"/>
    </row>
    <row r="26" spans="1:10" ht="15" thickBot="1" x14ac:dyDescent="0.3">
      <c r="A26" s="66" t="s">
        <v>791</v>
      </c>
      <c r="B26" s="66" t="s">
        <v>9</v>
      </c>
      <c r="C26" s="69">
        <v>42826</v>
      </c>
      <c r="D26" s="69">
        <v>42826</v>
      </c>
      <c r="E26" s="78"/>
      <c r="F26" s="64"/>
      <c r="G26" s="63">
        <f>14400/12</f>
        <v>1200</v>
      </c>
      <c r="H26" s="62"/>
      <c r="I26" s="62"/>
      <c r="J26" s="68"/>
    </row>
    <row r="27" spans="1:10" ht="15" thickBot="1" x14ac:dyDescent="0.3">
      <c r="A27" s="67" t="s">
        <v>67</v>
      </c>
      <c r="B27" s="66" t="s">
        <v>800</v>
      </c>
      <c r="C27" s="69">
        <v>42826</v>
      </c>
      <c r="D27" s="64" t="s">
        <v>823</v>
      </c>
      <c r="E27" s="78"/>
      <c r="F27" s="64"/>
      <c r="G27" s="63">
        <f>450*3</f>
        <v>1350</v>
      </c>
      <c r="H27" s="62"/>
      <c r="I27" s="62"/>
      <c r="J27" s="61"/>
    </row>
    <row r="28" spans="1:10" ht="15" thickBot="1" x14ac:dyDescent="0.3">
      <c r="A28" s="67" t="s">
        <v>67</v>
      </c>
      <c r="B28" s="66" t="s">
        <v>801</v>
      </c>
      <c r="C28" s="69">
        <v>42826</v>
      </c>
      <c r="D28" s="64" t="s">
        <v>823</v>
      </c>
      <c r="E28" s="78"/>
      <c r="F28" s="64"/>
      <c r="G28" s="63">
        <f>450*3</f>
        <v>1350</v>
      </c>
      <c r="H28" s="62"/>
      <c r="I28" s="62"/>
      <c r="J28" s="61"/>
    </row>
    <row r="29" spans="1:10" ht="15" thickBot="1" x14ac:dyDescent="0.3">
      <c r="A29" s="67" t="s">
        <v>67</v>
      </c>
      <c r="B29" s="66" t="s">
        <v>802</v>
      </c>
      <c r="C29" s="69">
        <v>42826</v>
      </c>
      <c r="D29" s="64" t="s">
        <v>823</v>
      </c>
      <c r="E29" s="78"/>
      <c r="F29" s="64"/>
      <c r="G29" s="63">
        <f>450*3</f>
        <v>1350</v>
      </c>
      <c r="H29" s="62"/>
      <c r="I29" s="62"/>
      <c r="J29" s="61"/>
    </row>
    <row r="30" spans="1:10" ht="15" thickBot="1" x14ac:dyDescent="0.3">
      <c r="A30" s="67" t="s">
        <v>67</v>
      </c>
      <c r="B30" s="66" t="s">
        <v>9</v>
      </c>
      <c r="C30" s="69">
        <v>42826</v>
      </c>
      <c r="D30" s="64" t="s">
        <v>823</v>
      </c>
      <c r="E30" s="78"/>
      <c r="F30" s="64"/>
      <c r="G30" s="63">
        <f>450*3</f>
        <v>1350</v>
      </c>
      <c r="H30" s="62"/>
      <c r="I30" s="62"/>
      <c r="J30" s="61"/>
    </row>
    <row r="31" spans="1:10" ht="15" thickBot="1" x14ac:dyDescent="0.3">
      <c r="A31" s="66" t="s">
        <v>773</v>
      </c>
      <c r="B31" s="82" t="s">
        <v>800</v>
      </c>
      <c r="C31" s="69" t="s">
        <v>818</v>
      </c>
      <c r="D31" s="64" t="s">
        <v>818</v>
      </c>
      <c r="E31" s="83"/>
      <c r="F31" s="64"/>
      <c r="G31" s="63"/>
      <c r="H31" s="62"/>
      <c r="I31" s="62">
        <v>3770000</v>
      </c>
      <c r="J31" s="79"/>
    </row>
    <row r="32" spans="1:10" ht="15" thickBot="1" x14ac:dyDescent="0.3">
      <c r="A32" s="66" t="s">
        <v>773</v>
      </c>
      <c r="B32" s="66" t="s">
        <v>801</v>
      </c>
      <c r="C32" s="69" t="s">
        <v>818</v>
      </c>
      <c r="D32" s="64" t="s">
        <v>818</v>
      </c>
      <c r="E32" s="84"/>
      <c r="F32" s="64"/>
      <c r="G32" s="63"/>
      <c r="H32" s="62"/>
      <c r="I32" s="62">
        <v>3770000</v>
      </c>
      <c r="J32" s="79"/>
    </row>
    <row r="33" spans="1:95" ht="15" thickBot="1" x14ac:dyDescent="0.3">
      <c r="A33" s="66" t="s">
        <v>773</v>
      </c>
      <c r="B33" s="66" t="s">
        <v>802</v>
      </c>
      <c r="C33" s="69" t="s">
        <v>818</v>
      </c>
      <c r="D33" s="64" t="s">
        <v>818</v>
      </c>
      <c r="E33" s="83"/>
      <c r="F33" s="64"/>
      <c r="G33" s="63"/>
      <c r="H33" s="62"/>
      <c r="I33" s="62">
        <v>3770000</v>
      </c>
      <c r="J33" s="79"/>
    </row>
    <row r="34" spans="1:95" ht="15" thickBot="1" x14ac:dyDescent="0.3">
      <c r="A34" s="66" t="s">
        <v>773</v>
      </c>
      <c r="B34" s="66" t="s">
        <v>9</v>
      </c>
      <c r="C34" s="69" t="s">
        <v>818</v>
      </c>
      <c r="D34" s="64" t="s">
        <v>818</v>
      </c>
      <c r="E34" s="83"/>
      <c r="F34" s="64"/>
      <c r="G34" s="63"/>
      <c r="H34" s="62"/>
      <c r="I34" s="62">
        <v>3770000</v>
      </c>
      <c r="J34" s="79"/>
    </row>
    <row r="35" spans="1:95" ht="15" thickBot="1" x14ac:dyDescent="0.3">
      <c r="A35" s="66" t="s">
        <v>773</v>
      </c>
      <c r="B35" s="66" t="s">
        <v>10</v>
      </c>
      <c r="C35" s="69" t="s">
        <v>818</v>
      </c>
      <c r="D35" s="64" t="s">
        <v>818</v>
      </c>
      <c r="E35" s="83"/>
      <c r="F35" s="64"/>
      <c r="G35" s="63"/>
      <c r="H35" s="62"/>
      <c r="I35" s="62">
        <v>3770000</v>
      </c>
      <c r="J35" s="79"/>
    </row>
    <row r="36" spans="1:95" ht="15" thickBot="1" x14ac:dyDescent="0.3">
      <c r="A36" s="67" t="s">
        <v>67</v>
      </c>
      <c r="B36" s="66" t="s">
        <v>800</v>
      </c>
      <c r="C36" s="69" t="s">
        <v>818</v>
      </c>
      <c r="D36" s="64" t="s">
        <v>818</v>
      </c>
      <c r="E36" s="78"/>
      <c r="F36" s="64"/>
      <c r="G36" s="63">
        <v>450</v>
      </c>
      <c r="H36" s="62"/>
      <c r="I36" s="62"/>
      <c r="J36" s="61"/>
    </row>
    <row r="37" spans="1:95" ht="15" thickBot="1" x14ac:dyDescent="0.3">
      <c r="A37" s="67" t="s">
        <v>67</v>
      </c>
      <c r="B37" s="66" t="s">
        <v>801</v>
      </c>
      <c r="C37" s="69" t="s">
        <v>818</v>
      </c>
      <c r="D37" s="64" t="s">
        <v>818</v>
      </c>
      <c r="E37" s="78"/>
      <c r="F37" s="64"/>
      <c r="G37" s="63">
        <v>450</v>
      </c>
      <c r="H37" s="62"/>
      <c r="I37" s="62"/>
      <c r="J37" s="61"/>
    </row>
    <row r="38" spans="1:95" ht="15" thickBot="1" x14ac:dyDescent="0.3">
      <c r="A38" s="67" t="s">
        <v>67</v>
      </c>
      <c r="B38" s="66" t="s">
        <v>802</v>
      </c>
      <c r="C38" s="69" t="s">
        <v>818</v>
      </c>
      <c r="D38" s="64" t="s">
        <v>818</v>
      </c>
      <c r="E38" s="78"/>
      <c r="F38" s="64"/>
      <c r="G38" s="63">
        <v>450</v>
      </c>
      <c r="H38" s="62"/>
      <c r="I38" s="62"/>
      <c r="J38" s="61"/>
    </row>
    <row r="39" spans="1:95" ht="15" thickBot="1" x14ac:dyDescent="0.3">
      <c r="A39" s="67" t="s">
        <v>67</v>
      </c>
      <c r="B39" s="66" t="s">
        <v>9</v>
      </c>
      <c r="C39" s="69" t="s">
        <v>818</v>
      </c>
      <c r="D39" s="64" t="s">
        <v>818</v>
      </c>
      <c r="E39" s="78"/>
      <c r="F39" s="64"/>
      <c r="G39" s="63">
        <v>450</v>
      </c>
      <c r="H39" s="62"/>
      <c r="I39" s="62"/>
      <c r="J39" s="61"/>
    </row>
    <row r="40" spans="1:95" ht="17.25" customHeight="1" thickBot="1" x14ac:dyDescent="0.3">
      <c r="A40" s="862" t="s">
        <v>149</v>
      </c>
      <c r="B40" s="862"/>
      <c r="C40" s="618"/>
      <c r="D40" s="60"/>
      <c r="E40" s="60"/>
      <c r="F40" s="60"/>
      <c r="G40" s="59">
        <f>SUM(G6:G39)</f>
        <v>21600</v>
      </c>
      <c r="H40" s="59">
        <f>SUM(H6:H35)</f>
        <v>0</v>
      </c>
      <c r="I40" s="59">
        <f>SUM(I6:I35)</f>
        <v>157950000</v>
      </c>
      <c r="J40" s="58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</row>
    <row r="41" spans="1:95" s="53" customFormat="1" x14ac:dyDescent="0.25">
      <c r="D41" s="55"/>
      <c r="E41" s="55"/>
      <c r="F41" s="55"/>
      <c r="I41" s="57"/>
    </row>
    <row r="42" spans="1:95" s="53" customFormat="1" x14ac:dyDescent="0.25">
      <c r="D42" s="55"/>
      <c r="E42" s="55"/>
      <c r="F42" s="55"/>
      <c r="G42" s="56"/>
      <c r="H42" s="56"/>
    </row>
    <row r="43" spans="1:95" s="53" customFormat="1" x14ac:dyDescent="0.25">
      <c r="D43" s="55"/>
      <c r="E43" s="55"/>
      <c r="F43" s="55"/>
    </row>
    <row r="44" spans="1:95" s="53" customFormat="1" x14ac:dyDescent="0.25">
      <c r="D44" s="55"/>
      <c r="E44" s="55"/>
      <c r="F44" s="55"/>
    </row>
    <row r="45" spans="1:95" s="53" customFormat="1" x14ac:dyDescent="0.25">
      <c r="D45" s="55"/>
      <c r="E45" s="55"/>
      <c r="F45" s="55"/>
    </row>
    <row r="46" spans="1:95" s="53" customFormat="1" x14ac:dyDescent="0.25">
      <c r="D46" s="55"/>
      <c r="E46" s="55"/>
      <c r="F46" s="55"/>
    </row>
    <row r="47" spans="1:95" s="53" customFormat="1" x14ac:dyDescent="0.25">
      <c r="D47" s="55"/>
      <c r="E47" s="55"/>
      <c r="F47" s="55"/>
    </row>
    <row r="48" spans="1:95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  <row r="348" spans="4:6" s="53" customFormat="1" x14ac:dyDescent="0.25">
      <c r="D348" s="55"/>
      <c r="E348" s="55"/>
      <c r="F348" s="55"/>
    </row>
    <row r="349" spans="4:6" s="53" customFormat="1" x14ac:dyDescent="0.25">
      <c r="D349" s="55"/>
      <c r="E349" s="55"/>
      <c r="F349" s="55"/>
    </row>
    <row r="350" spans="4:6" s="53" customFormat="1" x14ac:dyDescent="0.25">
      <c r="D350" s="55"/>
      <c r="E350" s="55"/>
      <c r="F350" s="55"/>
    </row>
    <row r="351" spans="4:6" s="53" customFormat="1" x14ac:dyDescent="0.25">
      <c r="D351" s="55"/>
      <c r="E351" s="55"/>
      <c r="F351" s="55"/>
    </row>
  </sheetData>
  <autoFilter ref="A5:J40"/>
  <mergeCells count="2">
    <mergeCell ref="A2:J2"/>
    <mergeCell ref="A40:B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List</vt:lpstr>
      <vt:lpstr>Project</vt:lpstr>
      <vt:lpstr>Payroll</vt:lpstr>
      <vt:lpstr>FY2016 billing summary</vt:lpstr>
      <vt:lpstr>FY2017 billing summary</vt:lpstr>
      <vt:lpstr>Summary</vt:lpstr>
      <vt:lpstr>2016</vt:lpstr>
      <vt:lpstr>HAT</vt:lpstr>
      <vt:lpstr>MBU</vt:lpstr>
      <vt:lpstr>PJD</vt:lpstr>
      <vt:lpstr>BBR</vt:lpstr>
      <vt:lpstr>FER</vt:lpstr>
      <vt:lpstr>MEL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Juwita Dizar</dc:creator>
  <cp:lastModifiedBy>BDO-IT</cp:lastModifiedBy>
  <dcterms:created xsi:type="dcterms:W3CDTF">2017-01-25T02:52:40Z</dcterms:created>
  <dcterms:modified xsi:type="dcterms:W3CDTF">2017-02-17T02:41:28Z</dcterms:modified>
</cp:coreProperties>
</file>