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KSW\Final Results\Excel Files\"/>
    </mc:Choice>
  </mc:AlternateContent>
  <bookViews>
    <workbookView xWindow="0" yWindow="0" windowWidth="20490" windowHeight="7755" firstSheet="3" activeTab="3"/>
  </bookViews>
  <sheets>
    <sheet name="Fedx Results" sheetId="1" r:id="rId1"/>
    <sheet name="SemagrowResults" sheetId="5" r:id="rId2"/>
    <sheet name="Koral Results" sheetId="9" r:id="rId3"/>
    <sheet name="benchmark-execution" sheetId="3" r:id="rId4"/>
    <sheet name="average-execution-time" sheetId="6" r:id="rId5"/>
    <sheet name="partition time" sheetId="2" r:id="rId6"/>
    <sheet name="timeout queries" sheetId="8" r:id="rId7"/>
    <sheet name="scores" sheetId="4" r:id="rId8"/>
    <sheet name="Partition-sizes" sheetId="10" r:id="rId9"/>
    <sheet name="Standard-deviation" sheetId="11" r:id="rId10"/>
    <sheet name="Gini-coefficient" sheetId="12" r:id="rId1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13" i="4" l="1"/>
  <c r="AF19" i="4"/>
  <c r="AD17" i="4"/>
  <c r="AB16" i="4"/>
  <c r="AC13" i="4"/>
  <c r="AI14" i="4" l="1"/>
  <c r="AI15" i="4"/>
  <c r="AI16" i="4"/>
  <c r="AI17" i="4"/>
  <c r="AI18" i="4"/>
  <c r="AI19" i="4"/>
  <c r="AB14" i="4"/>
  <c r="AC14" i="4"/>
  <c r="AD14" i="4"/>
  <c r="AE14" i="4"/>
  <c r="AF14" i="4"/>
  <c r="AG14" i="4"/>
  <c r="AH14" i="4"/>
  <c r="AB15" i="4"/>
  <c r="AC15" i="4"/>
  <c r="AD15" i="4"/>
  <c r="AE15" i="4"/>
  <c r="AF15" i="4"/>
  <c r="AG15" i="4"/>
  <c r="AH15" i="4"/>
  <c r="AC16" i="4"/>
  <c r="AD16" i="4"/>
  <c r="AE16" i="4"/>
  <c r="AF16" i="4"/>
  <c r="AG16" i="4"/>
  <c r="AH16" i="4"/>
  <c r="AB17" i="4"/>
  <c r="AC17" i="4"/>
  <c r="AE17" i="4"/>
  <c r="AF17" i="4"/>
  <c r="AG17" i="4"/>
  <c r="AH17" i="4"/>
  <c r="AB18" i="4"/>
  <c r="AC18" i="4"/>
  <c r="AD18" i="4"/>
  <c r="AE18" i="4"/>
  <c r="AF18" i="4"/>
  <c r="AG18" i="4"/>
  <c r="AH18" i="4"/>
  <c r="AB19" i="4"/>
  <c r="AC19" i="4"/>
  <c r="AD19" i="4"/>
  <c r="AE19" i="4"/>
  <c r="AG19" i="4"/>
  <c r="AH19" i="4"/>
  <c r="AD13" i="4"/>
  <c r="AE13" i="4"/>
  <c r="AF13" i="4"/>
  <c r="AG13" i="4"/>
  <c r="AH13" i="4"/>
  <c r="AB13" i="4"/>
  <c r="AD23" i="4"/>
  <c r="AD24" i="4"/>
  <c r="AD25" i="4"/>
  <c r="AD26" i="4"/>
  <c r="AD27" i="4"/>
  <c r="AD28" i="4"/>
  <c r="AD22" i="4"/>
  <c r="Z14" i="4"/>
  <c r="Z15" i="4"/>
  <c r="Z16" i="4"/>
  <c r="Z17" i="4"/>
  <c r="Z18" i="4"/>
  <c r="Z19" i="4"/>
  <c r="Z13" i="4"/>
  <c r="X14" i="4"/>
  <c r="X15" i="4"/>
  <c r="X16" i="4"/>
  <c r="X17" i="4"/>
  <c r="X18" i="4"/>
  <c r="X19" i="4"/>
  <c r="X13" i="4"/>
  <c r="W14" i="4"/>
  <c r="W15" i="4"/>
  <c r="W16" i="4"/>
  <c r="W17" i="4"/>
  <c r="W18" i="4"/>
  <c r="W19" i="4"/>
  <c r="W13" i="4"/>
  <c r="V14" i="4"/>
  <c r="V15" i="4"/>
  <c r="V16" i="4"/>
  <c r="V17" i="4"/>
  <c r="V18" i="4"/>
  <c r="V19" i="4"/>
  <c r="V13" i="4"/>
  <c r="U14" i="4"/>
  <c r="U15" i="4"/>
  <c r="U16" i="4"/>
  <c r="U17" i="4"/>
  <c r="U18" i="4"/>
  <c r="U19" i="4"/>
  <c r="U13" i="4"/>
  <c r="T14" i="4"/>
  <c r="T15" i="4"/>
  <c r="T16" i="4"/>
  <c r="T17" i="4"/>
  <c r="T18" i="4"/>
  <c r="T19" i="4"/>
  <c r="T13" i="4"/>
  <c r="S14" i="4"/>
  <c r="S15" i="4"/>
  <c r="S16" i="4"/>
  <c r="S17" i="4"/>
  <c r="S18" i="4"/>
  <c r="S19" i="4"/>
  <c r="S13" i="4"/>
  <c r="S6" i="4"/>
  <c r="T6" i="4"/>
  <c r="U6" i="4"/>
  <c r="V6" i="4"/>
  <c r="W6" i="4"/>
  <c r="X6" i="4"/>
  <c r="Y6" i="4"/>
  <c r="S7" i="4"/>
  <c r="T7" i="4"/>
  <c r="U7" i="4"/>
  <c r="V7" i="4"/>
  <c r="W7" i="4"/>
  <c r="X7" i="4"/>
  <c r="Y7" i="4"/>
  <c r="S8" i="4"/>
  <c r="T8" i="4"/>
  <c r="U8" i="4"/>
  <c r="V8" i="4"/>
  <c r="W8" i="4"/>
  <c r="X8" i="4"/>
  <c r="Y8" i="4"/>
  <c r="S9" i="4"/>
  <c r="T9" i="4"/>
  <c r="U9" i="4"/>
  <c r="V9" i="4"/>
  <c r="W9" i="4"/>
  <c r="X9" i="4"/>
  <c r="Y9" i="4"/>
  <c r="S10" i="4"/>
  <c r="T10" i="4"/>
  <c r="U10" i="4"/>
  <c r="V10" i="4"/>
  <c r="W10" i="4"/>
  <c r="X10" i="4"/>
  <c r="Y10" i="4"/>
  <c r="S11" i="4"/>
  <c r="T11" i="4"/>
  <c r="U11" i="4"/>
  <c r="V11" i="4"/>
  <c r="W11" i="4"/>
  <c r="X11" i="4"/>
  <c r="Y11" i="4"/>
  <c r="T5" i="4"/>
  <c r="U5" i="4"/>
  <c r="V5" i="4"/>
  <c r="W5" i="4"/>
  <c r="X5" i="4"/>
  <c r="Y5" i="4"/>
  <c r="S5" i="4"/>
  <c r="D25" i="2" l="1"/>
  <c r="C26" i="2"/>
  <c r="D24" i="2" l="1"/>
  <c r="D22" i="2"/>
  <c r="D23" i="2"/>
  <c r="AC14" i="10" l="1"/>
  <c r="AB14" i="10"/>
  <c r="Y14" i="10"/>
  <c r="X14" i="10"/>
  <c r="U14" i="10"/>
  <c r="T14" i="10"/>
  <c r="Q14" i="10"/>
  <c r="P14" i="10"/>
  <c r="M14" i="10"/>
  <c r="L14" i="10"/>
  <c r="I14" i="10"/>
  <c r="H14" i="10"/>
  <c r="F14" i="10"/>
  <c r="D14" i="10"/>
  <c r="C14" i="10"/>
  <c r="H23" i="8" l="1"/>
  <c r="H24" i="8"/>
  <c r="H25" i="8"/>
  <c r="H26" i="8"/>
  <c r="H27" i="8"/>
  <c r="H28" i="8"/>
  <c r="H22" i="8"/>
  <c r="H6" i="8"/>
  <c r="H7" i="8"/>
  <c r="H8" i="8"/>
  <c r="H9" i="8"/>
  <c r="H10" i="8"/>
  <c r="H11" i="8"/>
  <c r="H5" i="8"/>
  <c r="D38" i="6"/>
  <c r="D40" i="6"/>
  <c r="D39" i="6"/>
  <c r="D41" i="6"/>
  <c r="D42" i="6"/>
  <c r="D43" i="6"/>
  <c r="D37" i="6"/>
  <c r="H8" i="6"/>
  <c r="H22" i="6"/>
  <c r="H23" i="6"/>
  <c r="H24" i="6"/>
  <c r="H25" i="6"/>
  <c r="H26" i="6"/>
  <c r="H27" i="6"/>
  <c r="H21" i="6"/>
  <c r="G99" i="3"/>
  <c r="G101" i="3"/>
  <c r="I82" i="3"/>
  <c r="G98" i="3"/>
  <c r="G100" i="3"/>
  <c r="G102" i="3"/>
  <c r="G103" i="3"/>
  <c r="G97" i="3"/>
  <c r="I83" i="3"/>
  <c r="I84" i="3"/>
  <c r="I85" i="3"/>
  <c r="I86" i="3"/>
  <c r="I87" i="3"/>
  <c r="I88" i="3"/>
  <c r="I67" i="3"/>
  <c r="I65" i="3"/>
  <c r="I66" i="3"/>
  <c r="I68" i="3"/>
  <c r="I69" i="3"/>
  <c r="I70" i="3"/>
  <c r="I64" i="3"/>
  <c r="F103" i="3" l="1"/>
  <c r="E103" i="3"/>
  <c r="F102" i="3"/>
  <c r="E102" i="3"/>
  <c r="F101" i="3"/>
  <c r="E101" i="3"/>
  <c r="F100" i="3"/>
  <c r="E100" i="3"/>
  <c r="F99" i="3"/>
  <c r="E99" i="3"/>
  <c r="F98" i="3"/>
  <c r="E98" i="3"/>
  <c r="F97" i="3"/>
  <c r="E97" i="3"/>
  <c r="H88" i="3"/>
  <c r="G88" i="3"/>
  <c r="F88" i="3"/>
  <c r="E88" i="3"/>
  <c r="H87" i="3"/>
  <c r="G87" i="3"/>
  <c r="F87" i="3"/>
  <c r="E87" i="3"/>
  <c r="H86" i="3"/>
  <c r="G86" i="3"/>
  <c r="F86" i="3"/>
  <c r="E86" i="3"/>
  <c r="H85" i="3"/>
  <c r="G85" i="3"/>
  <c r="F85" i="3"/>
  <c r="E85" i="3"/>
  <c r="H84" i="3"/>
  <c r="G84" i="3"/>
  <c r="F84" i="3"/>
  <c r="E84" i="3"/>
  <c r="H83" i="3"/>
  <c r="G83" i="3"/>
  <c r="F83" i="3"/>
  <c r="E83" i="3"/>
  <c r="H82" i="3"/>
  <c r="G82" i="3"/>
  <c r="F82" i="3"/>
  <c r="E82" i="3"/>
  <c r="H70" i="3"/>
  <c r="G70" i="3"/>
  <c r="F70" i="3"/>
  <c r="E70" i="3"/>
  <c r="H69" i="3"/>
  <c r="G69" i="3"/>
  <c r="F69" i="3"/>
  <c r="E69" i="3"/>
  <c r="H68" i="3"/>
  <c r="G68" i="3"/>
  <c r="F68" i="3"/>
  <c r="E68" i="3"/>
  <c r="H67" i="3"/>
  <c r="G67" i="3"/>
  <c r="F67" i="3"/>
  <c r="E67" i="3"/>
  <c r="H66" i="3"/>
  <c r="G66" i="3"/>
  <c r="F66" i="3"/>
  <c r="E66" i="3"/>
  <c r="H65" i="3"/>
  <c r="G65" i="3"/>
  <c r="F65" i="3"/>
  <c r="E65" i="3"/>
  <c r="H64" i="3"/>
  <c r="G64" i="3"/>
  <c r="F64" i="3"/>
  <c r="E64" i="3"/>
  <c r="D28" i="2"/>
  <c r="C28" i="2"/>
  <c r="D27" i="2"/>
  <c r="C27" i="2"/>
  <c r="D26" i="2"/>
  <c r="C25" i="2"/>
  <c r="C24" i="2"/>
  <c r="C23" i="2"/>
  <c r="C22" i="2"/>
  <c r="C43" i="6"/>
  <c r="B43" i="6"/>
  <c r="C42" i="6"/>
  <c r="B42" i="6"/>
  <c r="C41" i="6"/>
  <c r="B41" i="6"/>
  <c r="C40" i="6"/>
  <c r="B40" i="6"/>
  <c r="C39" i="6"/>
  <c r="B39" i="6"/>
  <c r="C38" i="6"/>
  <c r="B38" i="6"/>
  <c r="C37" i="6"/>
  <c r="B37" i="6"/>
  <c r="E27" i="6"/>
  <c r="D27" i="6"/>
  <c r="C27" i="6"/>
  <c r="B27" i="6"/>
  <c r="E26" i="6"/>
  <c r="D26" i="6"/>
  <c r="C26" i="6"/>
  <c r="B26" i="6"/>
  <c r="E25" i="6"/>
  <c r="D25" i="6"/>
  <c r="C25" i="6"/>
  <c r="B25" i="6"/>
  <c r="E24" i="6"/>
  <c r="D24" i="6"/>
  <c r="C24" i="6"/>
  <c r="B24" i="6"/>
  <c r="E23" i="6"/>
  <c r="D23" i="6"/>
  <c r="C23" i="6"/>
  <c r="B23" i="6"/>
  <c r="E22" i="6"/>
  <c r="D22" i="6"/>
  <c r="C22" i="6"/>
  <c r="B22" i="6"/>
  <c r="E21" i="6"/>
  <c r="D21" i="6"/>
  <c r="C21" i="6"/>
  <c r="B21" i="6"/>
  <c r="E11" i="6"/>
  <c r="D11" i="6"/>
  <c r="C11" i="6"/>
  <c r="B11" i="6"/>
  <c r="E9" i="6"/>
  <c r="D9" i="6"/>
  <c r="C9" i="6"/>
  <c r="B9" i="6"/>
  <c r="R12" i="6"/>
  <c r="R10" i="6"/>
  <c r="O10" i="4" l="1"/>
  <c r="N10" i="4"/>
  <c r="M10" i="4"/>
  <c r="O8" i="4"/>
  <c r="N8" i="4"/>
  <c r="M8" i="4"/>
  <c r="A14" i="1" l="1"/>
  <c r="F15" i="9"/>
  <c r="F16" i="9" s="1"/>
  <c r="C37" i="4" l="1"/>
  <c r="D37" i="4"/>
  <c r="E37" i="4"/>
  <c r="F37" i="4"/>
  <c r="G37" i="4"/>
  <c r="H37" i="4"/>
  <c r="B37" i="4"/>
  <c r="I31" i="4"/>
  <c r="I32" i="4"/>
  <c r="I33" i="4"/>
  <c r="I34" i="4"/>
  <c r="I35" i="4"/>
  <c r="I36" i="4"/>
  <c r="I30" i="4"/>
  <c r="C24" i="4"/>
  <c r="D24" i="4"/>
  <c r="E24" i="4"/>
  <c r="F24" i="4"/>
  <c r="G24" i="4"/>
  <c r="H24" i="4"/>
  <c r="B24" i="4"/>
  <c r="I18" i="4"/>
  <c r="I19" i="4"/>
  <c r="I20" i="4"/>
  <c r="I21" i="4"/>
  <c r="I22" i="4"/>
  <c r="I23" i="4"/>
  <c r="I17" i="4"/>
  <c r="I4" i="4"/>
  <c r="I5" i="4"/>
  <c r="I6" i="4"/>
  <c r="I7" i="4"/>
  <c r="I8" i="4"/>
  <c r="I9" i="4"/>
  <c r="I10" i="4"/>
  <c r="B11" i="4"/>
  <c r="C11" i="4"/>
  <c r="D11" i="4"/>
  <c r="E11" i="4"/>
  <c r="F11" i="4"/>
  <c r="G11" i="4"/>
  <c r="H11" i="4"/>
  <c r="X59" i="8" l="1"/>
  <c r="W59" i="8"/>
  <c r="V59" i="8"/>
  <c r="U59" i="8"/>
  <c r="T59" i="8"/>
  <c r="S59" i="8"/>
  <c r="R59" i="8"/>
  <c r="Q59" i="8"/>
  <c r="P59" i="8"/>
  <c r="O59" i="8"/>
  <c r="N59" i="8"/>
  <c r="M59" i="8"/>
  <c r="L59" i="8"/>
  <c r="K59" i="8"/>
  <c r="J59" i="8"/>
  <c r="I59" i="8"/>
  <c r="H59" i="8"/>
  <c r="G59" i="8"/>
  <c r="F59" i="8"/>
  <c r="E59" i="8"/>
  <c r="D59" i="8"/>
  <c r="C59" i="8"/>
  <c r="B59" i="8"/>
  <c r="A59" i="8"/>
  <c r="G10" i="6"/>
  <c r="G6" i="6"/>
  <c r="G7" i="6"/>
  <c r="G8" i="6"/>
  <c r="G9" i="6"/>
  <c r="G11" i="6"/>
  <c r="G5" i="6"/>
  <c r="F6" i="6"/>
  <c r="H6" i="6" s="1"/>
  <c r="F7" i="6"/>
  <c r="F8" i="6"/>
  <c r="J8" i="6" s="1"/>
  <c r="F9" i="6"/>
  <c r="H9" i="6" s="1"/>
  <c r="F10" i="6"/>
  <c r="H10" i="6" s="1"/>
  <c r="F11" i="6"/>
  <c r="F5" i="6"/>
  <c r="J7" i="6"/>
  <c r="J12" i="6"/>
  <c r="J11" i="6"/>
  <c r="L12" i="6"/>
  <c r="L11" i="6"/>
  <c r="K12" i="6"/>
  <c r="K11" i="6"/>
  <c r="E7" i="3"/>
  <c r="H11" i="6" l="1"/>
  <c r="H5" i="6"/>
  <c r="H7" i="6"/>
  <c r="F7" i="3"/>
  <c r="G7" i="3"/>
  <c r="H7" i="3"/>
  <c r="I7" i="3"/>
  <c r="J7" i="3"/>
  <c r="K7" i="3"/>
  <c r="E8" i="3"/>
  <c r="F8" i="3"/>
  <c r="G8" i="3"/>
  <c r="H8" i="3"/>
  <c r="I8" i="3"/>
  <c r="J8" i="3"/>
  <c r="K8" i="3"/>
  <c r="E9" i="3"/>
  <c r="F9" i="3"/>
  <c r="G9" i="3"/>
  <c r="H9" i="3"/>
  <c r="I9" i="3"/>
  <c r="J9" i="3"/>
  <c r="K9" i="3"/>
  <c r="E10" i="3"/>
  <c r="F10" i="3"/>
  <c r="G10" i="3"/>
  <c r="H10" i="3"/>
  <c r="I10" i="3"/>
  <c r="J10" i="3"/>
  <c r="K10" i="3"/>
  <c r="E11" i="3"/>
  <c r="F11" i="3"/>
  <c r="G11" i="3"/>
  <c r="H11" i="3"/>
  <c r="I11" i="3"/>
  <c r="J11" i="3"/>
  <c r="K11" i="3"/>
  <c r="I8" i="2" l="1"/>
  <c r="I7" i="2"/>
  <c r="H10" i="2"/>
  <c r="H8" i="2"/>
  <c r="H7" i="2"/>
  <c r="H6" i="2"/>
  <c r="G10" i="2"/>
  <c r="I10" i="2" s="1"/>
  <c r="G8" i="2"/>
  <c r="G4" i="2"/>
  <c r="H9" i="2"/>
  <c r="G9" i="2"/>
  <c r="G7" i="2"/>
  <c r="G6" i="2"/>
  <c r="H5" i="2"/>
  <c r="G5" i="2"/>
  <c r="I5" i="2" s="1"/>
  <c r="H4" i="2"/>
  <c r="E60" i="3"/>
  <c r="F60" i="3"/>
  <c r="G60" i="3"/>
  <c r="M100" i="3"/>
  <c r="M99" i="3"/>
  <c r="M98" i="3"/>
  <c r="M97" i="3"/>
  <c r="M96" i="3"/>
  <c r="M95" i="3"/>
  <c r="M94" i="3"/>
  <c r="I6" i="2" l="1"/>
  <c r="I4" i="2"/>
  <c r="I9" i="2"/>
  <c r="J97" i="3"/>
  <c r="U56" i="3" l="1"/>
  <c r="AB58" i="3"/>
  <c r="S58" i="3"/>
  <c r="X58" i="3"/>
  <c r="N58" i="3"/>
  <c r="AE57" i="3"/>
  <c r="V57" i="3"/>
  <c r="AA57" i="3"/>
  <c r="Q57" i="3"/>
  <c r="AD56" i="3"/>
  <c r="Y56" i="3"/>
  <c r="N56" i="3"/>
  <c r="AC55" i="3"/>
  <c r="T55" i="3"/>
  <c r="Z55" i="3"/>
  <c r="N55" i="3"/>
  <c r="R54" i="3"/>
  <c r="O54" i="3"/>
  <c r="W54" i="3"/>
  <c r="P54" i="3"/>
  <c r="J56" i="3" l="1"/>
  <c r="J57" i="3"/>
  <c r="J58" i="3"/>
  <c r="J59" i="3"/>
  <c r="J55" i="3"/>
  <c r="I56" i="3"/>
  <c r="I57" i="3"/>
  <c r="K57" i="3" s="1"/>
  <c r="I58" i="3"/>
  <c r="I59" i="3"/>
  <c r="I55" i="3"/>
  <c r="J44" i="3"/>
  <c r="J43" i="3"/>
  <c r="J45" i="3"/>
  <c r="J46" i="3"/>
  <c r="J47" i="3"/>
  <c r="I47" i="3"/>
  <c r="I46" i="3"/>
  <c r="I45" i="3"/>
  <c r="I44" i="3"/>
  <c r="K44" i="3" s="1"/>
  <c r="I43" i="3"/>
  <c r="K43" i="3" s="1"/>
  <c r="F48" i="3"/>
  <c r="G48" i="3"/>
  <c r="H48" i="3"/>
  <c r="E48" i="3"/>
  <c r="K56" i="3" l="1"/>
  <c r="J48" i="3"/>
  <c r="K46" i="3"/>
  <c r="K55" i="3"/>
  <c r="I60" i="3"/>
  <c r="K47" i="3"/>
  <c r="K59" i="3"/>
  <c r="J60" i="3"/>
  <c r="K45" i="3"/>
  <c r="K58" i="3"/>
  <c r="I48" i="3"/>
  <c r="K48" i="3" l="1"/>
  <c r="K60" i="3"/>
</calcChain>
</file>

<file path=xl/sharedStrings.xml><?xml version="1.0" encoding="utf-8"?>
<sst xmlns="http://schemas.openxmlformats.org/spreadsheetml/2006/main" count="886" uniqueCount="114">
  <si>
    <t>BGP</t>
  </si>
  <si>
    <t>SWDF</t>
  </si>
  <si>
    <t>DBPedia</t>
  </si>
  <si>
    <t>Feasible</t>
  </si>
  <si>
    <t>Predicate Based</t>
  </si>
  <si>
    <t>Subject Based</t>
  </si>
  <si>
    <t>Hierarchical</t>
  </si>
  <si>
    <t>Horizontal</t>
  </si>
  <si>
    <t>MinCut</t>
  </si>
  <si>
    <t>Total Execution time in ms</t>
  </si>
  <si>
    <t>Total timeout queries(*180000) in ms</t>
  </si>
  <si>
    <t>BGP only</t>
  </si>
  <si>
    <t>Fully featured</t>
  </si>
  <si>
    <t>Predicate-based</t>
  </si>
  <si>
    <t>Query Mix time (ms) for the complete 300 queries benchmark including time outs of 3 min</t>
  </si>
  <si>
    <t>Subject-based</t>
  </si>
  <si>
    <t xml:space="preserve">Horizental </t>
  </si>
  <si>
    <t>Min-cut</t>
  </si>
  <si>
    <t>Dbpedia</t>
  </si>
  <si>
    <t>Average query execution time for successfully executed queries, i.e., excluding timeout queries</t>
  </si>
  <si>
    <t>Number of time out (3 min) queries</t>
  </si>
  <si>
    <t>Combined (600 queries)</t>
  </si>
  <si>
    <t>Overall (1200 queries)</t>
  </si>
  <si>
    <t>1st</t>
  </si>
  <si>
    <t>2nd</t>
  </si>
  <si>
    <t>3rd</t>
  </si>
  <si>
    <t>4th</t>
  </si>
  <si>
    <t>5th</t>
  </si>
  <si>
    <t>SWDF+Dbpedia (4 benchmarks)</t>
  </si>
  <si>
    <r>
      <rPr>
        <sz val="11"/>
        <color rgb="FFFF0000"/>
        <rFont val="Calibri"/>
        <family val="2"/>
        <scheme val="minor"/>
      </rPr>
      <t>1st</t>
    </r>
    <r>
      <rPr>
        <sz val="11"/>
        <color theme="1"/>
        <rFont val="Calibri"/>
        <family val="2"/>
        <scheme val="minor"/>
      </rPr>
      <t xml:space="preserve"> </t>
    </r>
    <r>
      <rPr>
        <sz val="11"/>
        <color rgb="FF00B0F0"/>
        <rFont val="Calibri"/>
        <family val="2"/>
        <scheme val="minor"/>
      </rPr>
      <t>2nd</t>
    </r>
    <r>
      <rPr>
        <sz val="11"/>
        <color theme="1"/>
        <rFont val="Calibri"/>
        <family val="2"/>
        <scheme val="minor"/>
      </rPr>
      <t xml:space="preserve"> </t>
    </r>
    <r>
      <rPr>
        <sz val="11"/>
        <color rgb="FF00B050"/>
        <rFont val="Calibri"/>
        <family val="2"/>
        <scheme val="minor"/>
      </rPr>
      <t>3rd</t>
    </r>
    <r>
      <rPr>
        <sz val="11"/>
        <color theme="1"/>
        <rFont val="Calibri"/>
        <family val="2"/>
        <scheme val="minor"/>
      </rPr>
      <t xml:space="preserve"> </t>
    </r>
    <r>
      <rPr>
        <sz val="11"/>
        <color rgb="FF7030A0"/>
        <rFont val="Calibri"/>
        <family val="2"/>
        <scheme val="minor"/>
      </rPr>
      <t>4th</t>
    </r>
    <r>
      <rPr>
        <sz val="11"/>
        <color theme="1"/>
        <rFont val="Calibri"/>
        <family val="2"/>
        <scheme val="minor"/>
      </rPr>
      <t xml:space="preserve"> 5th</t>
    </r>
  </si>
  <si>
    <t>Remarks</t>
  </si>
  <si>
    <t xml:space="preserve"> Either best or worse</t>
  </si>
  <si>
    <t>Good on average</t>
  </si>
  <si>
    <t>mostly good</t>
  </si>
  <si>
    <t>Mostly very good</t>
  </si>
  <si>
    <t>Mostly on low side</t>
  </si>
  <si>
    <t>SWDF+Dbpedia (3 benchmarks)</t>
  </si>
  <si>
    <t>High time outs</t>
  </si>
  <si>
    <t>Lowest timeouts</t>
  </si>
  <si>
    <t>Lower timeouts</t>
  </si>
  <si>
    <t>Reasonably lower timeouts</t>
  </si>
  <si>
    <t>On the low due to lower timeouts for complex queries whose execution time is added in to the average while that is excluded for other techniques since they run into timeoputs for such complex queries</t>
  </si>
  <si>
    <t>Complex queries are timeout and hence not included into the avg. query exeuction time</t>
  </si>
  <si>
    <t xml:space="preserve">Excluded timeout queries which leads to overall good avg. runtimes </t>
  </si>
  <si>
    <t xml:space="preserve">On lower side due to lowest timeouts </t>
  </si>
  <si>
    <t>Average query execution time (ms) for successfully executed queries, i.e., excluding timeout queries</t>
  </si>
  <si>
    <t>Number of tripple pattern-wise souces selected</t>
  </si>
  <si>
    <t>Total distinct source selected</t>
  </si>
  <si>
    <t>Overall</t>
  </si>
  <si>
    <t>Combined (Dbpedia+SWDF)</t>
  </si>
  <si>
    <t>SWDF BGP only</t>
  </si>
  <si>
    <t>Total n</t>
  </si>
  <si>
    <t>x</t>
  </si>
  <si>
    <t>Recursive Bisection</t>
  </si>
  <si>
    <t>FedX Results</t>
  </si>
  <si>
    <t>Semagrow Results</t>
  </si>
  <si>
    <t xml:space="preserve">Horizontal </t>
  </si>
  <si>
    <t>Koral Results</t>
  </si>
  <si>
    <t>SWDF BGP</t>
  </si>
  <si>
    <t>FedX Ranking</t>
  </si>
  <si>
    <t>Semagrow Ranking</t>
  </si>
  <si>
    <t>Koral Ranking</t>
  </si>
  <si>
    <t>6th</t>
  </si>
  <si>
    <t>7th</t>
  </si>
  <si>
    <t>Partitioning time</t>
  </si>
  <si>
    <t>SWDF fully featured</t>
  </si>
  <si>
    <t>Total time out queries</t>
  </si>
  <si>
    <t>total time taken</t>
  </si>
  <si>
    <t>timeout queries</t>
  </si>
  <si>
    <t>kway</t>
  </si>
  <si>
    <t>recursive-bisection</t>
  </si>
  <si>
    <t>Property-based</t>
  </si>
  <si>
    <t>subject-based</t>
  </si>
  <si>
    <t>hierarchical</t>
  </si>
  <si>
    <t>horizontal</t>
  </si>
  <si>
    <t>mincut</t>
  </si>
  <si>
    <t>FedX Remaining Results</t>
  </si>
  <si>
    <t>SWDF-BGP</t>
  </si>
  <si>
    <t>DBPedia-BGP</t>
  </si>
  <si>
    <t>DBpedia BGP only</t>
  </si>
  <si>
    <t>DBpedia fully featured</t>
  </si>
  <si>
    <t>DBpedia BGP</t>
  </si>
  <si>
    <t>Recursive-bisection</t>
  </si>
  <si>
    <t>DBpedia</t>
  </si>
  <si>
    <t>SWDF+DBpedia (2 Benchmarks)</t>
  </si>
  <si>
    <t>total time taken including timeouts</t>
  </si>
  <si>
    <t>Min-Edgecut</t>
  </si>
  <si>
    <t>SWDF+DBpedia (4 Benchmarks)</t>
  </si>
  <si>
    <t>DBpedia fully-featured</t>
  </si>
  <si>
    <t>DBpedia BGP-only</t>
  </si>
  <si>
    <t>SWDF BGP-only</t>
  </si>
  <si>
    <t>SWDF fully-featured</t>
  </si>
  <si>
    <t>Total</t>
  </si>
  <si>
    <t>Partition 0</t>
  </si>
  <si>
    <t>Partition 1</t>
  </si>
  <si>
    <t>Partition 2</t>
  </si>
  <si>
    <t>Partition 3</t>
  </si>
  <si>
    <t>Partition 4</t>
  </si>
  <si>
    <t>Partition 5</t>
  </si>
  <si>
    <t>Partition 6</t>
  </si>
  <si>
    <t>Partition 7</t>
  </si>
  <si>
    <t>Partition 8</t>
  </si>
  <si>
    <t>Partition 9</t>
  </si>
  <si>
    <t>Standard Deviation</t>
  </si>
  <si>
    <t>TCV-Min</t>
  </si>
  <si>
    <t>PB</t>
  </si>
  <si>
    <t>SB</t>
  </si>
  <si>
    <t>Hi</t>
  </si>
  <si>
    <t>Ho</t>
  </si>
  <si>
    <t>ME</t>
  </si>
  <si>
    <t>TC</t>
  </si>
  <si>
    <t>RB</t>
  </si>
  <si>
    <t>Overall rank-wise ranking</t>
  </si>
  <si>
    <t>either best or worst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</si>
</sst>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0.0000000000000"/>
  </numFmts>
  <fonts count="12" x14ac:knownFonts="1">
    <font>
      <sz val="11"/>
      <color theme="1"/>
      <name val="Calibri"/>
      <family val="2"/>
      <scheme val="minor"/>
    </font>
    <font>
      <sz val="18"/>
      <color theme="1"/>
      <name val="Calibri"/>
      <family val="2"/>
      <scheme val="minor"/>
    </font>
    <font>
      <sz val="20"/>
      <color theme="1"/>
      <name val="Calibri"/>
      <family val="2"/>
      <scheme val="minor"/>
    </font>
    <font>
      <sz val="11"/>
      <color rgb="FFFF0000"/>
      <name val="Calibri"/>
      <family val="2"/>
      <scheme val="minor"/>
    </font>
    <font>
      <sz val="11"/>
      <color rgb="FF7030A0"/>
      <name val="Calibri"/>
      <family val="2"/>
      <scheme val="minor"/>
    </font>
    <font>
      <sz val="11"/>
      <color rgb="FF00B0F0"/>
      <name val="Calibri"/>
      <family val="2"/>
      <scheme val="minor"/>
    </font>
    <font>
      <sz val="11"/>
      <color rgb="FF00B050"/>
      <name val="Calibri"/>
      <family val="2"/>
      <scheme val="minor"/>
    </font>
    <font>
      <sz val="11"/>
      <name val="Calibri"/>
      <family val="2"/>
      <scheme val="minor"/>
    </font>
    <font>
      <b/>
      <sz val="11"/>
      <color rgb="FFFF0000"/>
      <name val="Calibri"/>
      <family val="2"/>
      <scheme val="minor"/>
    </font>
    <font>
      <b/>
      <sz val="11"/>
      <color theme="1"/>
      <name val="Calibri"/>
      <family val="2"/>
      <scheme val="minor"/>
    </font>
    <font>
      <b/>
      <sz val="11"/>
      <color rgb="FF7030A0"/>
      <name val="Calibri"/>
      <family val="2"/>
      <scheme val="minor"/>
    </font>
    <font>
      <sz val="11"/>
      <color rgb="FFFFC000"/>
      <name val="Calibri"/>
      <family val="2"/>
      <scheme val="minor"/>
    </font>
  </fonts>
  <fills count="20">
    <fill>
      <patternFill patternType="none"/>
    </fill>
    <fill>
      <patternFill patternType="gray125"/>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6"/>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theme="7" tint="0.59999389629810485"/>
        <bgColor indexed="64"/>
      </patternFill>
    </fill>
    <fill>
      <patternFill patternType="solid">
        <fgColor theme="4"/>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5">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xf numFmtId="0" fontId="0" fillId="3" borderId="0" xfId="0" applyFill="1" applyAlignment="1">
      <alignment horizontal="center" vertical="center"/>
    </xf>
    <xf numFmtId="0" fontId="0" fillId="3" borderId="0" xfId="0" applyFill="1"/>
    <xf numFmtId="0" fontId="0" fillId="4" borderId="0" xfId="0" applyFill="1" applyAlignment="1">
      <alignment horizontal="center" vertical="center"/>
    </xf>
    <xf numFmtId="0" fontId="0" fillId="4" borderId="0" xfId="0" applyFill="1"/>
    <xf numFmtId="0" fontId="0" fillId="5" borderId="0" xfId="0" applyFill="1" applyAlignment="1">
      <alignment horizontal="center" vertical="center"/>
    </xf>
    <xf numFmtId="0" fontId="0" fillId="5" borderId="0" xfId="0" applyFill="1"/>
    <xf numFmtId="0" fontId="0" fillId="6" borderId="0" xfId="0" applyFill="1" applyAlignment="1">
      <alignment horizontal="center" vertical="center"/>
    </xf>
    <xf numFmtId="0" fontId="0" fillId="6" borderId="0" xfId="0" applyFill="1"/>
    <xf numFmtId="0" fontId="2" fillId="0" borderId="0" xfId="0" applyFont="1"/>
    <xf numFmtId="0" fontId="1" fillId="2" borderId="0" xfId="0" applyFont="1" applyFill="1" applyAlignment="1"/>
    <xf numFmtId="0" fontId="1" fillId="0" borderId="0" xfId="0" applyFont="1" applyAlignment="1"/>
    <xf numFmtId="0" fontId="1" fillId="3" borderId="0" xfId="0" applyFont="1" applyFill="1" applyAlignment="1"/>
    <xf numFmtId="0" fontId="1" fillId="4" borderId="0" xfId="0" applyFont="1" applyFill="1" applyAlignment="1"/>
    <xf numFmtId="0" fontId="1" fillId="5" borderId="0" xfId="0" applyFont="1" applyFill="1" applyAlignment="1"/>
    <xf numFmtId="0" fontId="1" fillId="6" borderId="0" xfId="0" applyFont="1" applyFill="1" applyAlignment="1"/>
    <xf numFmtId="0" fontId="0" fillId="7" borderId="0" xfId="0" applyFill="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6" xfId="0" applyFont="1" applyBorder="1"/>
    <xf numFmtId="0" fontId="3" fillId="0" borderId="0" xfId="0" applyFont="1" applyBorder="1"/>
    <xf numFmtId="0" fontId="3" fillId="0" borderId="5" xfId="0" applyFont="1" applyBorder="1"/>
    <xf numFmtId="0" fontId="0" fillId="0" borderId="5" xfId="0" applyFont="1" applyBorder="1"/>
    <xf numFmtId="0" fontId="0" fillId="0" borderId="7" xfId="0" applyFont="1" applyBorder="1"/>
    <xf numFmtId="0" fontId="0" fillId="0" borderId="0" xfId="0" applyFont="1" applyBorder="1"/>
    <xf numFmtId="0" fontId="5" fillId="0" borderId="5" xfId="0" applyFont="1" applyBorder="1"/>
    <xf numFmtId="0" fontId="5" fillId="0" borderId="6" xfId="0" applyFont="1" applyBorder="1"/>
    <xf numFmtId="0" fontId="5" fillId="0" borderId="0" xfId="0" applyFont="1" applyBorder="1"/>
    <xf numFmtId="0" fontId="0" fillId="0" borderId="11" xfId="0" applyBorder="1" applyAlignment="1">
      <alignment horizontal="center"/>
    </xf>
    <xf numFmtId="0" fontId="0" fillId="0" borderId="13" xfId="0" applyBorder="1"/>
    <xf numFmtId="0" fontId="0" fillId="0" borderId="14" xfId="0" applyBorder="1"/>
    <xf numFmtId="0" fontId="0" fillId="0" borderId="15" xfId="0" applyBorder="1"/>
    <xf numFmtId="0" fontId="0" fillId="0" borderId="1" xfId="0" applyBorder="1"/>
    <xf numFmtId="0" fontId="0" fillId="0" borderId="2" xfId="0" applyBorder="1"/>
    <xf numFmtId="0" fontId="3" fillId="0" borderId="13" xfId="0" applyFont="1" applyBorder="1"/>
    <xf numFmtId="0" fontId="5" fillId="0" borderId="13" xfId="0" applyFont="1" applyBorder="1"/>
    <xf numFmtId="0" fontId="0" fillId="0" borderId="11" xfId="0" applyBorder="1"/>
    <xf numFmtId="0" fontId="0" fillId="0" borderId="12" xfId="0" applyBorder="1"/>
    <xf numFmtId="0" fontId="3" fillId="0" borderId="10" xfId="0" applyFont="1" applyBorder="1"/>
    <xf numFmtId="0" fontId="3" fillId="0" borderId="11" xfId="0" applyFont="1" applyBorder="1"/>
    <xf numFmtId="0" fontId="3" fillId="0" borderId="8" xfId="0" applyFont="1" applyBorder="1"/>
    <xf numFmtId="0" fontId="0" fillId="0" borderId="8" xfId="0" applyFont="1" applyBorder="1"/>
    <xf numFmtId="0" fontId="0" fillId="0" borderId="10" xfId="0" applyBorder="1" applyAlignment="1">
      <alignment horizontal="center"/>
    </xf>
    <xf numFmtId="0" fontId="0" fillId="0" borderId="12" xfId="0" applyBorder="1" applyAlignment="1">
      <alignment horizontal="center"/>
    </xf>
    <xf numFmtId="0" fontId="5" fillId="0" borderId="7" xfId="0" applyFont="1" applyBorder="1"/>
    <xf numFmtId="0" fontId="5" fillId="0" borderId="14" xfId="0" applyFont="1" applyBorder="1"/>
    <xf numFmtId="0" fontId="0" fillId="0" borderId="0" xfId="0" applyFill="1" applyBorder="1"/>
    <xf numFmtId="0" fontId="0" fillId="0" borderId="6" xfId="0" applyFill="1" applyBorder="1"/>
    <xf numFmtId="0" fontId="6" fillId="0" borderId="5" xfId="0" applyFont="1" applyBorder="1"/>
    <xf numFmtId="0" fontId="4" fillId="0" borderId="7" xfId="0" applyFont="1" applyBorder="1"/>
    <xf numFmtId="0" fontId="6" fillId="0" borderId="6" xfId="0" applyFont="1" applyBorder="1"/>
    <xf numFmtId="0" fontId="6" fillId="0" borderId="0" xfId="0" applyFont="1" applyBorder="1"/>
    <xf numFmtId="0" fontId="4" fillId="0" borderId="9" xfId="0" applyFont="1" applyBorder="1"/>
    <xf numFmtId="0" fontId="4" fillId="0" borderId="8" xfId="0" applyFont="1" applyBorder="1"/>
    <xf numFmtId="0" fontId="4" fillId="0" borderId="0" xfId="0" applyFont="1" applyBorder="1"/>
    <xf numFmtId="0" fontId="4" fillId="0" borderId="0" xfId="0" applyFont="1" applyFill="1" applyBorder="1"/>
    <xf numFmtId="0" fontId="0" fillId="0" borderId="6" xfId="0" applyFont="1" applyBorder="1"/>
    <xf numFmtId="0" fontId="0" fillId="0" borderId="9" xfId="0" applyFont="1" applyBorder="1"/>
    <xf numFmtId="0" fontId="0" fillId="0" borderId="0" xfId="0" applyFont="1" applyFill="1" applyBorder="1"/>
    <xf numFmtId="0" fontId="6" fillId="0" borderId="8" xfId="0" applyFont="1" applyBorder="1"/>
    <xf numFmtId="0" fontId="7" fillId="0" borderId="5" xfId="0" applyFont="1" applyBorder="1"/>
    <xf numFmtId="0" fontId="7" fillId="0" borderId="6" xfId="0" applyFont="1" applyBorder="1"/>
    <xf numFmtId="0" fontId="7" fillId="0" borderId="0" xfId="0" applyFont="1" applyBorder="1"/>
    <xf numFmtId="0" fontId="7" fillId="0" borderId="13" xfId="0" applyFont="1" applyBorder="1"/>
    <xf numFmtId="0" fontId="3" fillId="0" borderId="7" xfId="0" applyFont="1" applyBorder="1"/>
    <xf numFmtId="0" fontId="5" fillId="0" borderId="8" xfId="0" applyFont="1" applyBorder="1"/>
    <xf numFmtId="0" fontId="5" fillId="0" borderId="9" xfId="0" applyFont="1" applyBorder="1"/>
    <xf numFmtId="0" fontId="6" fillId="0" borderId="9" xfId="0" applyFont="1" applyBorder="1"/>
    <xf numFmtId="0" fontId="6" fillId="0" borderId="13" xfId="0" applyFont="1" applyBorder="1"/>
    <xf numFmtId="0" fontId="4" fillId="0" borderId="6" xfId="0" applyFont="1" applyBorder="1"/>
    <xf numFmtId="0" fontId="4" fillId="0" borderId="5" xfId="0" applyFont="1" applyBorder="1"/>
    <xf numFmtId="0" fontId="4" fillId="0" borderId="13" xfId="0" applyFont="1" applyBorder="1"/>
    <xf numFmtId="0" fontId="4" fillId="0" borderId="0" xfId="0" applyFont="1"/>
    <xf numFmtId="0" fontId="3" fillId="0" borderId="16" xfId="0" applyFont="1" applyBorder="1"/>
    <xf numFmtId="0" fontId="3" fillId="0" borderId="18" xfId="0" applyFont="1" applyBorder="1"/>
    <xf numFmtId="0" fontId="4" fillId="0" borderId="16" xfId="0" applyFont="1" applyBorder="1"/>
    <xf numFmtId="0" fontId="6" fillId="0" borderId="17" xfId="0" applyFont="1" applyBorder="1"/>
    <xf numFmtId="0" fontId="4" fillId="0" borderId="18" xfId="0" applyFont="1" applyBorder="1"/>
    <xf numFmtId="0" fontId="7" fillId="0" borderId="16" xfId="0" applyFont="1" applyBorder="1"/>
    <xf numFmtId="0" fontId="5" fillId="0" borderId="17" xfId="0" applyFont="1" applyBorder="1"/>
    <xf numFmtId="0" fontId="6" fillId="0" borderId="18" xfId="0" applyFont="1" applyBorder="1"/>
    <xf numFmtId="0" fontId="7" fillId="0" borderId="17" xfId="0" applyFont="1" applyBorder="1"/>
    <xf numFmtId="0" fontId="7" fillId="0" borderId="19" xfId="0" applyFont="1" applyBorder="1"/>
    <xf numFmtId="0" fontId="7" fillId="0" borderId="20" xfId="0" applyFont="1" applyBorder="1"/>
    <xf numFmtId="0" fontId="5" fillId="0" borderId="19" xfId="0" applyFont="1" applyBorder="1"/>
    <xf numFmtId="0" fontId="7" fillId="0" borderId="8" xfId="0" applyFont="1" applyBorder="1"/>
    <xf numFmtId="2" fontId="0" fillId="0" borderId="0" xfId="0" applyNumberFormat="1" applyBorder="1"/>
    <xf numFmtId="0" fontId="0" fillId="8" borderId="0" xfId="0" applyFill="1" applyBorder="1"/>
    <xf numFmtId="0" fontId="0" fillId="0" borderId="0" xfId="0" applyBorder="1" applyAlignment="1">
      <alignment horizontal="right"/>
    </xf>
    <xf numFmtId="0" fontId="0" fillId="0" borderId="3" xfId="0" applyBorder="1" applyAlignment="1"/>
    <xf numFmtId="0" fontId="0" fillId="0" borderId="4" xfId="0" applyBorder="1" applyAlignment="1"/>
    <xf numFmtId="0" fontId="0" fillId="0" borderId="10" xfId="0" applyBorder="1" applyAlignment="1"/>
    <xf numFmtId="0" fontId="0" fillId="0" borderId="11" xfId="0" applyBorder="1" applyAlignment="1"/>
    <xf numFmtId="0" fontId="0" fillId="0" borderId="12" xfId="0" applyBorder="1" applyAlignment="1"/>
    <xf numFmtId="0" fontId="0" fillId="0" borderId="0" xfId="0" applyBorder="1" applyAlignment="1"/>
    <xf numFmtId="0" fontId="3" fillId="0" borderId="2" xfId="0" applyFont="1" applyBorder="1"/>
    <xf numFmtId="0" fontId="0" fillId="0" borderId="12" xfId="0" applyFill="1" applyBorder="1"/>
    <xf numFmtId="0" fontId="0" fillId="0" borderId="11" xfId="0" applyFill="1" applyBorder="1"/>
    <xf numFmtId="0" fontId="0" fillId="0" borderId="2" xfId="0" applyFont="1" applyBorder="1"/>
    <xf numFmtId="0" fontId="0" fillId="0" borderId="3" xfId="0" applyFont="1" applyBorder="1"/>
    <xf numFmtId="0" fontId="0" fillId="0" borderId="3" xfId="0" applyFont="1" applyFill="1" applyBorder="1"/>
    <xf numFmtId="0" fontId="0" fillId="0" borderId="2" xfId="0" applyBorder="1" applyAlignment="1"/>
    <xf numFmtId="0" fontId="0" fillId="0" borderId="1" xfId="0" applyBorder="1" applyAlignment="1"/>
    <xf numFmtId="0" fontId="7" fillId="0" borderId="14" xfId="0" applyFont="1" applyBorder="1"/>
    <xf numFmtId="0" fontId="5" fillId="0" borderId="2" xfId="0" applyFont="1" applyBorder="1"/>
    <xf numFmtId="0" fontId="3" fillId="0" borderId="4" xfId="0" applyFont="1" applyBorder="1"/>
    <xf numFmtId="0" fontId="3" fillId="0" borderId="15" xfId="0" applyFont="1" applyBorder="1"/>
    <xf numFmtId="0" fontId="0" fillId="0" borderId="13" xfId="0" applyFont="1" applyBorder="1"/>
    <xf numFmtId="0" fontId="0" fillId="0" borderId="10" xfId="0" applyBorder="1" applyAlignment="1">
      <alignment horizontal="right"/>
    </xf>
    <xf numFmtId="0" fontId="0" fillId="0" borderId="12" xfId="0" applyBorder="1" applyAlignment="1">
      <alignment horizontal="right"/>
    </xf>
    <xf numFmtId="0" fontId="0" fillId="8" borderId="1" xfId="0" applyFill="1" applyBorder="1"/>
    <xf numFmtId="0" fontId="7" fillId="0" borderId="15" xfId="0" applyFont="1" applyBorder="1"/>
    <xf numFmtId="0" fontId="7" fillId="0" borderId="3" xfId="0" applyFont="1" applyBorder="1"/>
    <xf numFmtId="0" fontId="7" fillId="0" borderId="4" xfId="0" applyFont="1" applyBorder="1"/>
    <xf numFmtId="0" fontId="7" fillId="0" borderId="7" xfId="0" applyFont="1" applyBorder="1"/>
    <xf numFmtId="0" fontId="7" fillId="0" borderId="2" xfId="0" applyFont="1" applyBorder="1"/>
    <xf numFmtId="0" fontId="0" fillId="8" borderId="15" xfId="0" applyFill="1" applyBorder="1"/>
    <xf numFmtId="0" fontId="0" fillId="8" borderId="14" xfId="0" applyFill="1" applyBorder="1"/>
    <xf numFmtId="0" fontId="8" fillId="10" borderId="5" xfId="0" applyFont="1" applyFill="1" applyBorder="1" applyAlignment="1">
      <alignment horizontal="center"/>
    </xf>
    <xf numFmtId="0" fontId="8" fillId="10" borderId="0" xfId="0" applyFont="1" applyFill="1" applyBorder="1" applyAlignment="1">
      <alignment horizontal="center"/>
    </xf>
    <xf numFmtId="0" fontId="8" fillId="10" borderId="6" xfId="0" applyFont="1" applyFill="1" applyBorder="1" applyAlignment="1">
      <alignment horizontal="center"/>
    </xf>
    <xf numFmtId="0" fontId="8" fillId="10" borderId="2" xfId="0" applyFont="1" applyFill="1" applyBorder="1" applyAlignment="1">
      <alignment horizontal="center"/>
    </xf>
    <xf numFmtId="0" fontId="8" fillId="10" borderId="4" xfId="0" applyFont="1" applyFill="1" applyBorder="1" applyAlignment="1">
      <alignment horizontal="center"/>
    </xf>
    <xf numFmtId="0" fontId="0" fillId="9" borderId="10" xfId="0" applyFont="1" applyFill="1" applyBorder="1" applyAlignment="1">
      <alignment horizontal="center"/>
    </xf>
    <xf numFmtId="0" fontId="0" fillId="9" borderId="11" xfId="0" applyFont="1" applyFill="1" applyBorder="1" applyAlignment="1">
      <alignment horizontal="center"/>
    </xf>
    <xf numFmtId="0" fontId="0" fillId="9" borderId="12" xfId="0" applyFont="1" applyFill="1" applyBorder="1" applyAlignment="1">
      <alignment horizontal="center"/>
    </xf>
    <xf numFmtId="0" fontId="0" fillId="2" borderId="10" xfId="0" applyFont="1" applyFill="1" applyBorder="1" applyAlignment="1">
      <alignment horizontal="center"/>
    </xf>
    <xf numFmtId="0" fontId="0" fillId="2" borderId="11" xfId="0" applyFont="1" applyFill="1" applyBorder="1" applyAlignment="1">
      <alignment horizontal="center"/>
    </xf>
    <xf numFmtId="0" fontId="0" fillId="2" borderId="12" xfId="0" applyFont="1" applyFill="1" applyBorder="1" applyAlignment="1">
      <alignment horizontal="center"/>
    </xf>
    <xf numFmtId="0" fontId="8" fillId="10" borderId="10" xfId="0" applyFont="1" applyFill="1" applyBorder="1" applyAlignment="1">
      <alignment horizontal="center"/>
    </xf>
    <xf numFmtId="0" fontId="8" fillId="10" borderId="12" xfId="0" applyFont="1" applyFill="1" applyBorder="1" applyAlignment="1">
      <alignment horizontal="center"/>
    </xf>
    <xf numFmtId="0" fontId="0" fillId="0" borderId="14" xfId="0" applyFont="1" applyBorder="1"/>
    <xf numFmtId="0" fontId="0" fillId="18" borderId="15" xfId="0" applyFill="1" applyBorder="1"/>
    <xf numFmtId="0" fontId="0" fillId="11" borderId="14" xfId="0" applyFill="1" applyBorder="1"/>
    <xf numFmtId="0" fontId="0" fillId="13" borderId="0" xfId="0" applyFont="1" applyFill="1"/>
    <xf numFmtId="0" fontId="0" fillId="0" borderId="0" xfId="0" applyFont="1"/>
    <xf numFmtId="0" fontId="0" fillId="12" borderId="0" xfId="0" applyFont="1" applyFill="1"/>
    <xf numFmtId="0" fontId="0" fillId="14" borderId="0" xfId="0" applyFont="1" applyFill="1"/>
    <xf numFmtId="0" fontId="0" fillId="15" borderId="0" xfId="0" applyFont="1" applyFill="1"/>
    <xf numFmtId="0" fontId="0" fillId="16" borderId="0" xfId="0" applyFont="1" applyFill="1"/>
    <xf numFmtId="0" fontId="0" fillId="17" borderId="0" xfId="0" applyFont="1" applyFill="1"/>
    <xf numFmtId="1" fontId="7" fillId="0" borderId="15" xfId="0" applyNumberFormat="1" applyFont="1" applyBorder="1"/>
    <xf numFmtId="1" fontId="7" fillId="0" borderId="13" xfId="0" applyNumberFormat="1" applyFont="1" applyBorder="1"/>
    <xf numFmtId="1" fontId="7" fillId="0" borderId="14" xfId="0" applyNumberFormat="1" applyFont="1" applyBorder="1"/>
    <xf numFmtId="1" fontId="0" fillId="0" borderId="5" xfId="0" applyNumberFormat="1" applyBorder="1"/>
    <xf numFmtId="1" fontId="0" fillId="0" borderId="2" xfId="0" applyNumberFormat="1" applyBorder="1"/>
    <xf numFmtId="1" fontId="0" fillId="0" borderId="7" xfId="0" applyNumberFormat="1" applyBorder="1"/>
    <xf numFmtId="0" fontId="0" fillId="0" borderId="1" xfId="0" applyBorder="1" applyAlignment="1">
      <alignment horizontal="right"/>
    </xf>
    <xf numFmtId="0" fontId="7" fillId="0" borderId="21" xfId="0" applyFont="1" applyBorder="1"/>
    <xf numFmtId="0" fontId="7" fillId="13" borderId="21" xfId="0" applyFont="1" applyFill="1" applyBorder="1"/>
    <xf numFmtId="0" fontId="7" fillId="12" borderId="21" xfId="0" applyFont="1" applyFill="1" applyBorder="1"/>
    <xf numFmtId="0" fontId="7" fillId="19" borderId="21" xfId="0" applyFont="1" applyFill="1" applyBorder="1"/>
    <xf numFmtId="0" fontId="7" fillId="14" borderId="21" xfId="0" applyFont="1" applyFill="1" applyBorder="1"/>
    <xf numFmtId="0" fontId="7" fillId="16" borderId="21" xfId="0" applyFont="1" applyFill="1" applyBorder="1"/>
    <xf numFmtId="0" fontId="7" fillId="15" borderId="21" xfId="0" applyFont="1" applyFill="1" applyBorder="1"/>
    <xf numFmtId="0" fontId="7" fillId="17" borderId="21" xfId="0" applyFont="1" applyFill="1" applyBorder="1"/>
    <xf numFmtId="1" fontId="0" fillId="0" borderId="6" xfId="0" applyNumberFormat="1" applyBorder="1"/>
    <xf numFmtId="1" fontId="0" fillId="0" borderId="9" xfId="0" applyNumberFormat="1" applyBorder="1"/>
    <xf numFmtId="1" fontId="0" fillId="0" borderId="4" xfId="0" applyNumberFormat="1" applyBorder="1"/>
    <xf numFmtId="165" fontId="0" fillId="0" borderId="0" xfId="0" applyNumberFormat="1"/>
    <xf numFmtId="165" fontId="0" fillId="0" borderId="13" xfId="0" applyNumberFormat="1" applyBorder="1"/>
    <xf numFmtId="0" fontId="0" fillId="0" borderId="1" xfId="0" applyFill="1" applyBorder="1" applyAlignment="1">
      <alignment horizontal="center" vertical="center"/>
    </xf>
    <xf numFmtId="165" fontId="0" fillId="13" borderId="13" xfId="0" applyNumberFormat="1" applyFill="1" applyBorder="1"/>
    <xf numFmtId="165" fontId="0" fillId="11" borderId="14" xfId="0" applyNumberFormat="1" applyFill="1" applyBorder="1"/>
    <xf numFmtId="165" fontId="0" fillId="15" borderId="13" xfId="0" applyNumberFormat="1" applyFill="1" applyBorder="1"/>
    <xf numFmtId="165" fontId="0" fillId="16" borderId="13" xfId="0" applyNumberFormat="1" applyFill="1" applyBorder="1"/>
    <xf numFmtId="165" fontId="0" fillId="14" borderId="13" xfId="0" applyNumberFormat="1" applyFill="1" applyBorder="1"/>
    <xf numFmtId="165" fontId="0" fillId="17" borderId="13" xfId="0" applyNumberFormat="1" applyFill="1" applyBorder="1"/>
    <xf numFmtId="0" fontId="0" fillId="0" borderId="0" xfId="0" applyFill="1" applyBorder="1" applyAlignment="1">
      <alignment horizontal="center"/>
    </xf>
    <xf numFmtId="165" fontId="0" fillId="13" borderId="0" xfId="0" applyNumberFormat="1" applyFill="1"/>
    <xf numFmtId="165" fontId="0" fillId="11" borderId="0" xfId="0" applyNumberFormat="1" applyFill="1"/>
    <xf numFmtId="165" fontId="0" fillId="14" borderId="0" xfId="0" applyNumberFormat="1" applyFill="1"/>
    <xf numFmtId="165" fontId="0" fillId="15" borderId="0" xfId="0" applyNumberFormat="1" applyFill="1"/>
    <xf numFmtId="165" fontId="0" fillId="16" borderId="0" xfId="0" applyNumberFormat="1" applyFill="1"/>
    <xf numFmtId="165" fontId="0" fillId="17" borderId="0" xfId="0" applyNumberFormat="1" applyFill="1"/>
    <xf numFmtId="1" fontId="0" fillId="0" borderId="14" xfId="0" applyNumberFormat="1" applyBorder="1"/>
    <xf numFmtId="0" fontId="0" fillId="0" borderId="1" xfId="0" applyBorder="1" applyAlignment="1">
      <alignment horizontal="center"/>
    </xf>
    <xf numFmtId="1" fontId="0" fillId="13" borderId="13" xfId="0" applyNumberFormat="1" applyFill="1" applyBorder="1"/>
    <xf numFmtId="1" fontId="0" fillId="11" borderId="13" xfId="0" applyNumberFormat="1" applyFill="1" applyBorder="1"/>
    <xf numFmtId="1" fontId="0" fillId="14" borderId="13" xfId="0" applyNumberFormat="1" applyFill="1" applyBorder="1"/>
    <xf numFmtId="1" fontId="0" fillId="15" borderId="13" xfId="0" applyNumberFormat="1" applyFill="1" applyBorder="1"/>
    <xf numFmtId="1" fontId="0" fillId="16" borderId="13" xfId="0" applyNumberFormat="1" applyFill="1" applyBorder="1"/>
    <xf numFmtId="1" fontId="0" fillId="17" borderId="13" xfId="0" applyNumberFormat="1" applyFill="1" applyBorder="1"/>
    <xf numFmtId="166" fontId="0" fillId="0" borderId="0" xfId="0" applyNumberFormat="1"/>
    <xf numFmtId="164" fontId="7" fillId="0" borderId="13" xfId="0" applyNumberFormat="1" applyFont="1" applyBorder="1"/>
    <xf numFmtId="0" fontId="7" fillId="13" borderId="9" xfId="0" applyFont="1" applyFill="1" applyBorder="1"/>
    <xf numFmtId="0" fontId="7" fillId="11" borderId="6" xfId="0" applyFont="1" applyFill="1" applyBorder="1"/>
    <xf numFmtId="0" fontId="7" fillId="14" borderId="6" xfId="0" applyFont="1" applyFill="1" applyBorder="1"/>
    <xf numFmtId="0" fontId="7" fillId="15" borderId="6" xfId="0" applyFont="1" applyFill="1" applyBorder="1"/>
    <xf numFmtId="0" fontId="7" fillId="16" borderId="6" xfId="0" applyFont="1" applyFill="1" applyBorder="1"/>
    <xf numFmtId="0" fontId="7" fillId="17" borderId="6" xfId="0" applyFont="1" applyFill="1" applyBorder="1"/>
    <xf numFmtId="164" fontId="7" fillId="13" borderId="13" xfId="0" applyNumberFormat="1" applyFont="1" applyFill="1" applyBorder="1"/>
    <xf numFmtId="164" fontId="7" fillId="11" borderId="13" xfId="0" applyNumberFormat="1" applyFont="1" applyFill="1" applyBorder="1"/>
    <xf numFmtId="164" fontId="7" fillId="14" borderId="13" xfId="0" applyNumberFormat="1" applyFont="1" applyFill="1" applyBorder="1"/>
    <xf numFmtId="164" fontId="7" fillId="15" borderId="13" xfId="0" applyNumberFormat="1" applyFont="1" applyFill="1" applyBorder="1"/>
    <xf numFmtId="164" fontId="7" fillId="16" borderId="14" xfId="0" applyNumberFormat="1" applyFont="1" applyFill="1" applyBorder="1"/>
    <xf numFmtId="164" fontId="7" fillId="17" borderId="13" xfId="0" applyNumberFormat="1" applyFont="1" applyFill="1" applyBorder="1"/>
    <xf numFmtId="164" fontId="0" fillId="13" borderId="13" xfId="0" applyNumberFormat="1" applyFill="1" applyBorder="1"/>
    <xf numFmtId="164" fontId="0" fillId="11" borderId="13" xfId="0" applyNumberFormat="1" applyFill="1" applyBorder="1"/>
    <xf numFmtId="164" fontId="0" fillId="14" borderId="13" xfId="0" applyNumberFormat="1" applyFill="1" applyBorder="1"/>
    <xf numFmtId="164" fontId="0" fillId="15" borderId="13" xfId="0" applyNumberFormat="1" applyFill="1" applyBorder="1"/>
    <xf numFmtId="164" fontId="0" fillId="16" borderId="15" xfId="0" applyNumberFormat="1" applyFill="1" applyBorder="1"/>
    <xf numFmtId="164" fontId="0" fillId="17" borderId="13" xfId="0" applyNumberFormat="1" applyFill="1" applyBorder="1"/>
    <xf numFmtId="0" fontId="7" fillId="13" borderId="13" xfId="0" applyFont="1" applyFill="1" applyBorder="1"/>
    <xf numFmtId="0" fontId="7" fillId="11" borderId="14" xfId="0" applyFont="1" applyFill="1" applyBorder="1"/>
    <xf numFmtId="0" fontId="7" fillId="14" borderId="13" xfId="0" applyFont="1" applyFill="1" applyBorder="1"/>
    <xf numFmtId="0" fontId="7" fillId="16" borderId="13" xfId="0" applyFont="1" applyFill="1" applyBorder="1"/>
    <xf numFmtId="0" fontId="7" fillId="15" borderId="13" xfId="0" applyFont="1" applyFill="1" applyBorder="1"/>
    <xf numFmtId="0" fontId="7" fillId="17" borderId="13" xfId="0" applyFont="1" applyFill="1" applyBorder="1"/>
    <xf numFmtId="0" fontId="0" fillId="13" borderId="13" xfId="0" applyFill="1" applyBorder="1"/>
    <xf numFmtId="0" fontId="0" fillId="11" borderId="13" xfId="0" applyFill="1" applyBorder="1"/>
    <xf numFmtId="0" fontId="0" fillId="14" borderId="14" xfId="0" applyFill="1" applyBorder="1"/>
    <xf numFmtId="0" fontId="0" fillId="15" borderId="13" xfId="0" applyFill="1" applyBorder="1"/>
    <xf numFmtId="0" fontId="0" fillId="16" borderId="13" xfId="0" applyFill="1" applyBorder="1"/>
    <xf numFmtId="0" fontId="0" fillId="13" borderId="6" xfId="0" applyFill="1" applyBorder="1"/>
    <xf numFmtId="0" fontId="0" fillId="11" borderId="6" xfId="0" applyFill="1" applyBorder="1"/>
    <xf numFmtId="0" fontId="0" fillId="14" borderId="6" xfId="0" applyFill="1" applyBorder="1"/>
    <xf numFmtId="0" fontId="0" fillId="15" borderId="6" xfId="0" applyFill="1" applyBorder="1"/>
    <xf numFmtId="0" fontId="0" fillId="17" borderId="6" xfId="0" applyFill="1" applyBorder="1"/>
    <xf numFmtId="0" fontId="0" fillId="16" borderId="6" xfId="0" applyFill="1" applyBorder="1"/>
    <xf numFmtId="0" fontId="0" fillId="0" borderId="0" xfId="0" applyAlignment="1">
      <alignment horizontal="center"/>
    </xf>
    <xf numFmtId="0" fontId="0" fillId="11" borderId="11" xfId="0" applyFill="1" applyBorder="1" applyAlignment="1">
      <alignment horizontal="center"/>
    </xf>
    <xf numFmtId="0" fontId="0" fillId="11" borderId="1" xfId="0" applyFill="1" applyBorder="1" applyAlignment="1">
      <alignment horizontal="center"/>
    </xf>
    <xf numFmtId="0" fontId="0" fillId="0" borderId="13" xfId="0" applyBorder="1" applyAlignment="1">
      <alignment horizontal="right"/>
    </xf>
    <xf numFmtId="0" fontId="0" fillId="0" borderId="14" xfId="0" applyBorder="1" applyAlignment="1">
      <alignment horizontal="right"/>
    </xf>
    <xf numFmtId="0" fontId="0" fillId="0" borderId="15" xfId="0" applyBorder="1" applyAlignment="1">
      <alignment horizontal="right"/>
    </xf>
    <xf numFmtId="0" fontId="0" fillId="15" borderId="0" xfId="0" applyFill="1"/>
    <xf numFmtId="0" fontId="0" fillId="15" borderId="0" xfId="0" applyFill="1" applyBorder="1" applyAlignment="1">
      <alignment horizontal="right"/>
    </xf>
    <xf numFmtId="0" fontId="11" fillId="0" borderId="7" xfId="0" applyFont="1" applyBorder="1" applyAlignment="1">
      <alignment horizontal="center"/>
    </xf>
    <xf numFmtId="0" fontId="11" fillId="0" borderId="9" xfId="0" applyFont="1" applyBorder="1" applyAlignment="1">
      <alignment horizontal="center"/>
    </xf>
    <xf numFmtId="0" fontId="11" fillId="0" borderId="8" xfId="0" applyFont="1" applyBorder="1" applyAlignment="1">
      <alignment horizontal="center"/>
    </xf>
    <xf numFmtId="11" fontId="0" fillId="0" borderId="11" xfId="0" applyNumberFormat="1" applyBorder="1"/>
    <xf numFmtId="11" fontId="0" fillId="0" borderId="8" xfId="0" applyNumberFormat="1" applyBorder="1"/>
    <xf numFmtId="165" fontId="0" fillId="0" borderId="14" xfId="0" applyNumberFormat="1" applyBorder="1"/>
    <xf numFmtId="0" fontId="9" fillId="13" borderId="10" xfId="0" applyFont="1" applyFill="1" applyBorder="1" applyAlignment="1">
      <alignment horizontal="center"/>
    </xf>
    <xf numFmtId="0" fontId="9" fillId="13" borderId="11" xfId="0" applyFont="1" applyFill="1" applyBorder="1" applyAlignment="1">
      <alignment horizontal="center"/>
    </xf>
    <xf numFmtId="0" fontId="9" fillId="13" borderId="12" xfId="0" applyFont="1" applyFill="1" applyBorder="1" applyAlignment="1">
      <alignment horizontal="center"/>
    </xf>
    <xf numFmtId="0" fontId="9" fillId="14" borderId="11" xfId="0" applyFont="1" applyFill="1" applyBorder="1" applyAlignment="1">
      <alignment horizontal="center"/>
    </xf>
    <xf numFmtId="0" fontId="9" fillId="14" borderId="12" xfId="0" applyFont="1" applyFill="1" applyBorder="1" applyAlignment="1">
      <alignment horizontal="center"/>
    </xf>
    <xf numFmtId="1" fontId="0" fillId="0" borderId="15" xfId="0" applyNumberFormat="1" applyBorder="1"/>
    <xf numFmtId="1" fontId="0" fillId="0" borderId="13" xfId="0" applyNumberFormat="1" applyBorder="1"/>
    <xf numFmtId="165" fontId="0" fillId="0" borderId="15" xfId="0" applyNumberFormat="1" applyBorder="1"/>
    <xf numFmtId="2" fontId="0" fillId="0" borderId="2" xfId="0" applyNumberFormat="1" applyBorder="1"/>
    <xf numFmtId="2" fontId="0" fillId="0" borderId="4" xfId="0" applyNumberFormat="1" applyBorder="1"/>
    <xf numFmtId="2" fontId="0" fillId="0" borderId="3" xfId="0" applyNumberFormat="1" applyBorder="1"/>
    <xf numFmtId="2" fontId="0" fillId="0" borderId="5" xfId="0" applyNumberFormat="1" applyBorder="1"/>
    <xf numFmtId="2" fontId="0" fillId="0" borderId="6" xfId="0" applyNumberFormat="1" applyBorder="1"/>
    <xf numFmtId="2" fontId="0" fillId="0" borderId="7" xfId="0" applyNumberFormat="1" applyBorder="1"/>
    <xf numFmtId="2" fontId="0" fillId="0" borderId="9" xfId="0" applyNumberFormat="1" applyBorder="1"/>
    <xf numFmtId="2" fontId="0" fillId="0" borderId="8" xfId="0" applyNumberFormat="1" applyBorder="1"/>
    <xf numFmtId="1" fontId="0" fillId="0" borderId="3" xfId="0" applyNumberFormat="1" applyBorder="1"/>
    <xf numFmtId="1" fontId="0" fillId="0" borderId="0" xfId="0" applyNumberFormat="1" applyBorder="1"/>
    <xf numFmtId="1" fontId="0" fillId="0" borderId="8" xfId="0" applyNumberFormat="1" applyBorder="1"/>
    <xf numFmtId="2" fontId="0" fillId="0" borderId="0" xfId="0" applyNumberFormat="1"/>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9" fillId="0" borderId="8" xfId="0" applyFont="1" applyBorder="1" applyAlignment="1">
      <alignment horizontal="center"/>
    </xf>
    <xf numFmtId="0" fontId="0" fillId="0" borderId="8" xfId="0" applyBorder="1" applyAlignment="1">
      <alignment horizontal="center"/>
    </xf>
    <xf numFmtId="0" fontId="0" fillId="9" borderId="10" xfId="0" applyFont="1" applyFill="1" applyBorder="1" applyAlignment="1">
      <alignment horizontal="center"/>
    </xf>
    <xf numFmtId="0" fontId="0" fillId="9" borderId="11" xfId="0" applyFont="1" applyFill="1" applyBorder="1" applyAlignment="1">
      <alignment horizontal="center"/>
    </xf>
    <xf numFmtId="0" fontId="0" fillId="9" borderId="12" xfId="0" applyFont="1" applyFill="1" applyBorder="1" applyAlignment="1">
      <alignment horizontal="center"/>
    </xf>
    <xf numFmtId="0" fontId="0" fillId="2" borderId="2" xfId="0" applyFont="1" applyFill="1" applyBorder="1" applyAlignment="1">
      <alignment horizontal="center"/>
    </xf>
    <xf numFmtId="0" fontId="0" fillId="2" borderId="3" xfId="0" applyFont="1" applyFill="1" applyBorder="1" applyAlignment="1">
      <alignment horizontal="center"/>
    </xf>
    <xf numFmtId="0" fontId="0" fillId="2" borderId="4" xfId="0" applyFont="1" applyFill="1" applyBorder="1" applyAlignment="1">
      <alignment horizontal="center"/>
    </xf>
    <xf numFmtId="0" fontId="8" fillId="10" borderId="2" xfId="0" applyFont="1" applyFill="1" applyBorder="1" applyAlignment="1">
      <alignment horizontal="center"/>
    </xf>
    <xf numFmtId="0" fontId="8" fillId="10" borderId="4" xfId="0" applyFont="1" applyFill="1" applyBorder="1" applyAlignment="1">
      <alignment horizontal="center"/>
    </xf>
    <xf numFmtId="0" fontId="9" fillId="0" borderId="10" xfId="0" applyFont="1" applyBorder="1" applyAlignment="1">
      <alignment horizontal="center"/>
    </xf>
    <xf numFmtId="0" fontId="8" fillId="0" borderId="12" xfId="0" applyFont="1" applyBorder="1" applyAlignment="1">
      <alignment horizontal="center"/>
    </xf>
    <xf numFmtId="0" fontId="8" fillId="0" borderId="5" xfId="0" applyFont="1" applyBorder="1" applyAlignment="1">
      <alignment horizontal="center"/>
    </xf>
    <xf numFmtId="0" fontId="8" fillId="0" borderId="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0" fontId="8" fillId="0" borderId="8" xfId="0" applyFont="1" applyBorder="1" applyAlignment="1">
      <alignment horizontal="center"/>
    </xf>
    <xf numFmtId="0" fontId="3" fillId="0" borderId="0" xfId="0" applyFont="1" applyAlignment="1">
      <alignment horizontal="center"/>
    </xf>
    <xf numFmtId="0" fontId="3" fillId="0" borderId="0" xfId="0" applyFont="1" applyBorder="1" applyAlignment="1">
      <alignment horizontal="center"/>
    </xf>
    <xf numFmtId="0" fontId="0" fillId="0" borderId="0" xfId="0" applyAlignment="1">
      <alignment horizontal="center"/>
    </xf>
    <xf numFmtId="0" fontId="10" fillId="0" borderId="8" xfId="0" applyFont="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4" fillId="0" borderId="8" xfId="0" applyFont="1" applyBorder="1" applyAlignment="1">
      <alignment horizontal="center"/>
    </xf>
    <xf numFmtId="0" fontId="0" fillId="13" borderId="2" xfId="0" applyFill="1" applyBorder="1" applyAlignment="1">
      <alignment horizontal="center"/>
    </xf>
    <xf numFmtId="0" fontId="0" fillId="13" borderId="3" xfId="0" applyFill="1" applyBorder="1" applyAlignment="1">
      <alignment horizontal="center"/>
    </xf>
    <xf numFmtId="0" fontId="0" fillId="13" borderId="4" xfId="0" applyFill="1" applyBorder="1" applyAlignment="1">
      <alignment horizontal="center"/>
    </xf>
    <xf numFmtId="0" fontId="0" fillId="15" borderId="10" xfId="0" applyFill="1" applyBorder="1" applyAlignment="1">
      <alignment horizontal="center"/>
    </xf>
    <xf numFmtId="0" fontId="0" fillId="15" borderId="11" xfId="0" applyFill="1" applyBorder="1" applyAlignment="1">
      <alignment horizontal="center"/>
    </xf>
    <xf numFmtId="0" fontId="0" fillId="15" borderId="12" xfId="0" applyFill="1" applyBorder="1" applyAlignment="1">
      <alignment horizontal="center"/>
    </xf>
    <xf numFmtId="0" fontId="9" fillId="13" borderId="10" xfId="0" applyFont="1" applyFill="1" applyBorder="1" applyAlignment="1">
      <alignment horizontal="center"/>
    </xf>
    <xf numFmtId="0" fontId="9" fillId="13" borderId="11" xfId="0" applyFont="1" applyFill="1" applyBorder="1" applyAlignment="1">
      <alignment horizontal="center"/>
    </xf>
    <xf numFmtId="0" fontId="9" fillId="13" borderId="12" xfId="0" applyFont="1" applyFill="1" applyBorder="1" applyAlignment="1">
      <alignment horizontal="center"/>
    </xf>
    <xf numFmtId="0" fontId="9" fillId="14" borderId="11" xfId="0" applyFont="1" applyFill="1" applyBorder="1" applyAlignment="1">
      <alignment horizontal="center"/>
    </xf>
    <xf numFmtId="0" fontId="9" fillId="14" borderId="1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'benchmark-execution'!$M$54</c:f>
              <c:strCache>
                <c:ptCount val="1"/>
                <c:pt idx="0">
                  <c:v>Predicate-based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'benchmark-execution'!$N$53:$AE$53</c:f>
              <c:numCache>
                <c:formatCode>General</c:formatCode>
                <c:ptCount val="18"/>
                <c:pt idx="0">
                  <c:v>354</c:v>
                </c:pt>
                <c:pt idx="1">
                  <c:v>964</c:v>
                </c:pt>
                <c:pt idx="2">
                  <c:v>1541</c:v>
                </c:pt>
                <c:pt idx="3">
                  <c:v>1752</c:v>
                </c:pt>
                <c:pt idx="4">
                  <c:v>1815</c:v>
                </c:pt>
                <c:pt idx="5">
                  <c:v>2230</c:v>
                </c:pt>
                <c:pt idx="6">
                  <c:v>2234</c:v>
                </c:pt>
                <c:pt idx="7">
                  <c:v>2235</c:v>
                </c:pt>
                <c:pt idx="8">
                  <c:v>2352</c:v>
                </c:pt>
                <c:pt idx="9">
                  <c:v>2436</c:v>
                </c:pt>
                <c:pt idx="10">
                  <c:v>2574</c:v>
                </c:pt>
                <c:pt idx="11">
                  <c:v>2577</c:v>
                </c:pt>
                <c:pt idx="12">
                  <c:v>2578</c:v>
                </c:pt>
                <c:pt idx="13">
                  <c:v>2685</c:v>
                </c:pt>
                <c:pt idx="14">
                  <c:v>2824</c:v>
                </c:pt>
                <c:pt idx="15">
                  <c:v>2830</c:v>
                </c:pt>
                <c:pt idx="16">
                  <c:v>2832</c:v>
                </c:pt>
                <c:pt idx="17">
                  <c:v>2873</c:v>
                </c:pt>
              </c:numCache>
            </c:numRef>
          </c:cat>
          <c:val>
            <c:numRef>
              <c:f>'benchmark-execution'!$N$54:$AE$54</c:f>
              <c:numCache>
                <c:formatCode>General</c:formatCode>
                <c:ptCount val="18"/>
                <c:pt idx="0">
                  <c:v>0</c:v>
                </c:pt>
                <c:pt idx="1">
                  <c:v>199.63318333333333</c:v>
                </c:pt>
                <c:pt idx="2">
                  <c:v>0.18946666666666667</c:v>
                </c:pt>
                <c:pt idx="3">
                  <c:v>0</c:v>
                </c:pt>
                <c:pt idx="4">
                  <c:v>240.13353333333333</c:v>
                </c:pt>
                <c:pt idx="5">
                  <c:v>0</c:v>
                </c:pt>
                <c:pt idx="6">
                  <c:v>0</c:v>
                </c:pt>
                <c:pt idx="7">
                  <c:v>0</c:v>
                </c:pt>
                <c:pt idx="8">
                  <c:v>0</c:v>
                </c:pt>
                <c:pt idx="9">
                  <c:v>124.44791666666667</c:v>
                </c:pt>
                <c:pt idx="10">
                  <c:v>0</c:v>
                </c:pt>
                <c:pt idx="11">
                  <c:v>0</c:v>
                </c:pt>
                <c:pt idx="12">
                  <c:v>0</c:v>
                </c:pt>
                <c:pt idx="13">
                  <c:v>0</c:v>
                </c:pt>
                <c:pt idx="14">
                  <c:v>0</c:v>
                </c:pt>
                <c:pt idx="15">
                  <c:v>0</c:v>
                </c:pt>
                <c:pt idx="16">
                  <c:v>0</c:v>
                </c:pt>
                <c:pt idx="17">
                  <c:v>0</c:v>
                </c:pt>
              </c:numCache>
            </c:numRef>
          </c:val>
          <c:smooth val="0"/>
        </c:ser>
        <c:ser>
          <c:idx val="1"/>
          <c:order val="1"/>
          <c:tx>
            <c:strRef>
              <c:f>'benchmark-execution'!$M$55</c:f>
              <c:strCache>
                <c:ptCount val="1"/>
                <c:pt idx="0">
                  <c:v>Subject-based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'benchmark-execution'!$N$53:$AE$53</c:f>
              <c:numCache>
                <c:formatCode>General</c:formatCode>
                <c:ptCount val="18"/>
                <c:pt idx="0">
                  <c:v>354</c:v>
                </c:pt>
                <c:pt idx="1">
                  <c:v>964</c:v>
                </c:pt>
                <c:pt idx="2">
                  <c:v>1541</c:v>
                </c:pt>
                <c:pt idx="3">
                  <c:v>1752</c:v>
                </c:pt>
                <c:pt idx="4">
                  <c:v>1815</c:v>
                </c:pt>
                <c:pt idx="5">
                  <c:v>2230</c:v>
                </c:pt>
                <c:pt idx="6">
                  <c:v>2234</c:v>
                </c:pt>
                <c:pt idx="7">
                  <c:v>2235</c:v>
                </c:pt>
                <c:pt idx="8">
                  <c:v>2352</c:v>
                </c:pt>
                <c:pt idx="9">
                  <c:v>2436</c:v>
                </c:pt>
                <c:pt idx="10">
                  <c:v>2574</c:v>
                </c:pt>
                <c:pt idx="11">
                  <c:v>2577</c:v>
                </c:pt>
                <c:pt idx="12">
                  <c:v>2578</c:v>
                </c:pt>
                <c:pt idx="13">
                  <c:v>2685</c:v>
                </c:pt>
                <c:pt idx="14">
                  <c:v>2824</c:v>
                </c:pt>
                <c:pt idx="15">
                  <c:v>2830</c:v>
                </c:pt>
                <c:pt idx="16">
                  <c:v>2832</c:v>
                </c:pt>
                <c:pt idx="17">
                  <c:v>2873</c:v>
                </c:pt>
              </c:numCache>
            </c:numRef>
          </c:cat>
          <c:val>
            <c:numRef>
              <c:f>'benchmark-execution'!$N$55:$AE$55</c:f>
              <c:numCache>
                <c:formatCode>General</c:formatCode>
                <c:ptCount val="18"/>
                <c:pt idx="0">
                  <c:v>0.33441666666666664</c:v>
                </c:pt>
                <c:pt idx="1">
                  <c:v>0</c:v>
                </c:pt>
                <c:pt idx="2">
                  <c:v>0</c:v>
                </c:pt>
                <c:pt idx="3">
                  <c:v>0</c:v>
                </c:pt>
                <c:pt idx="4">
                  <c:v>0</c:v>
                </c:pt>
                <c:pt idx="5">
                  <c:v>0</c:v>
                </c:pt>
                <c:pt idx="6">
                  <c:v>132.6353</c:v>
                </c:pt>
                <c:pt idx="7">
                  <c:v>0</c:v>
                </c:pt>
                <c:pt idx="8">
                  <c:v>0</c:v>
                </c:pt>
                <c:pt idx="9">
                  <c:v>0</c:v>
                </c:pt>
                <c:pt idx="10">
                  <c:v>0</c:v>
                </c:pt>
                <c:pt idx="11">
                  <c:v>0</c:v>
                </c:pt>
                <c:pt idx="12">
                  <c:v>92.440349999999995</c:v>
                </c:pt>
                <c:pt idx="13">
                  <c:v>0</c:v>
                </c:pt>
                <c:pt idx="14">
                  <c:v>0</c:v>
                </c:pt>
                <c:pt idx="15">
                  <c:v>251.74571666666668</c:v>
                </c:pt>
                <c:pt idx="16">
                  <c:v>0</c:v>
                </c:pt>
                <c:pt idx="17">
                  <c:v>0</c:v>
                </c:pt>
              </c:numCache>
            </c:numRef>
          </c:val>
          <c:smooth val="0"/>
        </c:ser>
        <c:ser>
          <c:idx val="2"/>
          <c:order val="2"/>
          <c:tx>
            <c:strRef>
              <c:f>'benchmark-execution'!$M$56</c:f>
              <c:strCache>
                <c:ptCount val="1"/>
                <c:pt idx="0">
                  <c:v>Hierarchical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'benchmark-execution'!$N$53:$AE$53</c:f>
              <c:numCache>
                <c:formatCode>General</c:formatCode>
                <c:ptCount val="18"/>
                <c:pt idx="0">
                  <c:v>354</c:v>
                </c:pt>
                <c:pt idx="1">
                  <c:v>964</c:v>
                </c:pt>
                <c:pt idx="2">
                  <c:v>1541</c:v>
                </c:pt>
                <c:pt idx="3">
                  <c:v>1752</c:v>
                </c:pt>
                <c:pt idx="4">
                  <c:v>1815</c:v>
                </c:pt>
                <c:pt idx="5">
                  <c:v>2230</c:v>
                </c:pt>
                <c:pt idx="6">
                  <c:v>2234</c:v>
                </c:pt>
                <c:pt idx="7">
                  <c:v>2235</c:v>
                </c:pt>
                <c:pt idx="8">
                  <c:v>2352</c:v>
                </c:pt>
                <c:pt idx="9">
                  <c:v>2436</c:v>
                </c:pt>
                <c:pt idx="10">
                  <c:v>2574</c:v>
                </c:pt>
                <c:pt idx="11">
                  <c:v>2577</c:v>
                </c:pt>
                <c:pt idx="12">
                  <c:v>2578</c:v>
                </c:pt>
                <c:pt idx="13">
                  <c:v>2685</c:v>
                </c:pt>
                <c:pt idx="14">
                  <c:v>2824</c:v>
                </c:pt>
                <c:pt idx="15">
                  <c:v>2830</c:v>
                </c:pt>
                <c:pt idx="16">
                  <c:v>2832</c:v>
                </c:pt>
                <c:pt idx="17">
                  <c:v>2873</c:v>
                </c:pt>
              </c:numCache>
            </c:numRef>
          </c:cat>
          <c:val>
            <c:numRef>
              <c:f>'benchmark-execution'!$N$56:$AE$56</c:f>
              <c:numCache>
                <c:formatCode>General</c:formatCode>
                <c:ptCount val="18"/>
                <c:pt idx="0">
                  <c:v>0.34705000000000003</c:v>
                </c:pt>
                <c:pt idx="1">
                  <c:v>0</c:v>
                </c:pt>
                <c:pt idx="2">
                  <c:v>0</c:v>
                </c:pt>
                <c:pt idx="3">
                  <c:v>0</c:v>
                </c:pt>
                <c:pt idx="4">
                  <c:v>0</c:v>
                </c:pt>
                <c:pt idx="5">
                  <c:v>0</c:v>
                </c:pt>
                <c:pt idx="6">
                  <c:v>0</c:v>
                </c:pt>
                <c:pt idx="7">
                  <c:v>131.54705000000001</c:v>
                </c:pt>
                <c:pt idx="8">
                  <c:v>0</c:v>
                </c:pt>
                <c:pt idx="9">
                  <c:v>0</c:v>
                </c:pt>
                <c:pt idx="10">
                  <c:v>0</c:v>
                </c:pt>
                <c:pt idx="11">
                  <c:v>104.10083333333333</c:v>
                </c:pt>
                <c:pt idx="12">
                  <c:v>0</c:v>
                </c:pt>
                <c:pt idx="13">
                  <c:v>0</c:v>
                </c:pt>
                <c:pt idx="14">
                  <c:v>0</c:v>
                </c:pt>
                <c:pt idx="15">
                  <c:v>0</c:v>
                </c:pt>
                <c:pt idx="16">
                  <c:v>245.12985</c:v>
                </c:pt>
                <c:pt idx="17">
                  <c:v>0</c:v>
                </c:pt>
              </c:numCache>
            </c:numRef>
          </c:val>
          <c:smooth val="0"/>
        </c:ser>
        <c:ser>
          <c:idx val="3"/>
          <c:order val="3"/>
          <c:tx>
            <c:strRef>
              <c:f>'benchmark-execution'!$M$57</c:f>
              <c:strCache>
                <c:ptCount val="1"/>
                <c:pt idx="0">
                  <c:v>Horizental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'benchmark-execution'!$N$53:$AE$53</c:f>
              <c:numCache>
                <c:formatCode>General</c:formatCode>
                <c:ptCount val="18"/>
                <c:pt idx="0">
                  <c:v>354</c:v>
                </c:pt>
                <c:pt idx="1">
                  <c:v>964</c:v>
                </c:pt>
                <c:pt idx="2">
                  <c:v>1541</c:v>
                </c:pt>
                <c:pt idx="3">
                  <c:v>1752</c:v>
                </c:pt>
                <c:pt idx="4">
                  <c:v>1815</c:v>
                </c:pt>
                <c:pt idx="5">
                  <c:v>2230</c:v>
                </c:pt>
                <c:pt idx="6">
                  <c:v>2234</c:v>
                </c:pt>
                <c:pt idx="7">
                  <c:v>2235</c:v>
                </c:pt>
                <c:pt idx="8">
                  <c:v>2352</c:v>
                </c:pt>
                <c:pt idx="9">
                  <c:v>2436</c:v>
                </c:pt>
                <c:pt idx="10">
                  <c:v>2574</c:v>
                </c:pt>
                <c:pt idx="11">
                  <c:v>2577</c:v>
                </c:pt>
                <c:pt idx="12">
                  <c:v>2578</c:v>
                </c:pt>
                <c:pt idx="13">
                  <c:v>2685</c:v>
                </c:pt>
                <c:pt idx="14">
                  <c:v>2824</c:v>
                </c:pt>
                <c:pt idx="15">
                  <c:v>2830</c:v>
                </c:pt>
                <c:pt idx="16">
                  <c:v>2832</c:v>
                </c:pt>
                <c:pt idx="17">
                  <c:v>2873</c:v>
                </c:pt>
              </c:numCache>
            </c:numRef>
          </c:cat>
          <c:val>
            <c:numRef>
              <c:f>'benchmark-execution'!$N$57:$AE$57</c:f>
              <c:numCache>
                <c:formatCode>General</c:formatCode>
                <c:ptCount val="18"/>
                <c:pt idx="0">
                  <c:v>0</c:v>
                </c:pt>
                <c:pt idx="1">
                  <c:v>0</c:v>
                </c:pt>
                <c:pt idx="2">
                  <c:v>0</c:v>
                </c:pt>
                <c:pt idx="3">
                  <c:v>0.28548333333333331</c:v>
                </c:pt>
                <c:pt idx="4">
                  <c:v>0</c:v>
                </c:pt>
                <c:pt idx="5">
                  <c:v>0</c:v>
                </c:pt>
                <c:pt idx="6">
                  <c:v>0</c:v>
                </c:pt>
                <c:pt idx="7">
                  <c:v>0</c:v>
                </c:pt>
                <c:pt idx="8">
                  <c:v>138.12426666666667</c:v>
                </c:pt>
                <c:pt idx="9">
                  <c:v>0</c:v>
                </c:pt>
                <c:pt idx="10">
                  <c:v>0</c:v>
                </c:pt>
                <c:pt idx="11">
                  <c:v>0</c:v>
                </c:pt>
                <c:pt idx="12">
                  <c:v>0</c:v>
                </c:pt>
                <c:pt idx="13">
                  <c:v>56.13001666666667</c:v>
                </c:pt>
                <c:pt idx="14">
                  <c:v>0</c:v>
                </c:pt>
                <c:pt idx="15">
                  <c:v>0</c:v>
                </c:pt>
                <c:pt idx="16">
                  <c:v>0</c:v>
                </c:pt>
                <c:pt idx="17">
                  <c:v>247.77146666666667</c:v>
                </c:pt>
              </c:numCache>
            </c:numRef>
          </c:val>
          <c:smooth val="0"/>
        </c:ser>
        <c:dLbls>
          <c:showLegendKey val="0"/>
          <c:showVal val="0"/>
          <c:showCatName val="0"/>
          <c:showSerName val="0"/>
          <c:showPercent val="0"/>
          <c:showBubbleSize val="0"/>
        </c:dLbls>
        <c:marker val="1"/>
        <c:smooth val="0"/>
        <c:axId val="1632011680"/>
        <c:axId val="1796781248"/>
      </c:lineChart>
      <c:catAx>
        <c:axId val="163201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781248"/>
        <c:crosses val="autoZero"/>
        <c:auto val="1"/>
        <c:lblAlgn val="ctr"/>
        <c:lblOffset val="100"/>
        <c:noMultiLvlLbl val="0"/>
      </c:catAx>
      <c:valAx>
        <c:axId val="179678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0116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'partition time'!$C$21</c:f>
              <c:strCache>
                <c:ptCount val="1"/>
                <c:pt idx="0">
                  <c:v>SWDF</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'partition time'!$B$22:$B$28</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time'!$C$22:$C$28</c:f>
              <c:numCache>
                <c:formatCode>0</c:formatCode>
                <c:ptCount val="7"/>
                <c:pt idx="0">
                  <c:v>40</c:v>
                </c:pt>
                <c:pt idx="1">
                  <c:v>40</c:v>
                </c:pt>
                <c:pt idx="2">
                  <c:v>40</c:v>
                </c:pt>
                <c:pt idx="3">
                  <c:v>45</c:v>
                </c:pt>
                <c:pt idx="4">
                  <c:v>50</c:v>
                </c:pt>
                <c:pt idx="5">
                  <c:v>55</c:v>
                </c:pt>
                <c:pt idx="6">
                  <c:v>50</c:v>
                </c:pt>
              </c:numCache>
            </c:numRef>
          </c:val>
        </c:ser>
        <c:ser>
          <c:idx val="1"/>
          <c:order val="1"/>
          <c:tx>
            <c:strRef>
              <c:f>'partition time'!$D$21</c:f>
              <c:strCache>
                <c:ptCount val="1"/>
                <c:pt idx="0">
                  <c:v>DBpedia</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'partition time'!$B$22:$B$28</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time'!$D$22:$D$28</c:f>
              <c:numCache>
                <c:formatCode>0</c:formatCode>
                <c:ptCount val="7"/>
                <c:pt idx="0">
                  <c:v>35112</c:v>
                </c:pt>
                <c:pt idx="1">
                  <c:v>34994</c:v>
                </c:pt>
                <c:pt idx="2">
                  <c:v>36118</c:v>
                </c:pt>
                <c:pt idx="3">
                  <c:v>21183</c:v>
                </c:pt>
                <c:pt idx="4">
                  <c:v>70210</c:v>
                </c:pt>
                <c:pt idx="5">
                  <c:v>70289</c:v>
                </c:pt>
                <c:pt idx="6">
                  <c:v>70266</c:v>
                </c:pt>
              </c:numCache>
            </c:numRef>
          </c:val>
        </c:ser>
        <c:dLbls>
          <c:dLblPos val="ctr"/>
          <c:showLegendKey val="0"/>
          <c:showVal val="1"/>
          <c:showCatName val="0"/>
          <c:showSerName val="0"/>
          <c:showPercent val="0"/>
          <c:showBubbleSize val="0"/>
        </c:dLbls>
        <c:gapWidth val="150"/>
        <c:overlap val="100"/>
        <c:axId val="1835570160"/>
        <c:axId val="1835570704"/>
      </c:barChart>
      <c:catAx>
        <c:axId val="18355701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35570704"/>
        <c:crossesAt val="0.1"/>
        <c:auto val="1"/>
        <c:lblAlgn val="ctr"/>
        <c:lblOffset val="100"/>
        <c:noMultiLvlLbl val="0"/>
      </c:catAx>
      <c:valAx>
        <c:axId val="1835570704"/>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baseline="0">
                    <a:solidFill>
                      <a:sysClr val="windowText" lastClr="000000"/>
                    </a:solidFill>
                    <a:effectLst/>
                  </a:rPr>
                  <a:t>Partitioning time in sec </a:t>
                </a:r>
              </a:p>
              <a:p>
                <a:pPr>
                  <a:defRPr/>
                </a:pPr>
                <a:r>
                  <a:rPr lang="en-US" sz="1000" b="1" i="0" baseline="0">
                    <a:solidFill>
                      <a:sysClr val="windowText" lastClr="000000"/>
                    </a:solidFill>
                    <a:effectLst/>
                  </a:rPr>
                  <a:t>(log scale)</a:t>
                </a:r>
                <a:endParaRPr lang="en-US" sz="1000">
                  <a:solidFill>
                    <a:sysClr val="windowText" lastClr="000000"/>
                  </a:solidFill>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355701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'partition time'!$B$4</c:f>
              <c:strCache>
                <c:ptCount val="1"/>
                <c:pt idx="0">
                  <c:v>Predicate-based</c:v>
                </c:pt>
              </c:strCache>
            </c:strRef>
          </c:tx>
          <c:spPr>
            <a:solidFill>
              <a:schemeClr val="accent1"/>
            </a:solidFill>
            <a:ln>
              <a:noFill/>
            </a:ln>
            <a:effectLst/>
          </c:spPr>
          <c:invertIfNegative val="0"/>
          <c:cat>
            <c:multiLvlStrRef>
              <c:f>'partition time'!$C$2:$I$3</c:f>
              <c:multiLvlStrCache>
                <c:ptCount val="7"/>
                <c:lvl>
                  <c:pt idx="0">
                    <c:v>SWDF BGP-only</c:v>
                  </c:pt>
                  <c:pt idx="1">
                    <c:v>SWDF fully-featured</c:v>
                  </c:pt>
                  <c:pt idx="2">
                    <c:v>SWDF BGP-only</c:v>
                  </c:pt>
                  <c:pt idx="3">
                    <c:v>SWDF fully-featured</c:v>
                  </c:pt>
                  <c:pt idx="4">
                    <c:v>SWDF BGP-only</c:v>
                  </c:pt>
                  <c:pt idx="5">
                    <c:v>SWDF fully-featured</c:v>
                  </c:pt>
                </c:lvl>
                <c:lvl>
                  <c:pt idx="0">
                    <c:v>SWDF</c:v>
                  </c:pt>
                  <c:pt idx="2">
                    <c:v>DBpedia</c:v>
                  </c:pt>
                  <c:pt idx="4">
                    <c:v>Combined (600 queries)</c:v>
                  </c:pt>
                  <c:pt idx="6">
                    <c:v>Overall (1200 queries)</c:v>
                  </c:pt>
                </c:lvl>
              </c:multiLvlStrCache>
            </c:multiLvlStrRef>
          </c:cat>
          <c:val>
            <c:numRef>
              <c:f>'partition time'!$C$4:$I$4</c:f>
              <c:numCache>
                <c:formatCode>General</c:formatCode>
                <c:ptCount val="7"/>
                <c:pt idx="0">
                  <c:v>1541</c:v>
                </c:pt>
                <c:pt idx="1">
                  <c:v>2436</c:v>
                </c:pt>
                <c:pt idx="2">
                  <c:v>964</c:v>
                </c:pt>
                <c:pt idx="3">
                  <c:v>1815</c:v>
                </c:pt>
                <c:pt idx="4">
                  <c:v>2505</c:v>
                </c:pt>
                <c:pt idx="5">
                  <c:v>4251</c:v>
                </c:pt>
                <c:pt idx="6">
                  <c:v>6756</c:v>
                </c:pt>
              </c:numCache>
            </c:numRef>
          </c:val>
        </c:ser>
        <c:ser>
          <c:idx val="1"/>
          <c:order val="1"/>
          <c:tx>
            <c:strRef>
              <c:f>'partition time'!$B$5</c:f>
              <c:strCache>
                <c:ptCount val="1"/>
                <c:pt idx="0">
                  <c:v>Subject-based</c:v>
                </c:pt>
              </c:strCache>
            </c:strRef>
          </c:tx>
          <c:spPr>
            <a:solidFill>
              <a:schemeClr val="accent2"/>
            </a:solidFill>
            <a:ln>
              <a:noFill/>
            </a:ln>
            <a:effectLst/>
          </c:spPr>
          <c:invertIfNegative val="0"/>
          <c:cat>
            <c:multiLvlStrRef>
              <c:f>'partition time'!$C$2:$I$3</c:f>
              <c:multiLvlStrCache>
                <c:ptCount val="7"/>
                <c:lvl>
                  <c:pt idx="0">
                    <c:v>SWDF BGP-only</c:v>
                  </c:pt>
                  <c:pt idx="1">
                    <c:v>SWDF fully-featured</c:v>
                  </c:pt>
                  <c:pt idx="2">
                    <c:v>SWDF BGP-only</c:v>
                  </c:pt>
                  <c:pt idx="3">
                    <c:v>SWDF fully-featured</c:v>
                  </c:pt>
                  <c:pt idx="4">
                    <c:v>SWDF BGP-only</c:v>
                  </c:pt>
                  <c:pt idx="5">
                    <c:v>SWDF fully-featured</c:v>
                  </c:pt>
                </c:lvl>
                <c:lvl>
                  <c:pt idx="0">
                    <c:v>SWDF</c:v>
                  </c:pt>
                  <c:pt idx="2">
                    <c:v>DBpedia</c:v>
                  </c:pt>
                  <c:pt idx="4">
                    <c:v>Combined (600 queries)</c:v>
                  </c:pt>
                  <c:pt idx="6">
                    <c:v>Overall (1200 queries)</c:v>
                  </c:pt>
                </c:lvl>
              </c:multiLvlStrCache>
            </c:multiLvlStrRef>
          </c:cat>
          <c:val>
            <c:numRef>
              <c:f>'partition time'!$C$5:$I$5</c:f>
              <c:numCache>
                <c:formatCode>General</c:formatCode>
                <c:ptCount val="7"/>
                <c:pt idx="0">
                  <c:v>354</c:v>
                </c:pt>
                <c:pt idx="1">
                  <c:v>2578</c:v>
                </c:pt>
                <c:pt idx="2">
                  <c:v>2234</c:v>
                </c:pt>
                <c:pt idx="3">
                  <c:v>2830</c:v>
                </c:pt>
                <c:pt idx="4">
                  <c:v>2588</c:v>
                </c:pt>
                <c:pt idx="5">
                  <c:v>5408</c:v>
                </c:pt>
                <c:pt idx="6">
                  <c:v>7996</c:v>
                </c:pt>
              </c:numCache>
            </c:numRef>
          </c:val>
        </c:ser>
        <c:ser>
          <c:idx val="2"/>
          <c:order val="2"/>
          <c:tx>
            <c:strRef>
              <c:f>'partition time'!$B$6</c:f>
              <c:strCache>
                <c:ptCount val="1"/>
                <c:pt idx="0">
                  <c:v>Hierarchical</c:v>
                </c:pt>
              </c:strCache>
            </c:strRef>
          </c:tx>
          <c:spPr>
            <a:solidFill>
              <a:schemeClr val="accent3"/>
            </a:solidFill>
            <a:ln>
              <a:noFill/>
            </a:ln>
            <a:effectLst/>
          </c:spPr>
          <c:invertIfNegative val="0"/>
          <c:cat>
            <c:multiLvlStrRef>
              <c:f>'partition time'!$C$2:$I$3</c:f>
              <c:multiLvlStrCache>
                <c:ptCount val="7"/>
                <c:lvl>
                  <c:pt idx="0">
                    <c:v>SWDF BGP-only</c:v>
                  </c:pt>
                  <c:pt idx="1">
                    <c:v>SWDF fully-featured</c:v>
                  </c:pt>
                  <c:pt idx="2">
                    <c:v>SWDF BGP-only</c:v>
                  </c:pt>
                  <c:pt idx="3">
                    <c:v>SWDF fully-featured</c:v>
                  </c:pt>
                  <c:pt idx="4">
                    <c:v>SWDF BGP-only</c:v>
                  </c:pt>
                  <c:pt idx="5">
                    <c:v>SWDF fully-featured</c:v>
                  </c:pt>
                </c:lvl>
                <c:lvl>
                  <c:pt idx="0">
                    <c:v>SWDF</c:v>
                  </c:pt>
                  <c:pt idx="2">
                    <c:v>DBpedia</c:v>
                  </c:pt>
                  <c:pt idx="4">
                    <c:v>Combined (600 queries)</c:v>
                  </c:pt>
                  <c:pt idx="6">
                    <c:v>Overall (1200 queries)</c:v>
                  </c:pt>
                </c:lvl>
              </c:multiLvlStrCache>
            </c:multiLvlStrRef>
          </c:cat>
          <c:val>
            <c:numRef>
              <c:f>'partition time'!$C$6:$I$6</c:f>
              <c:numCache>
                <c:formatCode>General</c:formatCode>
                <c:ptCount val="7"/>
                <c:pt idx="0">
                  <c:v>354</c:v>
                </c:pt>
                <c:pt idx="1">
                  <c:v>2577</c:v>
                </c:pt>
                <c:pt idx="2">
                  <c:v>2235</c:v>
                </c:pt>
                <c:pt idx="3">
                  <c:v>2832</c:v>
                </c:pt>
                <c:pt idx="4">
                  <c:v>2589</c:v>
                </c:pt>
                <c:pt idx="5">
                  <c:v>5409</c:v>
                </c:pt>
                <c:pt idx="6">
                  <c:v>7998</c:v>
                </c:pt>
              </c:numCache>
            </c:numRef>
          </c:val>
        </c:ser>
        <c:ser>
          <c:idx val="3"/>
          <c:order val="3"/>
          <c:tx>
            <c:strRef>
              <c:f>'partition time'!$B$7</c:f>
              <c:strCache>
                <c:ptCount val="1"/>
                <c:pt idx="0">
                  <c:v>Horizontal </c:v>
                </c:pt>
              </c:strCache>
            </c:strRef>
          </c:tx>
          <c:spPr>
            <a:solidFill>
              <a:schemeClr val="accent4"/>
            </a:solidFill>
            <a:ln>
              <a:noFill/>
            </a:ln>
            <a:effectLst/>
          </c:spPr>
          <c:invertIfNegative val="0"/>
          <c:cat>
            <c:multiLvlStrRef>
              <c:f>'partition time'!$C$2:$I$3</c:f>
              <c:multiLvlStrCache>
                <c:ptCount val="7"/>
                <c:lvl>
                  <c:pt idx="0">
                    <c:v>SWDF BGP-only</c:v>
                  </c:pt>
                  <c:pt idx="1">
                    <c:v>SWDF fully-featured</c:v>
                  </c:pt>
                  <c:pt idx="2">
                    <c:v>SWDF BGP-only</c:v>
                  </c:pt>
                  <c:pt idx="3">
                    <c:v>SWDF fully-featured</c:v>
                  </c:pt>
                  <c:pt idx="4">
                    <c:v>SWDF BGP-only</c:v>
                  </c:pt>
                  <c:pt idx="5">
                    <c:v>SWDF fully-featured</c:v>
                  </c:pt>
                </c:lvl>
                <c:lvl>
                  <c:pt idx="0">
                    <c:v>SWDF</c:v>
                  </c:pt>
                  <c:pt idx="2">
                    <c:v>DBpedia</c:v>
                  </c:pt>
                  <c:pt idx="4">
                    <c:v>Combined (600 queries)</c:v>
                  </c:pt>
                  <c:pt idx="6">
                    <c:v>Overall (1200 queries)</c:v>
                  </c:pt>
                </c:lvl>
              </c:multiLvlStrCache>
            </c:multiLvlStrRef>
          </c:cat>
          <c:val>
            <c:numRef>
              <c:f>'partition time'!$C$7:$I$7</c:f>
              <c:numCache>
                <c:formatCode>General</c:formatCode>
                <c:ptCount val="7"/>
                <c:pt idx="0">
                  <c:v>1752</c:v>
                </c:pt>
                <c:pt idx="1">
                  <c:v>2685</c:v>
                </c:pt>
                <c:pt idx="2">
                  <c:v>2352</c:v>
                </c:pt>
                <c:pt idx="3">
                  <c:v>2873</c:v>
                </c:pt>
                <c:pt idx="4">
                  <c:v>4104</c:v>
                </c:pt>
                <c:pt idx="5">
                  <c:v>5558</c:v>
                </c:pt>
                <c:pt idx="6">
                  <c:v>9662</c:v>
                </c:pt>
              </c:numCache>
            </c:numRef>
          </c:val>
        </c:ser>
        <c:ser>
          <c:idx val="4"/>
          <c:order val="4"/>
          <c:tx>
            <c:strRef>
              <c:f>'partition time'!$B$8</c:f>
              <c:strCache>
                <c:ptCount val="1"/>
                <c:pt idx="0">
                  <c:v>TCV-Min</c:v>
                </c:pt>
              </c:strCache>
            </c:strRef>
          </c:tx>
          <c:spPr>
            <a:solidFill>
              <a:schemeClr val="accent5"/>
            </a:solidFill>
            <a:ln>
              <a:noFill/>
            </a:ln>
            <a:effectLst/>
          </c:spPr>
          <c:invertIfNegative val="0"/>
          <c:cat>
            <c:multiLvlStrRef>
              <c:f>'partition time'!$C$2:$I$3</c:f>
              <c:multiLvlStrCache>
                <c:ptCount val="7"/>
                <c:lvl>
                  <c:pt idx="0">
                    <c:v>SWDF BGP-only</c:v>
                  </c:pt>
                  <c:pt idx="1">
                    <c:v>SWDF fully-featured</c:v>
                  </c:pt>
                  <c:pt idx="2">
                    <c:v>SWDF BGP-only</c:v>
                  </c:pt>
                  <c:pt idx="3">
                    <c:v>SWDF fully-featured</c:v>
                  </c:pt>
                  <c:pt idx="4">
                    <c:v>SWDF BGP-only</c:v>
                  </c:pt>
                  <c:pt idx="5">
                    <c:v>SWDF fully-featured</c:v>
                  </c:pt>
                </c:lvl>
                <c:lvl>
                  <c:pt idx="0">
                    <c:v>SWDF</c:v>
                  </c:pt>
                  <c:pt idx="2">
                    <c:v>DBpedia</c:v>
                  </c:pt>
                  <c:pt idx="4">
                    <c:v>Combined (600 queries)</c:v>
                  </c:pt>
                  <c:pt idx="6">
                    <c:v>Overall (1200 queries)</c:v>
                  </c:pt>
                </c:lvl>
              </c:multiLvlStrCache>
            </c:multiLvlStrRef>
          </c:cat>
          <c:val>
            <c:numRef>
              <c:f>'partition time'!$C$8:$I$8</c:f>
              <c:numCache>
                <c:formatCode>General</c:formatCode>
                <c:ptCount val="7"/>
                <c:pt idx="0">
                  <c:v>354</c:v>
                </c:pt>
                <c:pt idx="1">
                  <c:v>2576</c:v>
                </c:pt>
                <c:pt idx="2">
                  <c:v>2230</c:v>
                </c:pt>
                <c:pt idx="3">
                  <c:v>2825</c:v>
                </c:pt>
                <c:pt idx="4">
                  <c:v>2584</c:v>
                </c:pt>
                <c:pt idx="5">
                  <c:v>5401</c:v>
                </c:pt>
                <c:pt idx="6">
                  <c:v>7985</c:v>
                </c:pt>
              </c:numCache>
            </c:numRef>
          </c:val>
        </c:ser>
        <c:ser>
          <c:idx val="5"/>
          <c:order val="5"/>
          <c:tx>
            <c:strRef>
              <c:f>'partition time'!$B$9</c:f>
              <c:strCache>
                <c:ptCount val="1"/>
                <c:pt idx="0">
                  <c:v>Min-Edgecut</c:v>
                </c:pt>
              </c:strCache>
            </c:strRef>
          </c:tx>
          <c:spPr>
            <a:solidFill>
              <a:schemeClr val="accent6"/>
            </a:solidFill>
            <a:ln>
              <a:noFill/>
            </a:ln>
            <a:effectLst/>
          </c:spPr>
          <c:invertIfNegative val="0"/>
          <c:cat>
            <c:multiLvlStrRef>
              <c:f>'partition time'!$C$2:$I$3</c:f>
              <c:multiLvlStrCache>
                <c:ptCount val="7"/>
                <c:lvl>
                  <c:pt idx="0">
                    <c:v>SWDF BGP-only</c:v>
                  </c:pt>
                  <c:pt idx="1">
                    <c:v>SWDF fully-featured</c:v>
                  </c:pt>
                  <c:pt idx="2">
                    <c:v>SWDF BGP-only</c:v>
                  </c:pt>
                  <c:pt idx="3">
                    <c:v>SWDF fully-featured</c:v>
                  </c:pt>
                  <c:pt idx="4">
                    <c:v>SWDF BGP-only</c:v>
                  </c:pt>
                  <c:pt idx="5">
                    <c:v>SWDF fully-featured</c:v>
                  </c:pt>
                </c:lvl>
                <c:lvl>
                  <c:pt idx="0">
                    <c:v>SWDF</c:v>
                  </c:pt>
                  <c:pt idx="2">
                    <c:v>DBpedia</c:v>
                  </c:pt>
                  <c:pt idx="4">
                    <c:v>Combined (600 queries)</c:v>
                  </c:pt>
                  <c:pt idx="6">
                    <c:v>Overall (1200 queries)</c:v>
                  </c:pt>
                </c:lvl>
              </c:multiLvlStrCache>
            </c:multiLvlStrRef>
          </c:cat>
          <c:val>
            <c:numRef>
              <c:f>'partition time'!$C$9:$I$9</c:f>
              <c:numCache>
                <c:formatCode>General</c:formatCode>
                <c:ptCount val="7"/>
                <c:pt idx="0">
                  <c:v>354</c:v>
                </c:pt>
                <c:pt idx="1">
                  <c:v>2574</c:v>
                </c:pt>
                <c:pt idx="2">
                  <c:v>2230</c:v>
                </c:pt>
                <c:pt idx="3">
                  <c:v>2824</c:v>
                </c:pt>
                <c:pt idx="4">
                  <c:v>2584</c:v>
                </c:pt>
                <c:pt idx="5">
                  <c:v>5398</c:v>
                </c:pt>
                <c:pt idx="6">
                  <c:v>7982</c:v>
                </c:pt>
              </c:numCache>
            </c:numRef>
          </c:val>
        </c:ser>
        <c:ser>
          <c:idx val="6"/>
          <c:order val="6"/>
          <c:tx>
            <c:strRef>
              <c:f>'partition time'!$B$10</c:f>
              <c:strCache>
                <c:ptCount val="1"/>
                <c:pt idx="0">
                  <c:v>Recursive-bisection</c:v>
                </c:pt>
              </c:strCache>
            </c:strRef>
          </c:tx>
          <c:spPr>
            <a:solidFill>
              <a:schemeClr val="accent1">
                <a:lumMod val="60000"/>
              </a:schemeClr>
            </a:solidFill>
            <a:ln>
              <a:noFill/>
            </a:ln>
            <a:effectLst/>
          </c:spPr>
          <c:invertIfNegative val="0"/>
          <c:cat>
            <c:multiLvlStrRef>
              <c:f>'partition time'!$C$2:$I$3</c:f>
              <c:multiLvlStrCache>
                <c:ptCount val="7"/>
                <c:lvl>
                  <c:pt idx="0">
                    <c:v>SWDF BGP-only</c:v>
                  </c:pt>
                  <c:pt idx="1">
                    <c:v>SWDF fully-featured</c:v>
                  </c:pt>
                  <c:pt idx="2">
                    <c:v>SWDF BGP-only</c:v>
                  </c:pt>
                  <c:pt idx="3">
                    <c:v>SWDF fully-featured</c:v>
                  </c:pt>
                  <c:pt idx="4">
                    <c:v>SWDF BGP-only</c:v>
                  </c:pt>
                  <c:pt idx="5">
                    <c:v>SWDF fully-featured</c:v>
                  </c:pt>
                </c:lvl>
                <c:lvl>
                  <c:pt idx="0">
                    <c:v>SWDF</c:v>
                  </c:pt>
                  <c:pt idx="2">
                    <c:v>DBpedia</c:v>
                  </c:pt>
                  <c:pt idx="4">
                    <c:v>Combined (600 queries)</c:v>
                  </c:pt>
                  <c:pt idx="6">
                    <c:v>Overall (1200 queries)</c:v>
                  </c:pt>
                </c:lvl>
              </c:multiLvlStrCache>
            </c:multiLvlStrRef>
          </c:cat>
          <c:val>
            <c:numRef>
              <c:f>'partition time'!$C$10:$I$10</c:f>
              <c:numCache>
                <c:formatCode>General</c:formatCode>
                <c:ptCount val="7"/>
                <c:pt idx="0">
                  <c:v>354</c:v>
                </c:pt>
                <c:pt idx="1">
                  <c:v>2577</c:v>
                </c:pt>
                <c:pt idx="2">
                  <c:v>2230</c:v>
                </c:pt>
                <c:pt idx="3">
                  <c:v>2827</c:v>
                </c:pt>
                <c:pt idx="4">
                  <c:v>2584</c:v>
                </c:pt>
                <c:pt idx="5">
                  <c:v>5404</c:v>
                </c:pt>
                <c:pt idx="6">
                  <c:v>7988</c:v>
                </c:pt>
              </c:numCache>
            </c:numRef>
          </c:val>
        </c:ser>
        <c:dLbls>
          <c:showLegendKey val="0"/>
          <c:showVal val="0"/>
          <c:showCatName val="0"/>
          <c:showSerName val="0"/>
          <c:showPercent val="0"/>
          <c:showBubbleSize val="0"/>
        </c:dLbls>
        <c:gapWidth val="219"/>
        <c:overlap val="-27"/>
        <c:axId val="1835567440"/>
        <c:axId val="1835558192"/>
      </c:barChart>
      <c:catAx>
        <c:axId val="183556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35558192"/>
        <c:crosses val="autoZero"/>
        <c:auto val="1"/>
        <c:lblAlgn val="ctr"/>
        <c:lblOffset val="100"/>
        <c:noMultiLvlLbl val="0"/>
      </c:catAx>
      <c:valAx>
        <c:axId val="1835558192"/>
        <c:scaling>
          <c:orientation val="minMax"/>
          <c:max val="1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sz="1000" b="1">
                  <a:solidFill>
                    <a:sysClr val="windowText" lastClr="000000"/>
                  </a:solidFill>
                  <a:effectLst/>
                </a:endParaRPr>
              </a:p>
              <a:p>
                <a:pPr>
                  <a:defRPr/>
                </a:pPr>
                <a:r>
                  <a:rPr lang="en-US" sz="1000" b="1" i="0" baseline="0">
                    <a:solidFill>
                      <a:sysClr val="windowText" lastClr="000000"/>
                    </a:solidFill>
                    <a:effectLst/>
                  </a:rPr>
                  <a:t>Total number of sources selected</a:t>
                </a:r>
                <a:endParaRPr lang="en-US" sz="1000" b="1">
                  <a:solidFill>
                    <a:sysClr val="windowText" lastClr="000000"/>
                  </a:solidFill>
                  <a:effectLst/>
                </a:endParaRPr>
              </a:p>
            </c:rich>
          </c:tx>
          <c:layout>
            <c:manualLayout>
              <c:xMode val="edge"/>
              <c:yMode val="edge"/>
              <c:x val="5.9974583999127303E-3"/>
              <c:y val="0.1519984384539299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355674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0000"/>
              </a:solidFill>
              <a:ln>
                <a:noFill/>
              </a:ln>
              <a:effectLst/>
            </c:spPr>
          </c:dPt>
          <c:dPt>
            <c:idx val="5"/>
            <c:invertIfNegative val="0"/>
            <c:bubble3D val="0"/>
            <c:spPr>
              <a:solidFill>
                <a:srgbClr val="FF0000"/>
              </a:solidFill>
              <a:ln>
                <a:noFill/>
              </a:ln>
              <a:effectLst/>
            </c:spPr>
          </c:dPt>
          <c:dPt>
            <c:idx val="6"/>
            <c:invertIfNegative val="0"/>
            <c:bubble3D val="0"/>
            <c:spPr>
              <a:solidFill>
                <a:srgbClr val="FF0000"/>
              </a:solidFill>
              <a:ln>
                <a:noFill/>
              </a:ln>
              <a:effectLst/>
            </c:spPr>
          </c:dPt>
          <c:dPt>
            <c:idx val="7"/>
            <c:invertIfNegative val="0"/>
            <c:bubble3D val="0"/>
            <c:spPr>
              <a:solidFill>
                <a:srgbClr val="00B050"/>
              </a:solidFill>
              <a:ln>
                <a:noFill/>
              </a:ln>
              <a:effectLst/>
            </c:spPr>
          </c:dPt>
          <c:dPt>
            <c:idx val="8"/>
            <c:invertIfNegative val="0"/>
            <c:bubble3D val="0"/>
            <c:spPr>
              <a:solidFill>
                <a:srgbClr val="00B050"/>
              </a:solidFill>
              <a:ln>
                <a:noFill/>
              </a:ln>
              <a:effectLst/>
            </c:spPr>
          </c:dPt>
          <c:dPt>
            <c:idx val="9"/>
            <c:invertIfNegative val="0"/>
            <c:bubble3D val="0"/>
            <c:spPr>
              <a:solidFill>
                <a:srgbClr val="00B050"/>
              </a:solidFill>
              <a:ln>
                <a:noFill/>
              </a:ln>
              <a:effectLst/>
            </c:spPr>
          </c:dPt>
          <c:dPt>
            <c:idx val="10"/>
            <c:invertIfNegative val="0"/>
            <c:bubble3D val="0"/>
            <c:spPr>
              <a:solidFill>
                <a:srgbClr val="00B050"/>
              </a:solidFill>
              <a:ln>
                <a:noFill/>
              </a:ln>
              <a:effectLst/>
            </c:spPr>
          </c:dPt>
          <c:dPt>
            <c:idx val="11"/>
            <c:invertIfNegative val="0"/>
            <c:bubble3D val="0"/>
            <c:spPr>
              <a:solidFill>
                <a:srgbClr val="00B050"/>
              </a:solidFill>
              <a:ln>
                <a:noFill/>
              </a:ln>
              <a:effectLst/>
            </c:spPr>
          </c:dPt>
          <c:dPt>
            <c:idx val="12"/>
            <c:invertIfNegative val="0"/>
            <c:bubble3D val="0"/>
            <c:spPr>
              <a:solidFill>
                <a:srgbClr val="00B050"/>
              </a:solidFill>
              <a:ln>
                <a:noFill/>
              </a:ln>
              <a:effectLst/>
            </c:spPr>
          </c:dPt>
          <c:dPt>
            <c:idx val="13"/>
            <c:invertIfNegative val="0"/>
            <c:bubble3D val="0"/>
            <c:spPr>
              <a:solidFill>
                <a:srgbClr val="00B050"/>
              </a:solidFill>
              <a:ln>
                <a:noFill/>
              </a:ln>
              <a:effectLst/>
            </c:spPr>
          </c:dPt>
          <c:cat>
            <c:multiLvlStrRef>
              <c:f>'Standard-deviation'!$C$23:$P$24</c:f>
              <c:multiLvlStrCache>
                <c:ptCount val="14"/>
                <c:lvl>
                  <c:pt idx="0">
                    <c:v>Predicate-based</c:v>
                  </c:pt>
                  <c:pt idx="1">
                    <c:v>Subject-based</c:v>
                  </c:pt>
                  <c:pt idx="2">
                    <c:v>Hierarchical</c:v>
                  </c:pt>
                  <c:pt idx="3">
                    <c:v>Horizontal</c:v>
                  </c:pt>
                  <c:pt idx="4">
                    <c:v>TCV-Min</c:v>
                  </c:pt>
                  <c:pt idx="5">
                    <c:v>Min-Edgecut</c:v>
                  </c:pt>
                  <c:pt idx="6">
                    <c:v>Recursive-bisection</c:v>
                  </c:pt>
                  <c:pt idx="7">
                    <c:v>Predicate-based</c:v>
                  </c:pt>
                  <c:pt idx="8">
                    <c:v>Subject-based</c:v>
                  </c:pt>
                  <c:pt idx="9">
                    <c:v>Hierarchical</c:v>
                  </c:pt>
                  <c:pt idx="10">
                    <c:v>Horizontal</c:v>
                  </c:pt>
                  <c:pt idx="11">
                    <c:v>TCV-Min</c:v>
                  </c:pt>
                  <c:pt idx="12">
                    <c:v>Min-Edgecut</c:v>
                  </c:pt>
                  <c:pt idx="13">
                    <c:v>Recursive-bisection</c:v>
                  </c:pt>
                </c:lvl>
                <c:lvl>
                  <c:pt idx="0">
                    <c:v>SWDF</c:v>
                  </c:pt>
                  <c:pt idx="7">
                    <c:v>DBpedia</c:v>
                  </c:pt>
                </c:lvl>
              </c:multiLvlStrCache>
            </c:multiLvlStrRef>
          </c:cat>
          <c:val>
            <c:numRef>
              <c:f>'Standard-deviation'!$C$25:$P$25</c:f>
              <c:numCache>
                <c:formatCode>General</c:formatCode>
                <c:ptCount val="14"/>
                <c:pt idx="0">
                  <c:v>9686.3044902469301</c:v>
                </c:pt>
                <c:pt idx="1">
                  <c:v>941.43106787249985</c:v>
                </c:pt>
                <c:pt idx="2">
                  <c:v>871.99822247525242</c:v>
                </c:pt>
                <c:pt idx="3">
                  <c:v>4.0879225911349044</c:v>
                </c:pt>
                <c:pt idx="4">
                  <c:v>2903.8648212339358</c:v>
                </c:pt>
                <c:pt idx="5">
                  <c:v>2994.0102445456737</c:v>
                </c:pt>
                <c:pt idx="6">
                  <c:v>3160.9733750504406</c:v>
                </c:pt>
                <c:pt idx="7">
                  <c:v>29775623.015014127</c:v>
                </c:pt>
                <c:pt idx="8">
                  <c:v>34248.517336277982</c:v>
                </c:pt>
                <c:pt idx="9">
                  <c:v>27525.861935439712</c:v>
                </c:pt>
                <c:pt idx="10">
                  <c:v>10.100055005350768</c:v>
                </c:pt>
                <c:pt idx="11">
                  <c:v>5115548.2143887356</c:v>
                </c:pt>
                <c:pt idx="12">
                  <c:v>5041641.7519574361</c:v>
                </c:pt>
                <c:pt idx="13">
                  <c:v>4801423.8122410225</c:v>
                </c:pt>
              </c:numCache>
            </c:numRef>
          </c:val>
        </c:ser>
        <c:dLbls>
          <c:showLegendKey val="0"/>
          <c:showVal val="0"/>
          <c:showCatName val="0"/>
          <c:showSerName val="0"/>
          <c:showPercent val="0"/>
          <c:showBubbleSize val="0"/>
        </c:dLbls>
        <c:gapWidth val="47"/>
        <c:overlap val="-6"/>
        <c:axId val="1835568528"/>
        <c:axId val="1835565808"/>
      </c:barChart>
      <c:catAx>
        <c:axId val="183556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35565808"/>
        <c:crosses val="autoZero"/>
        <c:auto val="1"/>
        <c:lblAlgn val="ctr"/>
        <c:lblOffset val="100"/>
        <c:noMultiLvlLbl val="0"/>
      </c:catAx>
      <c:valAx>
        <c:axId val="183556580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sz="1000" b="1" i="0" baseline="0">
                    <a:solidFill>
                      <a:sysClr val="windowText" lastClr="000000"/>
                    </a:solidFill>
                    <a:effectLst/>
                  </a:rPr>
                  <a:t>Standard Deviation in partition sizes (log scale)</a:t>
                </a:r>
                <a:endParaRPr lang="en-US" sz="1000" b="1">
                  <a:solidFill>
                    <a:sysClr val="windowText" lastClr="000000"/>
                  </a:solidFill>
                  <a:effectLst/>
                </a:endParaRPr>
              </a:p>
            </c:rich>
          </c:tx>
          <c:layout>
            <c:manualLayout>
              <c:xMode val="edge"/>
              <c:yMode val="edge"/>
              <c:x val="1.4814814814814815E-2"/>
              <c:y val="5.4320987654320987E-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0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35568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0000"/>
              </a:solidFill>
              <a:ln>
                <a:noFill/>
              </a:ln>
              <a:effectLst/>
            </c:spPr>
          </c:dPt>
          <c:dPt>
            <c:idx val="5"/>
            <c:invertIfNegative val="0"/>
            <c:bubble3D val="0"/>
            <c:spPr>
              <a:solidFill>
                <a:srgbClr val="FF0000"/>
              </a:solidFill>
              <a:ln>
                <a:noFill/>
              </a:ln>
              <a:effectLst/>
            </c:spPr>
          </c:dPt>
          <c:dPt>
            <c:idx val="6"/>
            <c:invertIfNegative val="0"/>
            <c:bubble3D val="0"/>
            <c:spPr>
              <a:solidFill>
                <a:srgbClr val="FF0000"/>
              </a:solidFill>
              <a:ln>
                <a:noFill/>
              </a:ln>
              <a:effectLst/>
            </c:spPr>
          </c:dPt>
          <c:dPt>
            <c:idx val="7"/>
            <c:invertIfNegative val="0"/>
            <c:bubble3D val="0"/>
            <c:spPr>
              <a:solidFill>
                <a:srgbClr val="00B050"/>
              </a:solidFill>
              <a:ln>
                <a:noFill/>
              </a:ln>
              <a:effectLst/>
            </c:spPr>
          </c:dPt>
          <c:dPt>
            <c:idx val="8"/>
            <c:invertIfNegative val="0"/>
            <c:bubble3D val="0"/>
            <c:spPr>
              <a:solidFill>
                <a:srgbClr val="00B050"/>
              </a:solidFill>
              <a:ln>
                <a:noFill/>
              </a:ln>
              <a:effectLst/>
            </c:spPr>
          </c:dPt>
          <c:dPt>
            <c:idx val="9"/>
            <c:invertIfNegative val="0"/>
            <c:bubble3D val="0"/>
            <c:spPr>
              <a:solidFill>
                <a:srgbClr val="00B050"/>
              </a:solidFill>
              <a:ln>
                <a:noFill/>
              </a:ln>
              <a:effectLst/>
            </c:spPr>
          </c:dPt>
          <c:dPt>
            <c:idx val="10"/>
            <c:invertIfNegative val="0"/>
            <c:bubble3D val="0"/>
            <c:spPr>
              <a:solidFill>
                <a:srgbClr val="00B050"/>
              </a:solidFill>
              <a:ln>
                <a:noFill/>
              </a:ln>
              <a:effectLst/>
            </c:spPr>
          </c:dPt>
          <c:dPt>
            <c:idx val="11"/>
            <c:invertIfNegative val="0"/>
            <c:bubble3D val="0"/>
            <c:spPr>
              <a:solidFill>
                <a:srgbClr val="00B050"/>
              </a:solidFill>
              <a:ln>
                <a:noFill/>
              </a:ln>
              <a:effectLst/>
            </c:spPr>
          </c:dPt>
          <c:dPt>
            <c:idx val="12"/>
            <c:invertIfNegative val="0"/>
            <c:bubble3D val="0"/>
            <c:spPr>
              <a:solidFill>
                <a:srgbClr val="00B050"/>
              </a:solidFill>
              <a:ln>
                <a:noFill/>
              </a:ln>
              <a:effectLst/>
            </c:spPr>
          </c:dPt>
          <c:dPt>
            <c:idx val="13"/>
            <c:invertIfNegative val="0"/>
            <c:bubble3D val="0"/>
            <c:spPr>
              <a:solidFill>
                <a:srgbClr val="00B050"/>
              </a:solidFill>
              <a:ln>
                <a:noFill/>
              </a:ln>
              <a:effectLst/>
            </c:spPr>
          </c:dPt>
          <c:cat>
            <c:multiLvlStrRef>
              <c:f>'Gini-coefficient'!$B$3:$O$5</c:f>
              <c:multiLvlStrCache>
                <c:ptCount val="14"/>
                <c:lvl>
                  <c:pt idx="0">
                    <c:v>PB</c:v>
                  </c:pt>
                  <c:pt idx="1">
                    <c:v>SB</c:v>
                  </c:pt>
                  <c:pt idx="2">
                    <c:v>Hi</c:v>
                  </c:pt>
                  <c:pt idx="3">
                    <c:v>Ho</c:v>
                  </c:pt>
                  <c:pt idx="4">
                    <c:v>TC</c:v>
                  </c:pt>
                  <c:pt idx="5">
                    <c:v>ME</c:v>
                  </c:pt>
                  <c:pt idx="6">
                    <c:v>RB</c:v>
                  </c:pt>
                  <c:pt idx="7">
                    <c:v>PB</c:v>
                  </c:pt>
                  <c:pt idx="8">
                    <c:v>SB</c:v>
                  </c:pt>
                  <c:pt idx="9">
                    <c:v>Hi</c:v>
                  </c:pt>
                  <c:pt idx="10">
                    <c:v>Ho</c:v>
                  </c:pt>
                  <c:pt idx="11">
                    <c:v>TC</c:v>
                  </c:pt>
                  <c:pt idx="12">
                    <c:v>ME</c:v>
                  </c:pt>
                  <c:pt idx="13">
                    <c:v>RB</c:v>
                  </c:pt>
                </c:lvl>
                <c:lvl>
                  <c:pt idx="0">
                    <c:v>SWDF</c:v>
                  </c:pt>
                  <c:pt idx="7">
                    <c:v>DBpedia</c:v>
                  </c:pt>
                </c:lvl>
              </c:multiLvlStrCache>
            </c:multiLvlStrRef>
          </c:cat>
          <c:val>
            <c:numRef>
              <c:f>'Gini-coefficient'!$B$6:$O$6</c:f>
              <c:numCache>
                <c:formatCode>General</c:formatCode>
                <c:ptCount val="14"/>
                <c:pt idx="0">
                  <c:v>0.17708491717358665</c:v>
                </c:pt>
                <c:pt idx="1">
                  <c:v>1.7862308650041347E-2</c:v>
                </c:pt>
                <c:pt idx="2">
                  <c:v>1.5239414762697301E-2</c:v>
                </c:pt>
                <c:pt idx="3">
                  <c:v>4.5212176368325502E-5</c:v>
                </c:pt>
                <c:pt idx="4">
                  <c:v>5.172645879776594E-2</c:v>
                </c:pt>
                <c:pt idx="5">
                  <c:v>5.0859699983255791E-2</c:v>
                </c:pt>
                <c:pt idx="6">
                  <c:v>4.9462525631582821E-2</c:v>
                </c:pt>
                <c:pt idx="7">
                  <c:v>0.45723839353499951</c:v>
                </c:pt>
                <c:pt idx="8">
                  <c:v>8.363517305225443E-4</c:v>
                </c:pt>
                <c:pt idx="9">
                  <c:v>6.84690887904571E-4</c:v>
                </c:pt>
                <c:pt idx="10" formatCode="0.00E+00">
                  <c:v>2.5467339082041462E-7</c:v>
                </c:pt>
                <c:pt idx="11">
                  <c:v>0.10515354447123881</c:v>
                </c:pt>
                <c:pt idx="12">
                  <c:v>9.4753832706731655E-2</c:v>
                </c:pt>
                <c:pt idx="13">
                  <c:v>0.10017666920907375</c:v>
                </c:pt>
              </c:numCache>
            </c:numRef>
          </c:val>
        </c:ser>
        <c:dLbls>
          <c:showLegendKey val="0"/>
          <c:showVal val="0"/>
          <c:showCatName val="0"/>
          <c:showSerName val="0"/>
          <c:showPercent val="0"/>
          <c:showBubbleSize val="0"/>
        </c:dLbls>
        <c:gapWidth val="47"/>
        <c:overlap val="-6"/>
        <c:axId val="1835557104"/>
        <c:axId val="1835558736"/>
      </c:barChart>
      <c:catAx>
        <c:axId val="183555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35558736"/>
        <c:crossesAt val="1.0000000000000005E-7"/>
        <c:auto val="1"/>
        <c:lblAlgn val="ctr"/>
        <c:lblOffset val="100"/>
        <c:noMultiLvlLbl val="0"/>
      </c:catAx>
      <c:valAx>
        <c:axId val="183555873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sz="1000" b="1" i="0" u="none" strike="noStrike" baseline="0">
                    <a:solidFill>
                      <a:sysClr val="windowText" lastClr="000000"/>
                    </a:solidFill>
                    <a:effectLst/>
                  </a:rPr>
                  <a:t>Imbalance in </a:t>
                </a:r>
                <a:r>
                  <a:rPr lang="en-US" sz="1000" b="1" i="0" baseline="0">
                    <a:solidFill>
                      <a:sysClr val="windowText" lastClr="000000"/>
                    </a:solidFill>
                    <a:effectLst/>
                  </a:rPr>
                  <a:t>partition sizes </a:t>
                </a:r>
              </a:p>
              <a:p>
                <a:pPr>
                  <a:defRPr b="1">
                    <a:solidFill>
                      <a:sysClr val="windowText" lastClr="000000"/>
                    </a:solidFill>
                  </a:defRPr>
                </a:pPr>
                <a:r>
                  <a:rPr lang="en-US" sz="1000" b="1" i="0" baseline="0">
                    <a:solidFill>
                      <a:sysClr val="windowText" lastClr="000000"/>
                    </a:solidFill>
                    <a:effectLst/>
                  </a:rPr>
                  <a:t>(log scale)</a:t>
                </a:r>
                <a:endParaRPr lang="en-US" sz="1000" b="1">
                  <a:solidFill>
                    <a:sysClr val="windowText" lastClr="000000"/>
                  </a:solidFill>
                  <a:effectLst/>
                </a:endParaRPr>
              </a:p>
            </c:rich>
          </c:tx>
          <c:layout>
            <c:manualLayout>
              <c:xMode val="edge"/>
              <c:yMode val="edge"/>
              <c:x val="1.4814812027429791E-2"/>
              <c:y val="9.7799079462893221E-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0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35557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'benchmark-execution'!$D$55</c:f>
              <c:strCache>
                <c:ptCount val="1"/>
                <c:pt idx="0">
                  <c:v>Predicate-based</c:v>
                </c:pt>
              </c:strCache>
            </c:strRef>
          </c:tx>
          <c:spPr>
            <a:solidFill>
              <a:schemeClr val="accent1"/>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'benchmark-execution'!$E$55:$K$55</c:f>
              <c:numCache>
                <c:formatCode>General</c:formatCode>
                <c:ptCount val="7"/>
                <c:pt idx="0">
                  <c:v>1541</c:v>
                </c:pt>
                <c:pt idx="1">
                  <c:v>2436</c:v>
                </c:pt>
                <c:pt idx="2">
                  <c:v>964</c:v>
                </c:pt>
                <c:pt idx="3">
                  <c:v>1815</c:v>
                </c:pt>
                <c:pt idx="4">
                  <c:v>2505</c:v>
                </c:pt>
                <c:pt idx="5">
                  <c:v>4251</c:v>
                </c:pt>
                <c:pt idx="6">
                  <c:v>6756</c:v>
                </c:pt>
              </c:numCache>
            </c:numRef>
          </c:val>
        </c:ser>
        <c:ser>
          <c:idx val="1"/>
          <c:order val="1"/>
          <c:tx>
            <c:strRef>
              <c:f>'benchmark-execution'!$D$56</c:f>
              <c:strCache>
                <c:ptCount val="1"/>
                <c:pt idx="0">
                  <c:v>Subject-based</c:v>
                </c:pt>
              </c:strCache>
            </c:strRef>
          </c:tx>
          <c:spPr>
            <a:solidFill>
              <a:schemeClr val="accent2"/>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'benchmark-execution'!$E$56:$K$56</c:f>
              <c:numCache>
                <c:formatCode>General</c:formatCode>
                <c:ptCount val="7"/>
                <c:pt idx="0">
                  <c:v>354</c:v>
                </c:pt>
                <c:pt idx="1">
                  <c:v>2578</c:v>
                </c:pt>
                <c:pt idx="2">
                  <c:v>2234</c:v>
                </c:pt>
                <c:pt idx="3">
                  <c:v>2830</c:v>
                </c:pt>
                <c:pt idx="4">
                  <c:v>2588</c:v>
                </c:pt>
                <c:pt idx="5">
                  <c:v>5408</c:v>
                </c:pt>
                <c:pt idx="6">
                  <c:v>7996</c:v>
                </c:pt>
              </c:numCache>
            </c:numRef>
          </c:val>
        </c:ser>
        <c:ser>
          <c:idx val="2"/>
          <c:order val="2"/>
          <c:tx>
            <c:strRef>
              <c:f>'benchmark-execution'!$D$57</c:f>
              <c:strCache>
                <c:ptCount val="1"/>
                <c:pt idx="0">
                  <c:v>Hierarchical</c:v>
                </c:pt>
              </c:strCache>
            </c:strRef>
          </c:tx>
          <c:spPr>
            <a:solidFill>
              <a:schemeClr val="accent3"/>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'benchmark-execution'!$E$57:$K$57</c:f>
              <c:numCache>
                <c:formatCode>General</c:formatCode>
                <c:ptCount val="7"/>
                <c:pt idx="0">
                  <c:v>354</c:v>
                </c:pt>
                <c:pt idx="1">
                  <c:v>2577</c:v>
                </c:pt>
                <c:pt idx="2">
                  <c:v>2235</c:v>
                </c:pt>
                <c:pt idx="3">
                  <c:v>2832</c:v>
                </c:pt>
                <c:pt idx="4">
                  <c:v>2589</c:v>
                </c:pt>
                <c:pt idx="5">
                  <c:v>5409</c:v>
                </c:pt>
                <c:pt idx="6">
                  <c:v>7998</c:v>
                </c:pt>
              </c:numCache>
            </c:numRef>
          </c:val>
        </c:ser>
        <c:ser>
          <c:idx val="3"/>
          <c:order val="3"/>
          <c:tx>
            <c:strRef>
              <c:f>'benchmark-execution'!$D$58</c:f>
              <c:strCache>
                <c:ptCount val="1"/>
                <c:pt idx="0">
                  <c:v>Horizental </c:v>
                </c:pt>
              </c:strCache>
            </c:strRef>
          </c:tx>
          <c:spPr>
            <a:solidFill>
              <a:schemeClr val="accent4"/>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'benchmark-execution'!$E$58:$K$58</c:f>
              <c:numCache>
                <c:formatCode>General</c:formatCode>
                <c:ptCount val="7"/>
                <c:pt idx="0">
                  <c:v>1752</c:v>
                </c:pt>
                <c:pt idx="1">
                  <c:v>2685</c:v>
                </c:pt>
                <c:pt idx="2">
                  <c:v>2352</c:v>
                </c:pt>
                <c:pt idx="3">
                  <c:v>2873</c:v>
                </c:pt>
                <c:pt idx="4">
                  <c:v>4104</c:v>
                </c:pt>
                <c:pt idx="5">
                  <c:v>5558</c:v>
                </c:pt>
                <c:pt idx="6">
                  <c:v>9662</c:v>
                </c:pt>
              </c:numCache>
            </c:numRef>
          </c:val>
        </c:ser>
        <c:ser>
          <c:idx val="4"/>
          <c:order val="4"/>
          <c:tx>
            <c:strRef>
              <c:f>'benchmark-execution'!$D$59</c:f>
              <c:strCache>
                <c:ptCount val="1"/>
                <c:pt idx="0">
                  <c:v>Min-cut</c:v>
                </c:pt>
              </c:strCache>
            </c:strRef>
          </c:tx>
          <c:spPr>
            <a:solidFill>
              <a:schemeClr val="accent5"/>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'benchmark-execution'!$E$59:$K$59</c:f>
              <c:numCache>
                <c:formatCode>General</c:formatCode>
                <c:ptCount val="7"/>
                <c:pt idx="0">
                  <c:v>354</c:v>
                </c:pt>
                <c:pt idx="1">
                  <c:v>2574</c:v>
                </c:pt>
                <c:pt idx="2">
                  <c:v>2230</c:v>
                </c:pt>
                <c:pt idx="3">
                  <c:v>2824</c:v>
                </c:pt>
                <c:pt idx="4">
                  <c:v>2584</c:v>
                </c:pt>
                <c:pt idx="5">
                  <c:v>5398</c:v>
                </c:pt>
                <c:pt idx="6">
                  <c:v>7982</c:v>
                </c:pt>
              </c:numCache>
            </c:numRef>
          </c:val>
        </c:ser>
        <c:dLbls>
          <c:showLegendKey val="0"/>
          <c:showVal val="0"/>
          <c:showCatName val="0"/>
          <c:showSerName val="0"/>
          <c:showPercent val="0"/>
          <c:showBubbleSize val="0"/>
        </c:dLbls>
        <c:gapWidth val="219"/>
        <c:overlap val="-27"/>
        <c:axId val="1796775264"/>
        <c:axId val="1796772544"/>
      </c:barChart>
      <c:catAx>
        <c:axId val="179677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772544"/>
        <c:crosses val="autoZero"/>
        <c:auto val="1"/>
        <c:lblAlgn val="ctr"/>
        <c:lblOffset val="100"/>
        <c:noMultiLvlLbl val="0"/>
      </c:catAx>
      <c:valAx>
        <c:axId val="179677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775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315314340036368"/>
          <c:y val="2.995674324590207E-2"/>
          <c:w val="0.75623277135924127"/>
          <c:h val="0.6138166574408348"/>
        </c:manualLayout>
      </c:layout>
      <c:barChart>
        <c:barDir val="col"/>
        <c:grouping val="stacked"/>
        <c:varyColors val="0"/>
        <c:ser>
          <c:idx val="0"/>
          <c:order val="0"/>
          <c:tx>
            <c:strRef>
              <c:f>'benchmark-execution'!$E$63</c:f>
              <c:strCache>
                <c:ptCount val="1"/>
                <c:pt idx="0">
                  <c:v>SWDF BGP-only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PB</c:v>
                </c:pt>
                <c:pt idx="1">
                  <c:v>SB</c:v>
                </c:pt>
                <c:pt idx="2">
                  <c:v>Hi</c:v>
                </c:pt>
                <c:pt idx="3">
                  <c:v>Ho</c:v>
                </c:pt>
                <c:pt idx="4">
                  <c:v>TC</c:v>
                </c:pt>
                <c:pt idx="5">
                  <c:v>ME</c:v>
                </c:pt>
                <c:pt idx="6">
                  <c:v>RB</c:v>
                </c:pt>
              </c:strCache>
            </c:strRef>
          </c:cat>
          <c:val>
            <c:numRef>
              <c:f>'benchmark-execution'!$E$64:$E$70</c:f>
              <c:numCache>
                <c:formatCode>0</c:formatCode>
                <c:ptCount val="7"/>
                <c:pt idx="0">
                  <c:v>11.368</c:v>
                </c:pt>
                <c:pt idx="1">
                  <c:v>20.064999999999998</c:v>
                </c:pt>
                <c:pt idx="2">
                  <c:v>20.823</c:v>
                </c:pt>
                <c:pt idx="3">
                  <c:v>17.128999999999998</c:v>
                </c:pt>
                <c:pt idx="4">
                  <c:v>20.055</c:v>
                </c:pt>
                <c:pt idx="5">
                  <c:v>20.413</c:v>
                </c:pt>
                <c:pt idx="6">
                  <c:v>20.133000000000003</c:v>
                </c:pt>
              </c:numCache>
            </c:numRef>
          </c:val>
        </c:ser>
        <c:ser>
          <c:idx val="1"/>
          <c:order val="1"/>
          <c:tx>
            <c:strRef>
              <c:f>'benchmark-execution'!$F$63</c:f>
              <c:strCache>
                <c:ptCount val="1"/>
                <c:pt idx="0">
                  <c:v>SWDF fully-featured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PB</c:v>
                </c:pt>
                <c:pt idx="1">
                  <c:v>SB</c:v>
                </c:pt>
                <c:pt idx="2">
                  <c:v>Hi</c:v>
                </c:pt>
                <c:pt idx="3">
                  <c:v>Ho</c:v>
                </c:pt>
                <c:pt idx="4">
                  <c:v>TC</c:v>
                </c:pt>
                <c:pt idx="5">
                  <c:v>ME</c:v>
                </c:pt>
                <c:pt idx="6">
                  <c:v>RB</c:v>
                </c:pt>
              </c:strCache>
            </c:strRef>
          </c:cat>
          <c:val>
            <c:numRef>
              <c:f>'benchmark-execution'!$F$64:$F$70</c:f>
              <c:numCache>
                <c:formatCode>0</c:formatCode>
                <c:ptCount val="7"/>
                <c:pt idx="0">
                  <c:v>7466.875</c:v>
                </c:pt>
                <c:pt idx="1">
                  <c:v>5546.4209999999994</c:v>
                </c:pt>
                <c:pt idx="2">
                  <c:v>6246.0499999999993</c:v>
                </c:pt>
                <c:pt idx="3">
                  <c:v>3367.8010000000004</c:v>
                </c:pt>
                <c:pt idx="4">
                  <c:v>5531.4969999999994</c:v>
                </c:pt>
                <c:pt idx="5">
                  <c:v>6597.5529999999999</c:v>
                </c:pt>
                <c:pt idx="6">
                  <c:v>4782.3249999999998</c:v>
                </c:pt>
              </c:numCache>
            </c:numRef>
          </c:val>
        </c:ser>
        <c:ser>
          <c:idx val="2"/>
          <c:order val="2"/>
          <c:tx>
            <c:strRef>
              <c:f>'benchmark-execution'!$G$63</c:f>
              <c:strCache>
                <c:ptCount val="1"/>
                <c:pt idx="0">
                  <c:v>DBpedia BGP-only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PB</c:v>
                </c:pt>
                <c:pt idx="1">
                  <c:v>SB</c:v>
                </c:pt>
                <c:pt idx="2">
                  <c:v>Hi</c:v>
                </c:pt>
                <c:pt idx="3">
                  <c:v>Ho</c:v>
                </c:pt>
                <c:pt idx="4">
                  <c:v>TC</c:v>
                </c:pt>
                <c:pt idx="5">
                  <c:v>ME</c:v>
                </c:pt>
                <c:pt idx="6">
                  <c:v>RB</c:v>
                </c:pt>
              </c:strCache>
            </c:strRef>
          </c:cat>
          <c:val>
            <c:numRef>
              <c:f>'benchmark-execution'!$G$64:$G$70</c:f>
              <c:numCache>
                <c:formatCode>0</c:formatCode>
                <c:ptCount val="7"/>
                <c:pt idx="0">
                  <c:v>11977.991</c:v>
                </c:pt>
                <c:pt idx="1">
                  <c:v>7958.1180000000004</c:v>
                </c:pt>
                <c:pt idx="2">
                  <c:v>7892.8230000000003</c:v>
                </c:pt>
                <c:pt idx="3">
                  <c:v>8287.4560000000001</c:v>
                </c:pt>
                <c:pt idx="4">
                  <c:v>8596.634</c:v>
                </c:pt>
                <c:pt idx="5">
                  <c:v>8686.2750000000015</c:v>
                </c:pt>
                <c:pt idx="6">
                  <c:v>7958.5019999999995</c:v>
                </c:pt>
              </c:numCache>
            </c:numRef>
          </c:val>
        </c:ser>
        <c:ser>
          <c:idx val="3"/>
          <c:order val="3"/>
          <c:tx>
            <c:strRef>
              <c:f>'benchmark-execution'!$H$63</c:f>
              <c:strCache>
                <c:ptCount val="1"/>
                <c:pt idx="0">
                  <c:v>DBpedia fully-featured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PB</c:v>
                </c:pt>
                <c:pt idx="1">
                  <c:v>SB</c:v>
                </c:pt>
                <c:pt idx="2">
                  <c:v>Hi</c:v>
                </c:pt>
                <c:pt idx="3">
                  <c:v>Ho</c:v>
                </c:pt>
                <c:pt idx="4">
                  <c:v>TC</c:v>
                </c:pt>
                <c:pt idx="5">
                  <c:v>ME</c:v>
                </c:pt>
                <c:pt idx="6">
                  <c:v>RB</c:v>
                </c:pt>
              </c:strCache>
            </c:strRef>
          </c:cat>
          <c:val>
            <c:numRef>
              <c:f>'benchmark-execution'!$H$64:$H$70</c:f>
              <c:numCache>
                <c:formatCode>0</c:formatCode>
                <c:ptCount val="7"/>
                <c:pt idx="0">
                  <c:v>14408.012000000001</c:v>
                </c:pt>
                <c:pt idx="1">
                  <c:v>15104.743</c:v>
                </c:pt>
                <c:pt idx="2">
                  <c:v>14707.791000000001</c:v>
                </c:pt>
                <c:pt idx="3">
                  <c:v>14866.288</c:v>
                </c:pt>
                <c:pt idx="4">
                  <c:v>14591.718999999999</c:v>
                </c:pt>
                <c:pt idx="5">
                  <c:v>15178.582</c:v>
                </c:pt>
                <c:pt idx="6">
                  <c:v>14201.633</c:v>
                </c:pt>
              </c:numCache>
            </c:numRef>
          </c:val>
        </c:ser>
        <c:dLbls>
          <c:dLblPos val="ctr"/>
          <c:showLegendKey val="0"/>
          <c:showVal val="1"/>
          <c:showCatName val="0"/>
          <c:showSerName val="0"/>
          <c:showPercent val="0"/>
          <c:showBubbleSize val="0"/>
        </c:dLbls>
        <c:gapWidth val="40"/>
        <c:overlap val="100"/>
        <c:axId val="1796774176"/>
        <c:axId val="1796766560"/>
      </c:barChart>
      <c:catAx>
        <c:axId val="179677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796766560"/>
        <c:crossesAt val="1.0000000000000002E-2"/>
        <c:auto val="1"/>
        <c:lblAlgn val="ctr"/>
        <c:lblOffset val="100"/>
        <c:noMultiLvlLbl val="0"/>
      </c:catAx>
      <c:valAx>
        <c:axId val="179676656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b="1">
                    <a:solidFill>
                      <a:sysClr val="windowText" lastClr="000000"/>
                    </a:solidFill>
                  </a:rPr>
                  <a:t> Benchmark execution time in sec (log scale)</a:t>
                </a:r>
              </a:p>
              <a:p>
                <a:pPr>
                  <a:defRPr sz="1400" b="1">
                    <a:solidFill>
                      <a:sysClr val="windowText" lastClr="000000"/>
                    </a:solidFill>
                  </a:defRPr>
                </a:pPr>
                <a:endParaRPr lang="en-US" sz="1400" b="1">
                  <a:solidFill>
                    <a:sysClr val="windowText" lastClr="000000"/>
                  </a:solidFill>
                </a:endParaRPr>
              </a:p>
            </c:rich>
          </c:tx>
          <c:layout>
            <c:manualLayout>
              <c:xMode val="edge"/>
              <c:yMode val="edge"/>
              <c:x val="0"/>
              <c:y val="6.1890344231271516E-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796774176"/>
        <c:crosses val="autoZero"/>
        <c:crossBetween val="between"/>
      </c:valAx>
      <c:spPr>
        <a:noFill/>
        <a:ln>
          <a:noFill/>
        </a:ln>
        <a:effectLst/>
      </c:spPr>
    </c:plotArea>
    <c:legend>
      <c:legendPos val="b"/>
      <c:layout>
        <c:manualLayout>
          <c:xMode val="edge"/>
          <c:yMode val="edge"/>
          <c:x val="0.16132088930301786"/>
          <c:y val="0.75732938409762829"/>
          <c:w val="0.82207913247965969"/>
          <c:h val="0.17698329556944578"/>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37004474214591"/>
          <c:y val="2.995674324590207E-2"/>
          <c:w val="0.75901587001745896"/>
          <c:h val="0.6138166574408348"/>
        </c:manualLayout>
      </c:layout>
      <c:barChart>
        <c:barDir val="col"/>
        <c:grouping val="stacked"/>
        <c:varyColors val="0"/>
        <c:ser>
          <c:idx val="0"/>
          <c:order val="0"/>
          <c:tx>
            <c:strRef>
              <c:f>'benchmark-execution'!$E$63</c:f>
              <c:strCache>
                <c:ptCount val="1"/>
                <c:pt idx="0">
                  <c:v>SWDF BGP-only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'benchmark-execution'!$D$82:$D$88</c:f>
              <c:strCache>
                <c:ptCount val="7"/>
                <c:pt idx="0">
                  <c:v>PB</c:v>
                </c:pt>
                <c:pt idx="1">
                  <c:v>SB</c:v>
                </c:pt>
                <c:pt idx="2">
                  <c:v>Hi</c:v>
                </c:pt>
                <c:pt idx="3">
                  <c:v>Ho</c:v>
                </c:pt>
                <c:pt idx="4">
                  <c:v>TC</c:v>
                </c:pt>
                <c:pt idx="5">
                  <c:v>ME</c:v>
                </c:pt>
                <c:pt idx="6">
                  <c:v>RB</c:v>
                </c:pt>
              </c:strCache>
            </c:strRef>
          </c:cat>
          <c:val>
            <c:numRef>
              <c:f>'benchmark-execution'!$E$82:$E$88</c:f>
              <c:numCache>
                <c:formatCode>0</c:formatCode>
                <c:ptCount val="7"/>
                <c:pt idx="0">
                  <c:v>81.781000000000006</c:v>
                </c:pt>
                <c:pt idx="1">
                  <c:v>50.68</c:v>
                </c:pt>
                <c:pt idx="2">
                  <c:v>50.899000000000001</c:v>
                </c:pt>
                <c:pt idx="3">
                  <c:v>147.71899999999999</c:v>
                </c:pt>
                <c:pt idx="4">
                  <c:v>48.836999999999996</c:v>
                </c:pt>
                <c:pt idx="5">
                  <c:v>49.903999999999996</c:v>
                </c:pt>
                <c:pt idx="6">
                  <c:v>51.536999999999999</c:v>
                </c:pt>
              </c:numCache>
            </c:numRef>
          </c:val>
        </c:ser>
        <c:ser>
          <c:idx val="1"/>
          <c:order val="1"/>
          <c:tx>
            <c:strRef>
              <c:f>'benchmark-execution'!$F$63</c:f>
              <c:strCache>
                <c:ptCount val="1"/>
                <c:pt idx="0">
                  <c:v>SWDF fully-featured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'benchmark-execution'!$D$82:$D$88</c:f>
              <c:strCache>
                <c:ptCount val="7"/>
                <c:pt idx="0">
                  <c:v>PB</c:v>
                </c:pt>
                <c:pt idx="1">
                  <c:v>SB</c:v>
                </c:pt>
                <c:pt idx="2">
                  <c:v>Hi</c:v>
                </c:pt>
                <c:pt idx="3">
                  <c:v>Ho</c:v>
                </c:pt>
                <c:pt idx="4">
                  <c:v>TC</c:v>
                </c:pt>
                <c:pt idx="5">
                  <c:v>ME</c:v>
                </c:pt>
                <c:pt idx="6">
                  <c:v>RB</c:v>
                </c:pt>
              </c:strCache>
            </c:strRef>
          </c:cat>
          <c:val>
            <c:numRef>
              <c:f>'benchmark-execution'!$F$82:$F$88</c:f>
              <c:numCache>
                <c:formatCode>0</c:formatCode>
                <c:ptCount val="7"/>
                <c:pt idx="0">
                  <c:v>3814.9360000000001</c:v>
                </c:pt>
                <c:pt idx="1">
                  <c:v>4019.6200000000003</c:v>
                </c:pt>
                <c:pt idx="2">
                  <c:v>4040.8850000000002</c:v>
                </c:pt>
                <c:pt idx="3">
                  <c:v>3683.5330000000004</c:v>
                </c:pt>
                <c:pt idx="4">
                  <c:v>4029.2959999999998</c:v>
                </c:pt>
                <c:pt idx="5">
                  <c:v>4393.6970000000001</c:v>
                </c:pt>
                <c:pt idx="6">
                  <c:v>4235.7449999999999</c:v>
                </c:pt>
              </c:numCache>
            </c:numRef>
          </c:val>
        </c:ser>
        <c:ser>
          <c:idx val="2"/>
          <c:order val="2"/>
          <c:tx>
            <c:strRef>
              <c:f>'benchmark-execution'!$G$63</c:f>
              <c:strCache>
                <c:ptCount val="1"/>
                <c:pt idx="0">
                  <c:v>DBpedia BGP-only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'benchmark-execution'!$D$82:$D$88</c:f>
              <c:strCache>
                <c:ptCount val="7"/>
                <c:pt idx="0">
                  <c:v>PB</c:v>
                </c:pt>
                <c:pt idx="1">
                  <c:v>SB</c:v>
                </c:pt>
                <c:pt idx="2">
                  <c:v>Hi</c:v>
                </c:pt>
                <c:pt idx="3">
                  <c:v>Ho</c:v>
                </c:pt>
                <c:pt idx="4">
                  <c:v>TC</c:v>
                </c:pt>
                <c:pt idx="5">
                  <c:v>ME</c:v>
                </c:pt>
                <c:pt idx="6">
                  <c:v>RB</c:v>
                </c:pt>
              </c:strCache>
            </c:strRef>
          </c:cat>
          <c:val>
            <c:numRef>
              <c:f>'benchmark-execution'!$G$82:$G$88</c:f>
              <c:numCache>
                <c:formatCode>0</c:formatCode>
                <c:ptCount val="7"/>
                <c:pt idx="0">
                  <c:v>7314.5619999999999</c:v>
                </c:pt>
                <c:pt idx="1">
                  <c:v>8412.3529999999992</c:v>
                </c:pt>
                <c:pt idx="2">
                  <c:v>7834.9040000000005</c:v>
                </c:pt>
                <c:pt idx="3">
                  <c:v>8411.3019999999997</c:v>
                </c:pt>
                <c:pt idx="4">
                  <c:v>7778.9429999999993</c:v>
                </c:pt>
                <c:pt idx="5">
                  <c:v>8473.42</c:v>
                </c:pt>
                <c:pt idx="6">
                  <c:v>8389.6409999999996</c:v>
                </c:pt>
              </c:numCache>
            </c:numRef>
          </c:val>
        </c:ser>
        <c:ser>
          <c:idx val="3"/>
          <c:order val="3"/>
          <c:tx>
            <c:strRef>
              <c:f>'benchmark-execution'!$H$63</c:f>
              <c:strCache>
                <c:ptCount val="1"/>
                <c:pt idx="0">
                  <c:v>DBpedia fully-featured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'benchmark-execution'!$D$82:$D$88</c:f>
              <c:strCache>
                <c:ptCount val="7"/>
                <c:pt idx="0">
                  <c:v>PB</c:v>
                </c:pt>
                <c:pt idx="1">
                  <c:v>SB</c:v>
                </c:pt>
                <c:pt idx="2">
                  <c:v>Hi</c:v>
                </c:pt>
                <c:pt idx="3">
                  <c:v>Ho</c:v>
                </c:pt>
                <c:pt idx="4">
                  <c:v>TC</c:v>
                </c:pt>
                <c:pt idx="5">
                  <c:v>ME</c:v>
                </c:pt>
                <c:pt idx="6">
                  <c:v>RB</c:v>
                </c:pt>
              </c:strCache>
            </c:strRef>
          </c:cat>
          <c:val>
            <c:numRef>
              <c:f>'benchmark-execution'!$H$82:$H$88</c:f>
              <c:numCache>
                <c:formatCode>0</c:formatCode>
                <c:ptCount val="7"/>
                <c:pt idx="0">
                  <c:v>16016.656000000001</c:v>
                </c:pt>
                <c:pt idx="1">
                  <c:v>17529.861000000001</c:v>
                </c:pt>
                <c:pt idx="2">
                  <c:v>16994.88</c:v>
                </c:pt>
                <c:pt idx="3">
                  <c:v>18903.3</c:v>
                </c:pt>
                <c:pt idx="4">
                  <c:v>16915.692999999999</c:v>
                </c:pt>
                <c:pt idx="5">
                  <c:v>17890.521000000001</c:v>
                </c:pt>
                <c:pt idx="6">
                  <c:v>17306.95</c:v>
                </c:pt>
              </c:numCache>
            </c:numRef>
          </c:val>
        </c:ser>
        <c:dLbls>
          <c:dLblPos val="ctr"/>
          <c:showLegendKey val="0"/>
          <c:showVal val="1"/>
          <c:showCatName val="0"/>
          <c:showSerName val="0"/>
          <c:showPercent val="0"/>
          <c:showBubbleSize val="0"/>
        </c:dLbls>
        <c:gapWidth val="40"/>
        <c:overlap val="100"/>
        <c:axId val="1796777440"/>
        <c:axId val="1796774720"/>
      </c:barChart>
      <c:catAx>
        <c:axId val="179677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796774720"/>
        <c:crossesAt val="1.0000000000000002E-2"/>
        <c:auto val="1"/>
        <c:lblAlgn val="ctr"/>
        <c:lblOffset val="100"/>
        <c:noMultiLvlLbl val="0"/>
      </c:catAx>
      <c:valAx>
        <c:axId val="179677472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r>
                  <a:rPr lang="en-US" sz="1400" b="1" i="0" u="none" strike="noStrike" kern="1200" baseline="0">
                    <a:solidFill>
                      <a:sysClr val="windowText" lastClr="000000"/>
                    </a:solidFill>
                    <a:latin typeface="+mn-lt"/>
                    <a:ea typeface="+mn-ea"/>
                    <a:cs typeface="+mn-cs"/>
                  </a:rPr>
                  <a:t> Benchmark execution time in sec (log scale)</a:t>
                </a: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endParaRPr lang="en-US" sz="1400" b="1" i="0" u="none" strike="noStrike" kern="1200" baseline="0">
                  <a:solidFill>
                    <a:sysClr val="windowText" lastClr="000000"/>
                  </a:solidFill>
                  <a:latin typeface="+mn-lt"/>
                  <a:ea typeface="+mn-ea"/>
                  <a:cs typeface="+mn-cs"/>
                </a:endParaRPr>
              </a:p>
            </c:rich>
          </c:tx>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796777440"/>
        <c:crosses val="autoZero"/>
        <c:crossBetween val="between"/>
      </c:valAx>
      <c:spPr>
        <a:noFill/>
        <a:ln>
          <a:noFill/>
        </a:ln>
        <a:effectLst/>
      </c:spPr>
    </c:plotArea>
    <c:legend>
      <c:legendPos val="b"/>
      <c:layout>
        <c:manualLayout>
          <c:xMode val="edge"/>
          <c:yMode val="edge"/>
          <c:x val="9.1743422847574502E-2"/>
          <c:y val="0.75732938409762829"/>
          <c:w val="0.89165659893510307"/>
          <c:h val="0.17698329556944578"/>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37004474214591"/>
          <c:y val="2.995674324590207E-2"/>
          <c:w val="0.75901587001745896"/>
          <c:h val="0.6138166574408348"/>
        </c:manualLayout>
      </c:layout>
      <c:barChart>
        <c:barDir val="col"/>
        <c:grouping val="stacked"/>
        <c:varyColors val="0"/>
        <c:ser>
          <c:idx val="0"/>
          <c:order val="0"/>
          <c:tx>
            <c:strRef>
              <c:f>'benchmark-execution'!$E$63</c:f>
              <c:strCache>
                <c:ptCount val="1"/>
                <c:pt idx="0">
                  <c:v>SWDF BGP-only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'benchmark-execution'!$D$97:$D$103</c:f>
              <c:strCache>
                <c:ptCount val="7"/>
                <c:pt idx="0">
                  <c:v>PB</c:v>
                </c:pt>
                <c:pt idx="1">
                  <c:v>SB</c:v>
                </c:pt>
                <c:pt idx="2">
                  <c:v>Hi</c:v>
                </c:pt>
                <c:pt idx="3">
                  <c:v>Ho</c:v>
                </c:pt>
                <c:pt idx="4">
                  <c:v>TC</c:v>
                </c:pt>
                <c:pt idx="5">
                  <c:v>ME</c:v>
                </c:pt>
                <c:pt idx="6">
                  <c:v>RB</c:v>
                </c:pt>
              </c:strCache>
            </c:strRef>
          </c:cat>
          <c:val>
            <c:numRef>
              <c:f>'benchmark-execution'!$E$97:$E$103</c:f>
              <c:numCache>
                <c:formatCode>0</c:formatCode>
                <c:ptCount val="7"/>
                <c:pt idx="0">
                  <c:v>1099.1770000000001</c:v>
                </c:pt>
                <c:pt idx="1">
                  <c:v>1056.5229999999999</c:v>
                </c:pt>
                <c:pt idx="2">
                  <c:v>1053.3809999999999</c:v>
                </c:pt>
                <c:pt idx="3">
                  <c:v>1040.5550000000001</c:v>
                </c:pt>
                <c:pt idx="4">
                  <c:v>1051.421</c:v>
                </c:pt>
                <c:pt idx="5">
                  <c:v>1052.6569999999999</c:v>
                </c:pt>
                <c:pt idx="6">
                  <c:v>1052.5229999999999</c:v>
                </c:pt>
              </c:numCache>
            </c:numRef>
          </c:val>
        </c:ser>
        <c:ser>
          <c:idx val="1"/>
          <c:order val="1"/>
          <c:tx>
            <c:strRef>
              <c:f>'benchmark-execution'!$F$63</c:f>
              <c:strCache>
                <c:ptCount val="1"/>
                <c:pt idx="0">
                  <c:v>SWDF fully-featured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'benchmark-execution'!$D$97:$D$103</c:f>
              <c:strCache>
                <c:ptCount val="7"/>
                <c:pt idx="0">
                  <c:v>PB</c:v>
                </c:pt>
                <c:pt idx="1">
                  <c:v>SB</c:v>
                </c:pt>
                <c:pt idx="2">
                  <c:v>Hi</c:v>
                </c:pt>
                <c:pt idx="3">
                  <c:v>Ho</c:v>
                </c:pt>
                <c:pt idx="4">
                  <c:v>TC</c:v>
                </c:pt>
                <c:pt idx="5">
                  <c:v>ME</c:v>
                </c:pt>
                <c:pt idx="6">
                  <c:v>RB</c:v>
                </c:pt>
              </c:strCache>
            </c:strRef>
          </c:cat>
          <c:val>
            <c:numRef>
              <c:f>'benchmark-execution'!$F$97:$F$103</c:f>
              <c:numCache>
                <c:formatCode>0</c:formatCode>
                <c:ptCount val="7"/>
                <c:pt idx="0">
                  <c:v>44070.637000000002</c:v>
                </c:pt>
                <c:pt idx="1">
                  <c:v>33586.423999999999</c:v>
                </c:pt>
                <c:pt idx="2">
                  <c:v>52485.565000000002</c:v>
                </c:pt>
                <c:pt idx="3">
                  <c:v>44561.839</c:v>
                </c:pt>
                <c:pt idx="4">
                  <c:v>39058.822</c:v>
                </c:pt>
                <c:pt idx="5">
                  <c:v>15786.627</c:v>
                </c:pt>
                <c:pt idx="6">
                  <c:v>54745.728999999999</c:v>
                </c:pt>
              </c:numCache>
            </c:numRef>
          </c:val>
        </c:ser>
        <c:dLbls>
          <c:dLblPos val="ctr"/>
          <c:showLegendKey val="0"/>
          <c:showVal val="1"/>
          <c:showCatName val="0"/>
          <c:showSerName val="0"/>
          <c:showPercent val="0"/>
          <c:showBubbleSize val="0"/>
        </c:dLbls>
        <c:gapWidth val="40"/>
        <c:overlap val="100"/>
        <c:axId val="1796777984"/>
        <c:axId val="1796773632"/>
      </c:barChart>
      <c:catAx>
        <c:axId val="179677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796773632"/>
        <c:crossesAt val="1.0000000000000002E-2"/>
        <c:auto val="1"/>
        <c:lblAlgn val="ctr"/>
        <c:lblOffset val="100"/>
        <c:noMultiLvlLbl val="0"/>
      </c:catAx>
      <c:valAx>
        <c:axId val="17967736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r>
                  <a:rPr lang="en-US" sz="1400" b="1" i="0" u="none" strike="noStrike" kern="1200" baseline="0">
                    <a:solidFill>
                      <a:sysClr val="windowText" lastClr="000000"/>
                    </a:solidFill>
                    <a:latin typeface="+mn-lt"/>
                    <a:ea typeface="+mn-ea"/>
                    <a:cs typeface="+mn-cs"/>
                  </a:rPr>
                  <a:t> Benchmark execution time in sec (log scale)</a:t>
                </a:r>
              </a:p>
            </c:rich>
          </c:tx>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796777984"/>
        <c:crosses val="autoZero"/>
        <c:crossBetween val="between"/>
      </c:valAx>
      <c:spPr>
        <a:noFill/>
        <a:ln>
          <a:noFill/>
        </a:ln>
        <a:effectLst/>
      </c:spPr>
    </c:plotArea>
    <c:legend>
      <c:legendPos val="b"/>
      <c:layout>
        <c:manualLayout>
          <c:xMode val="edge"/>
          <c:yMode val="edge"/>
          <c:x val="9.1743422847574502E-2"/>
          <c:y val="0.75732938409762829"/>
          <c:w val="0.89165659893510307"/>
          <c:h val="0.17698329556944578"/>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098412998254098"/>
          <c:y val="2.995674324590207E-2"/>
          <c:w val="0.72840178477706397"/>
          <c:h val="0.6138166574408348"/>
        </c:manualLayout>
      </c:layout>
      <c:barChart>
        <c:barDir val="col"/>
        <c:grouping val="stacked"/>
        <c:varyColors val="0"/>
        <c:ser>
          <c:idx val="0"/>
          <c:order val="0"/>
          <c:tx>
            <c:strRef>
              <c:f>'average-execution-time'!$B$4</c:f>
              <c:strCache>
                <c:ptCount val="1"/>
                <c:pt idx="0">
                  <c:v>SWDF BGP-only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PB</c:v>
                </c:pt>
                <c:pt idx="1">
                  <c:v>SB</c:v>
                </c:pt>
                <c:pt idx="2">
                  <c:v>Hi</c:v>
                </c:pt>
                <c:pt idx="3">
                  <c:v>Ho</c:v>
                </c:pt>
                <c:pt idx="4">
                  <c:v>TC</c:v>
                </c:pt>
                <c:pt idx="5">
                  <c:v>ME</c:v>
                </c:pt>
                <c:pt idx="6">
                  <c:v>RB</c:v>
                </c:pt>
              </c:strCache>
            </c:strRef>
          </c:cat>
          <c:val>
            <c:numRef>
              <c:f>'average-execution-time'!$B$5:$B$11</c:f>
              <c:numCache>
                <c:formatCode>0.00</c:formatCode>
                <c:ptCount val="7"/>
                <c:pt idx="0">
                  <c:v>3.7893333333333327E-2</c:v>
                </c:pt>
                <c:pt idx="1">
                  <c:v>6.6883333333333336E-2</c:v>
                </c:pt>
                <c:pt idx="2">
                  <c:v>6.9409999999999999E-2</c:v>
                </c:pt>
                <c:pt idx="3">
                  <c:v>5.7096666666666664E-2</c:v>
                </c:pt>
                <c:pt idx="4">
                  <c:v>6.6849999999999993E-2</c:v>
                </c:pt>
                <c:pt idx="5">
                  <c:v>6.8043333333333331E-2</c:v>
                </c:pt>
                <c:pt idx="6">
                  <c:v>6.7110000000000003E-2</c:v>
                </c:pt>
              </c:numCache>
            </c:numRef>
          </c:val>
        </c:ser>
        <c:ser>
          <c:idx val="1"/>
          <c:order val="1"/>
          <c:tx>
            <c:strRef>
              <c:f>'average-execution-time'!$C$4</c:f>
              <c:strCache>
                <c:ptCount val="1"/>
                <c:pt idx="0">
                  <c:v>SWDF fully-featured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PB</c:v>
                </c:pt>
                <c:pt idx="1">
                  <c:v>SB</c:v>
                </c:pt>
                <c:pt idx="2">
                  <c:v>Hi</c:v>
                </c:pt>
                <c:pt idx="3">
                  <c:v>Ho</c:v>
                </c:pt>
                <c:pt idx="4">
                  <c:v>TC</c:v>
                </c:pt>
                <c:pt idx="5">
                  <c:v>ME</c:v>
                </c:pt>
                <c:pt idx="6">
                  <c:v>RB</c:v>
                </c:pt>
              </c:strCache>
            </c:strRef>
          </c:cat>
          <c:val>
            <c:numRef>
              <c:f>'average-execution-time'!$C$5:$C$11</c:f>
              <c:numCache>
                <c:formatCode>0.00</c:formatCode>
                <c:ptCount val="7"/>
                <c:pt idx="0">
                  <c:v>4.4033018867924527</c:v>
                </c:pt>
                <c:pt idx="1">
                  <c:v>4.4435543478260868</c:v>
                </c:pt>
                <c:pt idx="2">
                  <c:v>4.434007352941177</c:v>
                </c:pt>
                <c:pt idx="3">
                  <c:v>4.1937534722222223</c:v>
                </c:pt>
                <c:pt idx="4">
                  <c:v>4.3894818840579708</c:v>
                </c:pt>
                <c:pt idx="5">
                  <c:v>4.4353814814814818</c:v>
                </c:pt>
                <c:pt idx="6">
                  <c:v>4.8481316725978649</c:v>
                </c:pt>
              </c:numCache>
            </c:numRef>
          </c:val>
        </c:ser>
        <c:ser>
          <c:idx val="2"/>
          <c:order val="2"/>
          <c:tx>
            <c:strRef>
              <c:f>'average-execution-time'!$D$4</c:f>
              <c:strCache>
                <c:ptCount val="1"/>
                <c:pt idx="0">
                  <c:v>DBpedia BGP-only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PB</c:v>
                </c:pt>
                <c:pt idx="1">
                  <c:v>SB</c:v>
                </c:pt>
                <c:pt idx="2">
                  <c:v>Hi</c:v>
                </c:pt>
                <c:pt idx="3">
                  <c:v>Ho</c:v>
                </c:pt>
                <c:pt idx="4">
                  <c:v>TC</c:v>
                </c:pt>
                <c:pt idx="5">
                  <c:v>ME</c:v>
                </c:pt>
                <c:pt idx="6">
                  <c:v>RB</c:v>
                </c:pt>
              </c:strCache>
            </c:strRef>
          </c:cat>
          <c:val>
            <c:numRef>
              <c:f>'average-execution-time'!$D$5:$D$11</c:f>
              <c:numCache>
                <c:formatCode>0.00</c:formatCode>
                <c:ptCount val="7"/>
                <c:pt idx="0">
                  <c:v>23.201458955223881</c:v>
                </c:pt>
                <c:pt idx="1">
                  <c:v>10.103756457564575</c:v>
                </c:pt>
                <c:pt idx="2">
                  <c:v>10.488319852941176</c:v>
                </c:pt>
                <c:pt idx="3">
                  <c:v>10.06489219330855</c:v>
                </c:pt>
                <c:pt idx="4">
                  <c:v>8.6665433962264142</c:v>
                </c:pt>
                <c:pt idx="5">
                  <c:v>9.0048113207547171</c:v>
                </c:pt>
                <c:pt idx="6">
                  <c:v>8.2033656716417926</c:v>
                </c:pt>
              </c:numCache>
            </c:numRef>
          </c:val>
        </c:ser>
        <c:ser>
          <c:idx val="3"/>
          <c:order val="3"/>
          <c:tx>
            <c:strRef>
              <c:f>'average-execution-time'!$E$4</c:f>
              <c:strCache>
                <c:ptCount val="1"/>
                <c:pt idx="0">
                  <c:v>DBpedia fully-featured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PB</c:v>
                </c:pt>
                <c:pt idx="1">
                  <c:v>SB</c:v>
                </c:pt>
                <c:pt idx="2">
                  <c:v>Hi</c:v>
                </c:pt>
                <c:pt idx="3">
                  <c:v>Ho</c:v>
                </c:pt>
                <c:pt idx="4">
                  <c:v>TC</c:v>
                </c:pt>
                <c:pt idx="5">
                  <c:v>ME</c:v>
                </c:pt>
                <c:pt idx="6">
                  <c:v>RB</c:v>
                </c:pt>
              </c:strCache>
            </c:strRef>
          </c:cat>
          <c:val>
            <c:numRef>
              <c:f>'average-execution-time'!$E$5:$E$11</c:f>
              <c:numCache>
                <c:formatCode>0.00</c:formatCode>
                <c:ptCount val="7"/>
                <c:pt idx="0">
                  <c:v>5.5859559471365641</c:v>
                </c:pt>
                <c:pt idx="1">
                  <c:v>11.62226406926407</c:v>
                </c:pt>
                <c:pt idx="2">
                  <c:v>9.1643086956521742</c:v>
                </c:pt>
                <c:pt idx="3">
                  <c:v>7.6047929515418504</c:v>
                </c:pt>
                <c:pt idx="4">
                  <c:v>8.6596478260869567</c:v>
                </c:pt>
                <c:pt idx="5">
                  <c:v>8.2238141592920346</c:v>
                </c:pt>
                <c:pt idx="6">
                  <c:v>6.963621739130434</c:v>
                </c:pt>
              </c:numCache>
            </c:numRef>
          </c:val>
        </c:ser>
        <c:dLbls>
          <c:dLblPos val="ctr"/>
          <c:showLegendKey val="0"/>
          <c:showVal val="1"/>
          <c:showCatName val="0"/>
          <c:showSerName val="0"/>
          <c:showPercent val="0"/>
          <c:showBubbleSize val="0"/>
        </c:dLbls>
        <c:gapWidth val="40"/>
        <c:overlap val="100"/>
        <c:axId val="1796779616"/>
        <c:axId val="1796780160"/>
      </c:barChart>
      <c:catAx>
        <c:axId val="179677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796780160"/>
        <c:crossesAt val="1.0000000000000002E-2"/>
        <c:auto val="1"/>
        <c:lblAlgn val="ctr"/>
        <c:lblOffset val="100"/>
        <c:noMultiLvlLbl val="0"/>
      </c:catAx>
      <c:valAx>
        <c:axId val="179678016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b="1">
                    <a:solidFill>
                      <a:sysClr val="windowText" lastClr="000000"/>
                    </a:solidFill>
                  </a:rPr>
                  <a:t>Average execution time in sec </a:t>
                </a:r>
              </a:p>
              <a:p>
                <a:pPr>
                  <a:defRPr sz="1400" b="1">
                    <a:solidFill>
                      <a:sysClr val="windowText" lastClr="000000"/>
                    </a:solidFill>
                  </a:defRPr>
                </a:pPr>
                <a:r>
                  <a:rPr lang="en-US" sz="1400" b="1">
                    <a:solidFill>
                      <a:sysClr val="windowText" lastClr="000000"/>
                    </a:solidFill>
                  </a:rPr>
                  <a:t>(log scale)</a:t>
                </a:r>
              </a:p>
              <a:p>
                <a:pPr>
                  <a:defRPr sz="1400" b="1">
                    <a:solidFill>
                      <a:sysClr val="windowText" lastClr="000000"/>
                    </a:solidFill>
                  </a:defRPr>
                </a:pPr>
                <a:endParaRPr lang="en-US" sz="1400" b="1">
                  <a:solidFill>
                    <a:sysClr val="windowText" lastClr="000000"/>
                  </a:solidFill>
                </a:endParaRP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796779616"/>
        <c:crosses val="autoZero"/>
        <c:crossBetween val="between"/>
      </c:valAx>
      <c:spPr>
        <a:noFill/>
        <a:ln>
          <a:noFill/>
        </a:ln>
        <a:effectLst/>
      </c:spPr>
    </c:plotArea>
    <c:legend>
      <c:legendPos val="b"/>
      <c:layout>
        <c:manualLayout>
          <c:xMode val="edge"/>
          <c:yMode val="edge"/>
          <c:x val="0.16132088930301786"/>
          <c:y val="0.75732938409762829"/>
          <c:w val="0.83599462577074846"/>
          <c:h val="0.18132607889905716"/>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568734391922933"/>
          <c:y val="5.0194006015789848E-2"/>
          <c:w val="0.73363452218971159"/>
          <c:h val="0.71487945973332989"/>
        </c:manualLayout>
      </c:layout>
      <c:barChart>
        <c:barDir val="col"/>
        <c:grouping val="stacked"/>
        <c:varyColors val="0"/>
        <c:ser>
          <c:idx val="0"/>
          <c:order val="0"/>
          <c:tx>
            <c:strRef>
              <c:f>'average-execution-time'!$B$36</c:f>
              <c:strCache>
                <c:ptCount val="1"/>
                <c:pt idx="0">
                  <c:v>SWDF BGP-only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'average-execution-time'!$A$37:$A$43</c:f>
              <c:strCache>
                <c:ptCount val="7"/>
                <c:pt idx="0">
                  <c:v>PB</c:v>
                </c:pt>
                <c:pt idx="1">
                  <c:v>SB</c:v>
                </c:pt>
                <c:pt idx="2">
                  <c:v>Hi</c:v>
                </c:pt>
                <c:pt idx="3">
                  <c:v>Ho</c:v>
                </c:pt>
                <c:pt idx="4">
                  <c:v>TC</c:v>
                </c:pt>
                <c:pt idx="5">
                  <c:v>ME</c:v>
                </c:pt>
                <c:pt idx="6">
                  <c:v>RB</c:v>
                </c:pt>
              </c:strCache>
            </c:strRef>
          </c:cat>
          <c:val>
            <c:numRef>
              <c:f>'average-execution-time'!$B$37:$B$43</c:f>
              <c:numCache>
                <c:formatCode>0.0</c:formatCode>
                <c:ptCount val="7"/>
                <c:pt idx="0">
                  <c:v>3.663923333333333</c:v>
                </c:pt>
                <c:pt idx="1">
                  <c:v>3.5217433333333332</c:v>
                </c:pt>
                <c:pt idx="2">
                  <c:v>3.5112700000000001</c:v>
                </c:pt>
                <c:pt idx="3">
                  <c:v>3.4685166666666669</c:v>
                </c:pt>
                <c:pt idx="4">
                  <c:v>3.5047366666666666</c:v>
                </c:pt>
                <c:pt idx="5">
                  <c:v>3.5088566666666665</c:v>
                </c:pt>
                <c:pt idx="6">
                  <c:v>3.50841</c:v>
                </c:pt>
              </c:numCache>
            </c:numRef>
          </c:val>
        </c:ser>
        <c:ser>
          <c:idx val="1"/>
          <c:order val="1"/>
          <c:tx>
            <c:strRef>
              <c:f>'average-execution-time'!$C$36</c:f>
              <c:strCache>
                <c:ptCount val="1"/>
                <c:pt idx="0">
                  <c:v>DBpedia BGP-only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'average-execution-time'!$A$37:$A$43</c:f>
              <c:strCache>
                <c:ptCount val="7"/>
                <c:pt idx="0">
                  <c:v>PB</c:v>
                </c:pt>
                <c:pt idx="1">
                  <c:v>SB</c:v>
                </c:pt>
                <c:pt idx="2">
                  <c:v>Hi</c:v>
                </c:pt>
                <c:pt idx="3">
                  <c:v>Ho</c:v>
                </c:pt>
                <c:pt idx="4">
                  <c:v>TC</c:v>
                </c:pt>
                <c:pt idx="5">
                  <c:v>ME</c:v>
                </c:pt>
                <c:pt idx="6">
                  <c:v>RB</c:v>
                </c:pt>
              </c:strCache>
            </c:strRef>
          </c:cat>
          <c:val>
            <c:numRef>
              <c:f>'average-execution-time'!$C$37:$C$43</c:f>
              <c:numCache>
                <c:formatCode>0.0</c:formatCode>
                <c:ptCount val="7"/>
                <c:pt idx="0">
                  <c:v>71.673744444444438</c:v>
                </c:pt>
                <c:pt idx="1">
                  <c:v>32.30966423357664</c:v>
                </c:pt>
                <c:pt idx="2">
                  <c:v>77.351153846153849</c:v>
                </c:pt>
                <c:pt idx="3">
                  <c:v>5.3177169811320759</c:v>
                </c:pt>
                <c:pt idx="4">
                  <c:v>47.016414414414413</c:v>
                </c:pt>
                <c:pt idx="5">
                  <c:v>17.464217948717948</c:v>
                </c:pt>
                <c:pt idx="6" formatCode="0">
                  <c:v>1105.729</c:v>
                </c:pt>
              </c:numCache>
            </c:numRef>
          </c:val>
        </c:ser>
        <c:dLbls>
          <c:dLblPos val="ctr"/>
          <c:showLegendKey val="0"/>
          <c:showVal val="1"/>
          <c:showCatName val="0"/>
          <c:showSerName val="0"/>
          <c:showPercent val="0"/>
          <c:showBubbleSize val="0"/>
        </c:dLbls>
        <c:gapWidth val="40"/>
        <c:overlap val="100"/>
        <c:axId val="1796768192"/>
        <c:axId val="1796768736"/>
      </c:barChart>
      <c:catAx>
        <c:axId val="179676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796768736"/>
        <c:crossesAt val="1.0000000000000002E-2"/>
        <c:auto val="1"/>
        <c:lblAlgn val="ctr"/>
        <c:lblOffset val="100"/>
        <c:noMultiLvlLbl val="0"/>
      </c:catAx>
      <c:valAx>
        <c:axId val="1796768736"/>
        <c:scaling>
          <c:logBase val="10"/>
          <c:orientation val="minMax"/>
          <c:max val="1000"/>
          <c:min val="1.0000000000000002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b="1">
                    <a:solidFill>
                      <a:sysClr val="windowText" lastClr="000000"/>
                    </a:solidFill>
                  </a:rPr>
                  <a:t>Average execution time in sec </a:t>
                </a:r>
              </a:p>
              <a:p>
                <a:pPr>
                  <a:defRPr sz="1400" b="1">
                    <a:solidFill>
                      <a:sysClr val="windowText" lastClr="000000"/>
                    </a:solidFill>
                  </a:defRPr>
                </a:pPr>
                <a:r>
                  <a:rPr lang="en-US" sz="1400" b="1">
                    <a:solidFill>
                      <a:sysClr val="windowText" lastClr="000000"/>
                    </a:solidFill>
                  </a:rPr>
                  <a:t>(log scale)</a:t>
                </a:r>
              </a:p>
              <a:p>
                <a:pPr>
                  <a:defRPr sz="1400" b="1">
                    <a:solidFill>
                      <a:sysClr val="windowText" lastClr="000000"/>
                    </a:solidFill>
                  </a:defRPr>
                </a:pPr>
                <a:endParaRPr lang="en-US" sz="1400" b="1">
                  <a:solidFill>
                    <a:sysClr val="windowText" lastClr="000000"/>
                  </a:solidFill>
                </a:endParaRP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796768192"/>
        <c:crosses val="autoZero"/>
        <c:crossBetween val="between"/>
      </c:valAx>
      <c:spPr>
        <a:noFill/>
        <a:ln>
          <a:noFill/>
        </a:ln>
        <a:effectLst/>
      </c:spPr>
    </c:plotArea>
    <c:legend>
      <c:legendPos val="b"/>
      <c:layout>
        <c:manualLayout>
          <c:xMode val="edge"/>
          <c:yMode val="edge"/>
          <c:x val="0.23563969069765189"/>
          <c:y val="0.8862993272320312"/>
          <c:w val="0.76299000468187417"/>
          <c:h val="9.3338057887547052E-2"/>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098412998254098"/>
          <c:y val="2.995674324590207E-2"/>
          <c:w val="0.72840178477706397"/>
          <c:h val="0.6138166574408348"/>
        </c:manualLayout>
      </c:layout>
      <c:barChart>
        <c:barDir val="col"/>
        <c:grouping val="stacked"/>
        <c:varyColors val="0"/>
        <c:ser>
          <c:idx val="0"/>
          <c:order val="0"/>
          <c:tx>
            <c:strRef>
              <c:f>'average-execution-time'!$B$4</c:f>
              <c:strCache>
                <c:ptCount val="1"/>
                <c:pt idx="0">
                  <c:v>SWDF BGP-only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PB</c:v>
                </c:pt>
                <c:pt idx="1">
                  <c:v>SB</c:v>
                </c:pt>
                <c:pt idx="2">
                  <c:v>Hi</c:v>
                </c:pt>
                <c:pt idx="3">
                  <c:v>Ho</c:v>
                </c:pt>
                <c:pt idx="4">
                  <c:v>TC</c:v>
                </c:pt>
                <c:pt idx="5">
                  <c:v>ME</c:v>
                </c:pt>
                <c:pt idx="6">
                  <c:v>RB</c:v>
                </c:pt>
              </c:strCache>
            </c:strRef>
          </c:cat>
          <c:val>
            <c:numRef>
              <c:f>'average-execution-time'!$B$21:$B$27</c:f>
              <c:numCache>
                <c:formatCode>0.00</c:formatCode>
                <c:ptCount val="7"/>
                <c:pt idx="0">
                  <c:v>0.27260333333333336</c:v>
                </c:pt>
                <c:pt idx="1">
                  <c:v>0.16893333333333332</c:v>
                </c:pt>
                <c:pt idx="2">
                  <c:v>0.16966333333333333</c:v>
                </c:pt>
                <c:pt idx="3">
                  <c:v>0.49239666666666665</c:v>
                </c:pt>
                <c:pt idx="4">
                  <c:v>0.16278999999999999</c:v>
                </c:pt>
                <c:pt idx="5">
                  <c:v>0.16634666666666667</c:v>
                </c:pt>
                <c:pt idx="6">
                  <c:v>0.17179</c:v>
                </c:pt>
              </c:numCache>
            </c:numRef>
          </c:val>
        </c:ser>
        <c:ser>
          <c:idx val="1"/>
          <c:order val="1"/>
          <c:tx>
            <c:strRef>
              <c:f>'average-execution-time'!$C$4</c:f>
              <c:strCache>
                <c:ptCount val="1"/>
                <c:pt idx="0">
                  <c:v>SWDF fully-featured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PB</c:v>
                </c:pt>
                <c:pt idx="1">
                  <c:v>SB</c:v>
                </c:pt>
                <c:pt idx="2">
                  <c:v>Hi</c:v>
                </c:pt>
                <c:pt idx="3">
                  <c:v>Ho</c:v>
                </c:pt>
                <c:pt idx="4">
                  <c:v>TC</c:v>
                </c:pt>
                <c:pt idx="5">
                  <c:v>ME</c:v>
                </c:pt>
                <c:pt idx="6">
                  <c:v>RB</c:v>
                </c:pt>
              </c:strCache>
            </c:strRef>
          </c:cat>
          <c:val>
            <c:numRef>
              <c:f>'average-execution-time'!$C$21:$C$27</c:f>
              <c:numCache>
                <c:formatCode>0.00</c:formatCode>
                <c:ptCount val="7"/>
                <c:pt idx="0">
                  <c:v>0.76762857142857133</c:v>
                </c:pt>
                <c:pt idx="1">
                  <c:v>1.4986428571428572</c:v>
                </c:pt>
                <c:pt idx="2">
                  <c:v>1.5745892857142858</c:v>
                </c:pt>
                <c:pt idx="3">
                  <c:v>0.93783985765124556</c:v>
                </c:pt>
                <c:pt idx="4">
                  <c:v>1.5332000000000001</c:v>
                </c:pt>
                <c:pt idx="5">
                  <c:v>1.5600611510791367</c:v>
                </c:pt>
                <c:pt idx="6">
                  <c:v>1.633494623655914</c:v>
                </c:pt>
              </c:numCache>
            </c:numRef>
          </c:val>
        </c:ser>
        <c:ser>
          <c:idx val="2"/>
          <c:order val="2"/>
          <c:tx>
            <c:strRef>
              <c:f>'average-execution-time'!$D$4</c:f>
              <c:strCache>
                <c:ptCount val="1"/>
                <c:pt idx="0">
                  <c:v>DBpedia BGP-only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PB</c:v>
                </c:pt>
                <c:pt idx="1">
                  <c:v>SB</c:v>
                </c:pt>
                <c:pt idx="2">
                  <c:v>Hi</c:v>
                </c:pt>
                <c:pt idx="3">
                  <c:v>Ho</c:v>
                </c:pt>
                <c:pt idx="4">
                  <c:v>TC</c:v>
                </c:pt>
                <c:pt idx="5">
                  <c:v>ME</c:v>
                </c:pt>
                <c:pt idx="6">
                  <c:v>RB</c:v>
                </c:pt>
              </c:strCache>
            </c:strRef>
          </c:cat>
          <c:val>
            <c:numRef>
              <c:f>'average-execution-time'!$D$21:$D$27</c:f>
              <c:numCache>
                <c:formatCode>0.00</c:formatCode>
                <c:ptCount val="7"/>
                <c:pt idx="0">
                  <c:v>3.8285358490566037</c:v>
                </c:pt>
                <c:pt idx="1">
                  <c:v>7.9711433962264158</c:v>
                </c:pt>
                <c:pt idx="2">
                  <c:v>7.0970187265917604</c:v>
                </c:pt>
                <c:pt idx="3">
                  <c:v>8.613917293233083</c:v>
                </c:pt>
                <c:pt idx="4">
                  <c:v>6.8874269662921348</c:v>
                </c:pt>
                <c:pt idx="5">
                  <c:v>8.847443609022557</c:v>
                </c:pt>
                <c:pt idx="6">
                  <c:v>7.8854377358490568</c:v>
                </c:pt>
              </c:numCache>
            </c:numRef>
          </c:val>
        </c:ser>
        <c:ser>
          <c:idx val="3"/>
          <c:order val="3"/>
          <c:tx>
            <c:strRef>
              <c:f>'average-execution-time'!$E$4</c:f>
              <c:strCache>
                <c:ptCount val="1"/>
                <c:pt idx="0">
                  <c:v>DBpedia fully-featured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PB</c:v>
                </c:pt>
                <c:pt idx="1">
                  <c:v>SB</c:v>
                </c:pt>
                <c:pt idx="2">
                  <c:v>Hi</c:v>
                </c:pt>
                <c:pt idx="3">
                  <c:v>Ho</c:v>
                </c:pt>
                <c:pt idx="4">
                  <c:v>TC</c:v>
                </c:pt>
                <c:pt idx="5">
                  <c:v>ME</c:v>
                </c:pt>
                <c:pt idx="6">
                  <c:v>RB</c:v>
                </c:pt>
              </c:strCache>
            </c:strRef>
          </c:cat>
          <c:val>
            <c:numRef>
              <c:f>'average-execution-time'!$E$21:$E$27</c:f>
              <c:numCache>
                <c:formatCode>0.00</c:formatCode>
                <c:ptCount val="7"/>
                <c:pt idx="0">
                  <c:v>6.5600730593607306</c:v>
                </c:pt>
                <c:pt idx="1">
                  <c:v>11.934843317972351</c:v>
                </c:pt>
                <c:pt idx="2">
                  <c:v>12.556018099547511</c:v>
                </c:pt>
                <c:pt idx="3">
                  <c:v>18.264055299539169</c:v>
                </c:pt>
                <c:pt idx="4">
                  <c:v>7.5148511627906975</c:v>
                </c:pt>
                <c:pt idx="5">
                  <c:v>12.826486111111111</c:v>
                </c:pt>
                <c:pt idx="6">
                  <c:v>12.451826484018266</c:v>
                </c:pt>
              </c:numCache>
            </c:numRef>
          </c:val>
        </c:ser>
        <c:dLbls>
          <c:dLblPos val="ctr"/>
          <c:showLegendKey val="0"/>
          <c:showVal val="1"/>
          <c:showCatName val="0"/>
          <c:showSerName val="0"/>
          <c:showPercent val="0"/>
          <c:showBubbleSize val="0"/>
        </c:dLbls>
        <c:gapWidth val="40"/>
        <c:overlap val="100"/>
        <c:axId val="1796771456"/>
        <c:axId val="1796772000"/>
      </c:barChart>
      <c:catAx>
        <c:axId val="179677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796772000"/>
        <c:crossesAt val="1.0000000000000002E-2"/>
        <c:auto val="1"/>
        <c:lblAlgn val="ctr"/>
        <c:lblOffset val="100"/>
        <c:noMultiLvlLbl val="0"/>
      </c:catAx>
      <c:valAx>
        <c:axId val="179677200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b="1">
                    <a:solidFill>
                      <a:sysClr val="windowText" lastClr="000000"/>
                    </a:solidFill>
                  </a:rPr>
                  <a:t>Average execution time in sec </a:t>
                </a:r>
              </a:p>
              <a:p>
                <a:pPr>
                  <a:defRPr sz="1400" b="1">
                    <a:solidFill>
                      <a:sysClr val="windowText" lastClr="000000"/>
                    </a:solidFill>
                  </a:defRPr>
                </a:pPr>
                <a:r>
                  <a:rPr lang="en-US" sz="1400" b="1">
                    <a:solidFill>
                      <a:sysClr val="windowText" lastClr="000000"/>
                    </a:solidFill>
                  </a:rPr>
                  <a:t>(log scale)</a:t>
                </a:r>
              </a:p>
              <a:p>
                <a:pPr>
                  <a:defRPr sz="1400" b="1">
                    <a:solidFill>
                      <a:sysClr val="windowText" lastClr="000000"/>
                    </a:solidFill>
                  </a:defRPr>
                </a:pPr>
                <a:endParaRPr lang="en-US" sz="1400" b="1">
                  <a:solidFill>
                    <a:sysClr val="windowText" lastClr="000000"/>
                  </a:solidFill>
                </a:endParaRP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796771456"/>
        <c:crosses val="autoZero"/>
        <c:crossBetween val="between"/>
      </c:valAx>
      <c:spPr>
        <a:noFill/>
        <a:ln>
          <a:noFill/>
        </a:ln>
        <a:effectLst/>
      </c:spPr>
    </c:plotArea>
    <c:legend>
      <c:legendPos val="b"/>
      <c:layout>
        <c:manualLayout>
          <c:xMode val="edge"/>
          <c:yMode val="edge"/>
          <c:x val="0.16132088930301786"/>
          <c:y val="0.75732938409762829"/>
          <c:w val="0.83599462577074846"/>
          <c:h val="0.18132607889905716"/>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'partition time'!$C$2:$C$3</c:f>
              <c:strCache>
                <c:ptCount val="2"/>
                <c:pt idx="0">
                  <c:v>SWDF</c:v>
                </c:pt>
                <c:pt idx="1">
                  <c:v>SWDF BGP-only</c:v>
                </c:pt>
              </c:strCache>
            </c:strRef>
          </c:tx>
          <c:spPr>
            <a:solidFill>
              <a:schemeClr val="accent1"/>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time'!$C$4:$C$10</c:f>
              <c:numCache>
                <c:formatCode>General</c:formatCode>
                <c:ptCount val="7"/>
                <c:pt idx="0">
                  <c:v>1541</c:v>
                </c:pt>
                <c:pt idx="1">
                  <c:v>354</c:v>
                </c:pt>
                <c:pt idx="2">
                  <c:v>354</c:v>
                </c:pt>
                <c:pt idx="3">
                  <c:v>1752</c:v>
                </c:pt>
                <c:pt idx="4">
                  <c:v>354</c:v>
                </c:pt>
                <c:pt idx="5">
                  <c:v>354</c:v>
                </c:pt>
                <c:pt idx="6">
                  <c:v>354</c:v>
                </c:pt>
              </c:numCache>
            </c:numRef>
          </c:val>
        </c:ser>
        <c:ser>
          <c:idx val="1"/>
          <c:order val="1"/>
          <c:tx>
            <c:strRef>
              <c:f>'partition time'!$D$2:$D$3</c:f>
              <c:strCache>
                <c:ptCount val="2"/>
                <c:pt idx="0">
                  <c:v>SWDF</c:v>
                </c:pt>
                <c:pt idx="1">
                  <c:v>SWDF fully-featured</c:v>
                </c:pt>
              </c:strCache>
            </c:strRef>
          </c:tx>
          <c:spPr>
            <a:solidFill>
              <a:schemeClr val="accent2"/>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time'!$D$4:$D$10</c:f>
              <c:numCache>
                <c:formatCode>General</c:formatCode>
                <c:ptCount val="7"/>
                <c:pt idx="0">
                  <c:v>2436</c:v>
                </c:pt>
                <c:pt idx="1">
                  <c:v>2578</c:v>
                </c:pt>
                <c:pt idx="2">
                  <c:v>2577</c:v>
                </c:pt>
                <c:pt idx="3">
                  <c:v>2685</c:v>
                </c:pt>
                <c:pt idx="4">
                  <c:v>2576</c:v>
                </c:pt>
                <c:pt idx="5">
                  <c:v>2574</c:v>
                </c:pt>
                <c:pt idx="6">
                  <c:v>2577</c:v>
                </c:pt>
              </c:numCache>
            </c:numRef>
          </c:val>
        </c:ser>
        <c:ser>
          <c:idx val="2"/>
          <c:order val="2"/>
          <c:tx>
            <c:strRef>
              <c:f>'partition time'!$E$2:$E$3</c:f>
              <c:strCache>
                <c:ptCount val="2"/>
                <c:pt idx="0">
                  <c:v>DBpedia</c:v>
                </c:pt>
                <c:pt idx="1">
                  <c:v>SWDF BGP-only</c:v>
                </c:pt>
              </c:strCache>
            </c:strRef>
          </c:tx>
          <c:spPr>
            <a:solidFill>
              <a:schemeClr val="accent3"/>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time'!$E$4:$E$10</c:f>
              <c:numCache>
                <c:formatCode>General</c:formatCode>
                <c:ptCount val="7"/>
                <c:pt idx="0">
                  <c:v>964</c:v>
                </c:pt>
                <c:pt idx="1">
                  <c:v>2234</c:v>
                </c:pt>
                <c:pt idx="2">
                  <c:v>2235</c:v>
                </c:pt>
                <c:pt idx="3">
                  <c:v>2352</c:v>
                </c:pt>
                <c:pt idx="4">
                  <c:v>2230</c:v>
                </c:pt>
                <c:pt idx="5">
                  <c:v>2230</c:v>
                </c:pt>
                <c:pt idx="6">
                  <c:v>2230</c:v>
                </c:pt>
              </c:numCache>
            </c:numRef>
          </c:val>
        </c:ser>
        <c:ser>
          <c:idx val="3"/>
          <c:order val="3"/>
          <c:tx>
            <c:strRef>
              <c:f>'partition time'!$F$2:$F$3</c:f>
              <c:strCache>
                <c:ptCount val="2"/>
                <c:pt idx="0">
                  <c:v>DBpedia</c:v>
                </c:pt>
                <c:pt idx="1">
                  <c:v>SWDF fully-featured</c:v>
                </c:pt>
              </c:strCache>
            </c:strRef>
          </c:tx>
          <c:spPr>
            <a:solidFill>
              <a:schemeClr val="accent4"/>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time'!$F$4:$F$10</c:f>
              <c:numCache>
                <c:formatCode>General</c:formatCode>
                <c:ptCount val="7"/>
                <c:pt idx="0">
                  <c:v>1815</c:v>
                </c:pt>
                <c:pt idx="1">
                  <c:v>2830</c:v>
                </c:pt>
                <c:pt idx="2">
                  <c:v>2832</c:v>
                </c:pt>
                <c:pt idx="3">
                  <c:v>2873</c:v>
                </c:pt>
                <c:pt idx="4">
                  <c:v>2825</c:v>
                </c:pt>
                <c:pt idx="5">
                  <c:v>2824</c:v>
                </c:pt>
                <c:pt idx="6">
                  <c:v>2827</c:v>
                </c:pt>
              </c:numCache>
            </c:numRef>
          </c:val>
        </c:ser>
        <c:ser>
          <c:idx val="4"/>
          <c:order val="4"/>
          <c:tx>
            <c:strRef>
              <c:f>'partition time'!$G$2:$G$3</c:f>
              <c:strCache>
                <c:ptCount val="2"/>
                <c:pt idx="0">
                  <c:v>Combined (600 queries)</c:v>
                </c:pt>
                <c:pt idx="1">
                  <c:v>SWDF BGP-only</c:v>
                </c:pt>
              </c:strCache>
            </c:strRef>
          </c:tx>
          <c:spPr>
            <a:solidFill>
              <a:schemeClr val="accent5"/>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time'!$G$4:$G$10</c:f>
              <c:numCache>
                <c:formatCode>General</c:formatCode>
                <c:ptCount val="7"/>
                <c:pt idx="0">
                  <c:v>2505</c:v>
                </c:pt>
                <c:pt idx="1">
                  <c:v>2588</c:v>
                </c:pt>
                <c:pt idx="2">
                  <c:v>2589</c:v>
                </c:pt>
                <c:pt idx="3">
                  <c:v>4104</c:v>
                </c:pt>
                <c:pt idx="4">
                  <c:v>2584</c:v>
                </c:pt>
                <c:pt idx="5">
                  <c:v>2584</c:v>
                </c:pt>
                <c:pt idx="6">
                  <c:v>2584</c:v>
                </c:pt>
              </c:numCache>
            </c:numRef>
          </c:val>
        </c:ser>
        <c:ser>
          <c:idx val="5"/>
          <c:order val="5"/>
          <c:tx>
            <c:strRef>
              <c:f>'partition time'!$H$2:$H$3</c:f>
              <c:strCache>
                <c:ptCount val="2"/>
                <c:pt idx="0">
                  <c:v>Combined (600 queries)</c:v>
                </c:pt>
                <c:pt idx="1">
                  <c:v>SWDF fully-featured</c:v>
                </c:pt>
              </c:strCache>
            </c:strRef>
          </c:tx>
          <c:spPr>
            <a:solidFill>
              <a:schemeClr val="accent6"/>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time'!$H$4:$H$10</c:f>
              <c:numCache>
                <c:formatCode>General</c:formatCode>
                <c:ptCount val="7"/>
                <c:pt idx="0">
                  <c:v>4251</c:v>
                </c:pt>
                <c:pt idx="1">
                  <c:v>5408</c:v>
                </c:pt>
                <c:pt idx="2">
                  <c:v>5409</c:v>
                </c:pt>
                <c:pt idx="3">
                  <c:v>5558</c:v>
                </c:pt>
                <c:pt idx="4">
                  <c:v>5401</c:v>
                </c:pt>
                <c:pt idx="5">
                  <c:v>5398</c:v>
                </c:pt>
                <c:pt idx="6">
                  <c:v>5404</c:v>
                </c:pt>
              </c:numCache>
            </c:numRef>
          </c:val>
        </c:ser>
        <c:ser>
          <c:idx val="6"/>
          <c:order val="6"/>
          <c:tx>
            <c:strRef>
              <c:f>'partition time'!$I$2:$I$3</c:f>
              <c:strCache>
                <c:ptCount val="2"/>
                <c:pt idx="0">
                  <c:v>Overall (1200 queries)</c:v>
                </c:pt>
              </c:strCache>
            </c:strRef>
          </c:tx>
          <c:spPr>
            <a:solidFill>
              <a:schemeClr val="accent1">
                <a:lumMod val="60000"/>
              </a:schemeClr>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time'!$I$4:$I$10</c:f>
              <c:numCache>
                <c:formatCode>General</c:formatCode>
                <c:ptCount val="7"/>
                <c:pt idx="0">
                  <c:v>6756</c:v>
                </c:pt>
                <c:pt idx="1">
                  <c:v>7996</c:v>
                </c:pt>
                <c:pt idx="2">
                  <c:v>7998</c:v>
                </c:pt>
                <c:pt idx="3">
                  <c:v>9662</c:v>
                </c:pt>
                <c:pt idx="4">
                  <c:v>7985</c:v>
                </c:pt>
                <c:pt idx="5">
                  <c:v>7982</c:v>
                </c:pt>
                <c:pt idx="6">
                  <c:v>7988</c:v>
                </c:pt>
              </c:numCache>
            </c:numRef>
          </c:val>
        </c:ser>
        <c:dLbls>
          <c:showLegendKey val="0"/>
          <c:showVal val="0"/>
          <c:showCatName val="0"/>
          <c:showSerName val="0"/>
          <c:showPercent val="0"/>
          <c:showBubbleSize val="0"/>
        </c:dLbls>
        <c:gapWidth val="219"/>
        <c:overlap val="-27"/>
        <c:axId val="1835564720"/>
        <c:axId val="1835569616"/>
      </c:barChart>
      <c:catAx>
        <c:axId val="183556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35569616"/>
        <c:crosses val="autoZero"/>
        <c:auto val="1"/>
        <c:lblAlgn val="ctr"/>
        <c:lblOffset val="100"/>
        <c:noMultiLvlLbl val="0"/>
      </c:catAx>
      <c:valAx>
        <c:axId val="1835569616"/>
        <c:scaling>
          <c:orientation val="minMax"/>
          <c:max val="1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b="1">
                  <a:solidFill>
                    <a:sysClr val="windowText" lastClr="000000"/>
                  </a:solidFill>
                </a:endParaRPr>
              </a:p>
              <a:p>
                <a:pPr>
                  <a:defRPr b="1">
                    <a:solidFill>
                      <a:sysClr val="windowText" lastClr="000000"/>
                    </a:solidFill>
                  </a:defRPr>
                </a:pPr>
                <a:r>
                  <a:rPr lang="en-US" b="1">
                    <a:solidFill>
                      <a:sysClr val="windowText" lastClr="000000"/>
                    </a:solidFill>
                  </a:rPr>
                  <a:t>Total</a:t>
                </a:r>
                <a:r>
                  <a:rPr lang="en-US" b="1" baseline="0">
                    <a:solidFill>
                      <a:sysClr val="windowText" lastClr="000000"/>
                    </a:solidFill>
                  </a:rPr>
                  <a:t> n</a:t>
                </a:r>
                <a:r>
                  <a:rPr lang="en-US" b="1">
                    <a:solidFill>
                      <a:sysClr val="windowText" lastClr="000000"/>
                    </a:solidFill>
                  </a:rPr>
                  <a:t>umber of sources selected</a:t>
                </a:r>
              </a:p>
            </c:rich>
          </c:tx>
          <c:layout>
            <c:manualLayout>
              <c:xMode val="edge"/>
              <c:yMode val="edge"/>
              <c:x val="3.1689702418722775E-3"/>
              <c:y val="4.4208762828689935E-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35564720"/>
        <c:crosses val="autoZero"/>
        <c:crossBetween val="between"/>
      </c:valAx>
      <c:spPr>
        <a:noFill/>
        <a:ln>
          <a:noFill/>
        </a:ln>
        <a:effectLst/>
      </c:spPr>
    </c:plotArea>
    <c:legend>
      <c:legendPos val="b"/>
      <c:layout>
        <c:manualLayout>
          <c:xMode val="edge"/>
          <c:yMode val="edge"/>
          <c:x val="1.9261974278441694E-2"/>
          <c:y val="0.8041336617292304"/>
          <c:w val="0.97890204677101356"/>
          <c:h val="0.11967631717271511"/>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20</xdr:col>
      <xdr:colOff>300037</xdr:colOff>
      <xdr:row>57</xdr:row>
      <xdr:rowOff>52387</xdr:rowOff>
    </xdr:from>
    <xdr:to>
      <xdr:col>27</xdr:col>
      <xdr:colOff>604837</xdr:colOff>
      <xdr:row>71</xdr:row>
      <xdr:rowOff>71437</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236241</xdr:colOff>
      <xdr:row>41</xdr:row>
      <xdr:rowOff>177431</xdr:rowOff>
    </xdr:from>
    <xdr:to>
      <xdr:col>19</xdr:col>
      <xdr:colOff>501723</xdr:colOff>
      <xdr:row>59</xdr:row>
      <xdr:rowOff>41533</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533400</xdr:colOff>
      <xdr:row>56</xdr:row>
      <xdr:rowOff>101600</xdr:rowOff>
    </xdr:from>
    <xdr:to>
      <xdr:col>19</xdr:col>
      <xdr:colOff>207159</xdr:colOff>
      <xdr:row>72</xdr:row>
      <xdr:rowOff>95511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75</xdr:row>
      <xdr:rowOff>0</xdr:rowOff>
    </xdr:from>
    <xdr:to>
      <xdr:col>18</xdr:col>
      <xdr:colOff>283359</xdr:colOff>
      <xdr:row>91</xdr:row>
      <xdr:rowOff>19311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92</xdr:row>
      <xdr:rowOff>0</xdr:rowOff>
    </xdr:from>
    <xdr:to>
      <xdr:col>15</xdr:col>
      <xdr:colOff>372259</xdr:colOff>
      <xdr:row>108</xdr:row>
      <xdr:rowOff>19311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603727</xdr:colOff>
      <xdr:row>2</xdr:row>
      <xdr:rowOff>0</xdr:rowOff>
    </xdr:from>
    <xdr:to>
      <xdr:col>17</xdr:col>
      <xdr:colOff>260959</xdr:colOff>
      <xdr:row>17</xdr:row>
      <xdr:rowOff>169623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574110</xdr:colOff>
      <xdr:row>33</xdr:row>
      <xdr:rowOff>130480</xdr:rowOff>
    </xdr:from>
    <xdr:to>
      <xdr:col>11</xdr:col>
      <xdr:colOff>561061</xdr:colOff>
      <xdr:row>49</xdr:row>
      <xdr:rowOff>117433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20</xdr:row>
      <xdr:rowOff>0</xdr:rowOff>
    </xdr:from>
    <xdr:to>
      <xdr:col>17</xdr:col>
      <xdr:colOff>270485</xdr:colOff>
      <xdr:row>35</xdr:row>
      <xdr:rowOff>169624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493222</xdr:colOff>
      <xdr:row>2</xdr:row>
      <xdr:rowOff>76555</xdr:rowOff>
    </xdr:from>
    <xdr:to>
      <xdr:col>27</xdr:col>
      <xdr:colOff>522598</xdr:colOff>
      <xdr:row>18</xdr:row>
      <xdr:rowOff>135338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407079</xdr:colOff>
      <xdr:row>16</xdr:row>
      <xdr:rowOff>187548</xdr:rowOff>
    </xdr:from>
    <xdr:to>
      <xdr:col>11</xdr:col>
      <xdr:colOff>42022</xdr:colOff>
      <xdr:row>34</xdr:row>
      <xdr:rowOff>84044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322621</xdr:colOff>
      <xdr:row>0</xdr:row>
      <xdr:rowOff>781</xdr:rowOff>
    </xdr:from>
    <xdr:to>
      <xdr:col>14</xdr:col>
      <xdr:colOff>30205</xdr:colOff>
      <xdr:row>19</xdr:row>
      <xdr:rowOff>9991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171450</xdr:colOff>
      <xdr:row>18</xdr:row>
      <xdr:rowOff>114300</xdr:rowOff>
    </xdr:from>
    <xdr:to>
      <xdr:col>25</xdr:col>
      <xdr:colOff>1</xdr:colOff>
      <xdr:row>32</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85725</xdr:colOff>
      <xdr:row>8</xdr:row>
      <xdr:rowOff>133350</xdr:rowOff>
    </xdr:from>
    <xdr:to>
      <xdr:col>18</xdr:col>
      <xdr:colOff>523876</xdr:colOff>
      <xdr:row>20</xdr:row>
      <xdr:rowOff>104774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zoomScale="90" zoomScaleNormal="90" zoomScaleSheetLayoutView="130" workbookViewId="0">
      <selection activeCell="H1" sqref="H1:I2"/>
    </sheetView>
  </sheetViews>
  <sheetFormatPr defaultRowHeight="15" x14ac:dyDescent="0.25"/>
  <cols>
    <col min="1" max="1" width="17.5703125" customWidth="1"/>
    <col min="5" max="5" width="15.28515625" customWidth="1"/>
    <col min="6" max="6" width="14.42578125" customWidth="1"/>
    <col min="7" max="7" width="15" customWidth="1"/>
    <col min="8" max="8" width="14.42578125" customWidth="1"/>
    <col min="9" max="9" width="14.28515625" customWidth="1"/>
    <col min="10" max="10" width="13.5703125" customWidth="1"/>
    <col min="11" max="11" width="16.28515625" customWidth="1"/>
    <col min="12" max="12" width="22.85546875" customWidth="1"/>
    <col min="13" max="13" width="10.85546875" customWidth="1"/>
    <col min="14" max="14" width="16.7109375" customWidth="1"/>
    <col min="15" max="16" width="5.28515625" customWidth="1"/>
    <col min="17" max="17" width="6.140625" customWidth="1"/>
    <col min="18" max="18" width="4.7109375" customWidth="1"/>
    <col min="19" max="19" width="6.42578125" customWidth="1"/>
    <col min="20" max="20" width="5.85546875" customWidth="1"/>
    <col min="21" max="21" width="6.140625" customWidth="1"/>
    <col min="22" max="22" width="4.7109375" customWidth="1"/>
    <col min="23" max="23" width="5.140625" customWidth="1"/>
    <col min="24" max="24" width="4.42578125" customWidth="1"/>
    <col min="25" max="28" width="12" customWidth="1"/>
  </cols>
  <sheetData>
    <row r="1" spans="1:28" x14ac:dyDescent="0.25">
      <c r="A1" s="142" t="s">
        <v>69</v>
      </c>
      <c r="B1" s="43">
        <v>20055</v>
      </c>
      <c r="C1" s="21">
        <v>0</v>
      </c>
      <c r="D1" s="43">
        <v>1211497</v>
      </c>
      <c r="E1" s="21">
        <v>24</v>
      </c>
      <c r="F1" s="43">
        <v>2296634</v>
      </c>
      <c r="G1" s="21">
        <v>35</v>
      </c>
      <c r="H1" s="43">
        <v>1991719</v>
      </c>
      <c r="I1" s="21">
        <v>70</v>
      </c>
    </row>
    <row r="2" spans="1:28" ht="15.75" thickBot="1" x14ac:dyDescent="0.3">
      <c r="A2" s="143" t="s">
        <v>70</v>
      </c>
      <c r="B2" s="25">
        <v>20133</v>
      </c>
      <c r="C2" s="27">
        <v>0</v>
      </c>
      <c r="D2" s="25">
        <v>1362325</v>
      </c>
      <c r="E2" s="27">
        <v>19</v>
      </c>
      <c r="F2" s="25">
        <v>2198502</v>
      </c>
      <c r="G2" s="27">
        <v>32</v>
      </c>
      <c r="H2" s="25">
        <v>1601633</v>
      </c>
      <c r="I2" s="27">
        <v>70</v>
      </c>
    </row>
    <row r="3" spans="1:28" s="12" customFormat="1" ht="26.25" x14ac:dyDescent="0.4">
      <c r="E3" s="12" t="s">
        <v>4</v>
      </c>
      <c r="J3" s="12" t="s">
        <v>5</v>
      </c>
      <c r="O3" s="12" t="s">
        <v>6</v>
      </c>
      <c r="U3" s="12" t="s">
        <v>7</v>
      </c>
      <c r="Z3" s="12" t="s">
        <v>8</v>
      </c>
    </row>
    <row r="5" spans="1:28" s="14" customFormat="1" ht="23.25" x14ac:dyDescent="0.35">
      <c r="D5" s="13" t="s">
        <v>1</v>
      </c>
      <c r="E5" s="13"/>
      <c r="F5" s="13" t="s">
        <v>2</v>
      </c>
      <c r="G5" s="13"/>
      <c r="I5" s="15" t="s">
        <v>1</v>
      </c>
      <c r="J5" s="15"/>
      <c r="K5" s="15" t="s">
        <v>2</v>
      </c>
      <c r="L5" s="15"/>
      <c r="N5" s="16" t="s">
        <v>1</v>
      </c>
      <c r="O5" s="16"/>
      <c r="P5" s="16" t="s">
        <v>2</v>
      </c>
      <c r="Q5" s="16"/>
      <c r="R5" s="16"/>
      <c r="T5" s="17" t="s">
        <v>1</v>
      </c>
      <c r="U5" s="17"/>
      <c r="V5" s="17" t="s">
        <v>2</v>
      </c>
      <c r="W5" s="17"/>
      <c r="Y5" s="18" t="s">
        <v>1</v>
      </c>
      <c r="Z5" s="18"/>
      <c r="AA5" s="18" t="s">
        <v>2</v>
      </c>
      <c r="AB5" s="18"/>
    </row>
    <row r="6" spans="1:28" s="1" customFormat="1" x14ac:dyDescent="0.25">
      <c r="D6" s="2" t="s">
        <v>0</v>
      </c>
      <c r="E6" s="2" t="s">
        <v>3</v>
      </c>
      <c r="F6" s="2" t="s">
        <v>0</v>
      </c>
      <c r="G6" s="2" t="s">
        <v>3</v>
      </c>
      <c r="I6" s="4" t="s">
        <v>0</v>
      </c>
      <c r="J6" s="4" t="s">
        <v>3</v>
      </c>
      <c r="K6" s="4" t="s">
        <v>0</v>
      </c>
      <c r="L6" s="4" t="s">
        <v>3</v>
      </c>
      <c r="N6" s="6" t="s">
        <v>0</v>
      </c>
      <c r="O6" s="6" t="s">
        <v>3</v>
      </c>
      <c r="P6" s="6" t="s">
        <v>0</v>
      </c>
      <c r="Q6" s="6" t="s">
        <v>3</v>
      </c>
      <c r="R6" s="6"/>
      <c r="T6" s="8" t="s">
        <v>0</v>
      </c>
      <c r="U6" s="8" t="s">
        <v>3</v>
      </c>
      <c r="V6" s="8" t="s">
        <v>0</v>
      </c>
      <c r="W6" s="8" t="s">
        <v>3</v>
      </c>
      <c r="Y6" s="10" t="s">
        <v>0</v>
      </c>
      <c r="Z6" s="10" t="s">
        <v>3</v>
      </c>
      <c r="AA6" s="10" t="s">
        <v>0</v>
      </c>
      <c r="AB6" s="10" t="s">
        <v>3</v>
      </c>
    </row>
    <row r="7" spans="1:28" x14ac:dyDescent="0.25">
      <c r="D7" s="19"/>
      <c r="E7" s="19"/>
      <c r="F7" s="19"/>
      <c r="G7" s="19"/>
      <c r="H7" s="19"/>
      <c r="I7" s="19"/>
      <c r="J7" s="19"/>
      <c r="K7" s="19"/>
      <c r="L7" s="19"/>
      <c r="M7" s="19"/>
      <c r="N7" s="19"/>
      <c r="O7" s="19"/>
      <c r="P7" s="19"/>
      <c r="Q7" s="19"/>
      <c r="R7" s="19"/>
      <c r="S7" s="19"/>
      <c r="T7" s="19"/>
      <c r="U7" s="19"/>
      <c r="V7" s="19"/>
      <c r="W7" s="19"/>
      <c r="X7" s="19"/>
      <c r="Y7" s="19"/>
      <c r="Z7" s="19"/>
      <c r="AA7" s="19"/>
      <c r="AB7" s="19"/>
    </row>
    <row r="8" spans="1:28" x14ac:dyDescent="0.25">
      <c r="A8" t="s">
        <v>9</v>
      </c>
      <c r="D8" s="3">
        <v>11368</v>
      </c>
      <c r="E8" s="3">
        <v>1166875</v>
      </c>
      <c r="F8" s="3">
        <v>6217991</v>
      </c>
      <c r="G8" s="3">
        <v>1268012</v>
      </c>
      <c r="I8" s="5">
        <v>20065</v>
      </c>
      <c r="J8" s="5">
        <v>1226421</v>
      </c>
      <c r="K8" s="5">
        <v>2738118</v>
      </c>
      <c r="L8" s="5">
        <v>2684743</v>
      </c>
      <c r="N8" s="7">
        <v>20823</v>
      </c>
      <c r="O8" s="7">
        <v>1206050</v>
      </c>
      <c r="P8" s="7">
        <v>2852823</v>
      </c>
      <c r="Q8" s="7">
        <v>2107791</v>
      </c>
      <c r="R8" s="7"/>
      <c r="T8" s="9">
        <v>17129</v>
      </c>
      <c r="U8" s="9">
        <v>1207801</v>
      </c>
      <c r="V8" s="9">
        <v>2707456</v>
      </c>
      <c r="W8" s="9">
        <v>1726288</v>
      </c>
      <c r="Y8" s="11">
        <v>20413</v>
      </c>
      <c r="Z8" s="11">
        <v>1197553</v>
      </c>
      <c r="AA8" s="11">
        <v>2386275</v>
      </c>
      <c r="AB8" s="11">
        <v>1858582</v>
      </c>
    </row>
    <row r="9" spans="1:28" x14ac:dyDescent="0.25">
      <c r="A9" t="s">
        <v>10</v>
      </c>
      <c r="E9">
        <v>6300000</v>
      </c>
      <c r="F9">
        <v>5760000</v>
      </c>
      <c r="G9">
        <v>13140000</v>
      </c>
      <c r="J9">
        <v>4320000</v>
      </c>
      <c r="K9">
        <v>5220000</v>
      </c>
      <c r="L9">
        <v>12420000</v>
      </c>
      <c r="O9">
        <v>5040000</v>
      </c>
      <c r="P9">
        <v>5040000</v>
      </c>
      <c r="Q9">
        <v>12600000</v>
      </c>
      <c r="U9">
        <v>2160000</v>
      </c>
      <c r="V9">
        <v>5580000</v>
      </c>
      <c r="W9">
        <v>13140000</v>
      </c>
      <c r="Z9">
        <v>5400000</v>
      </c>
      <c r="AA9">
        <v>6300000</v>
      </c>
      <c r="AB9">
        <v>13320000</v>
      </c>
    </row>
    <row r="10" spans="1:28" ht="15.75" thickBot="1" x14ac:dyDescent="0.3"/>
    <row r="11" spans="1:28" ht="15.75" thickBot="1" x14ac:dyDescent="0.3">
      <c r="E11" s="48" t="s">
        <v>14</v>
      </c>
      <c r="F11" s="49"/>
      <c r="G11" s="49"/>
      <c r="H11" s="46"/>
      <c r="I11" s="46"/>
      <c r="J11" s="47"/>
      <c r="K11" s="46"/>
      <c r="L11" s="47"/>
    </row>
    <row r="12" spans="1:28" ht="15.75" thickBot="1" x14ac:dyDescent="0.3">
      <c r="E12" s="28"/>
      <c r="F12" s="264" t="s">
        <v>1</v>
      </c>
      <c r="G12" s="266"/>
      <c r="H12" s="264" t="s">
        <v>18</v>
      </c>
      <c r="I12" s="265"/>
      <c r="J12" s="264" t="s">
        <v>21</v>
      </c>
      <c r="K12" s="266"/>
      <c r="L12" s="42" t="s">
        <v>22</v>
      </c>
      <c r="N12" s="28"/>
      <c r="O12" s="264" t="s">
        <v>28</v>
      </c>
      <c r="P12" s="265"/>
      <c r="Q12" s="265"/>
      <c r="R12" s="265"/>
      <c r="S12" s="266"/>
      <c r="T12" s="264" t="s">
        <v>30</v>
      </c>
      <c r="U12" s="265"/>
      <c r="V12" s="265"/>
      <c r="W12" s="265"/>
      <c r="X12" s="266"/>
    </row>
    <row r="13" spans="1:28" x14ac:dyDescent="0.25">
      <c r="E13" s="43"/>
      <c r="F13" s="43" t="s">
        <v>11</v>
      </c>
      <c r="G13" s="21" t="s">
        <v>12</v>
      </c>
      <c r="H13" s="20" t="s">
        <v>11</v>
      </c>
      <c r="I13" s="20" t="s">
        <v>12</v>
      </c>
      <c r="J13" s="43" t="s">
        <v>11</v>
      </c>
      <c r="K13" s="21" t="s">
        <v>12</v>
      </c>
      <c r="L13" s="41"/>
      <c r="N13" s="43"/>
      <c r="O13" s="31" t="s">
        <v>23</v>
      </c>
      <c r="P13" s="37" t="s">
        <v>24</v>
      </c>
      <c r="Q13" s="61" t="s">
        <v>25</v>
      </c>
      <c r="R13" s="65" t="s">
        <v>26</v>
      </c>
      <c r="S13" s="57" t="s">
        <v>27</v>
      </c>
      <c r="U13" s="23"/>
      <c r="V13" s="23"/>
      <c r="W13" s="56"/>
      <c r="X13" s="57"/>
    </row>
    <row r="14" spans="1:28" x14ac:dyDescent="0.25">
      <c r="A14">
        <f>E9/180000</f>
        <v>35</v>
      </c>
      <c r="E14" s="22" t="s">
        <v>13</v>
      </c>
      <c r="F14" s="31">
        <v>11368</v>
      </c>
      <c r="G14" s="24">
        <v>7466875</v>
      </c>
      <c r="H14" s="23">
        <v>11977991</v>
      </c>
      <c r="I14" s="30">
        <v>14408012</v>
      </c>
      <c r="J14" s="22">
        <v>11989359</v>
      </c>
      <c r="K14" s="24">
        <v>21874887</v>
      </c>
      <c r="L14" s="39">
        <v>33864246</v>
      </c>
      <c r="N14" s="22" t="s">
        <v>13</v>
      </c>
      <c r="O14" s="32">
        <v>2</v>
      </c>
      <c r="P14" s="34">
        <v>0</v>
      </c>
      <c r="Q14" s="34">
        <v>0</v>
      </c>
      <c r="R14" s="68">
        <v>0</v>
      </c>
      <c r="S14" s="66">
        <v>2</v>
      </c>
      <c r="T14" s="32" t="s">
        <v>31</v>
      </c>
      <c r="U14" s="34"/>
      <c r="V14" s="34"/>
      <c r="W14" s="23"/>
      <c r="X14" s="29"/>
    </row>
    <row r="15" spans="1:28" x14ac:dyDescent="0.25">
      <c r="E15" s="22" t="s">
        <v>15</v>
      </c>
      <c r="F15" s="58">
        <v>20065</v>
      </c>
      <c r="G15" s="36">
        <v>5546421</v>
      </c>
      <c r="H15" s="37">
        <v>7958118</v>
      </c>
      <c r="I15" s="64">
        <v>15104743</v>
      </c>
      <c r="J15" s="35">
        <v>7978183</v>
      </c>
      <c r="K15" s="36">
        <v>20651164</v>
      </c>
      <c r="L15" s="45">
        <v>28629347</v>
      </c>
      <c r="N15" s="22" t="s">
        <v>15</v>
      </c>
      <c r="O15" s="32">
        <v>0</v>
      </c>
      <c r="P15" s="34">
        <v>2</v>
      </c>
      <c r="Q15" s="34">
        <v>1</v>
      </c>
      <c r="R15" s="68">
        <v>1</v>
      </c>
      <c r="S15" s="66">
        <v>0</v>
      </c>
      <c r="T15" s="32" t="s">
        <v>32</v>
      </c>
      <c r="U15" s="34"/>
      <c r="V15" s="34"/>
      <c r="W15" s="37"/>
      <c r="X15" s="24"/>
    </row>
    <row r="16" spans="1:28" x14ac:dyDescent="0.25">
      <c r="E16" s="22" t="s">
        <v>6</v>
      </c>
      <c r="F16" s="22">
        <v>20823</v>
      </c>
      <c r="G16" s="60">
        <v>6246050</v>
      </c>
      <c r="H16" s="30">
        <v>7892823</v>
      </c>
      <c r="I16" s="37">
        <v>14707791</v>
      </c>
      <c r="J16" s="31">
        <v>7913646</v>
      </c>
      <c r="K16" s="24">
        <v>20953841</v>
      </c>
      <c r="L16" s="39">
        <v>28867487</v>
      </c>
      <c r="N16" s="22" t="s">
        <v>6</v>
      </c>
      <c r="O16" s="32">
        <v>1</v>
      </c>
      <c r="P16" s="34">
        <v>1</v>
      </c>
      <c r="Q16" s="34">
        <v>1</v>
      </c>
      <c r="R16" s="68">
        <v>0</v>
      </c>
      <c r="S16" s="66">
        <v>1</v>
      </c>
      <c r="T16" s="32" t="s">
        <v>33</v>
      </c>
      <c r="U16" s="34"/>
      <c r="V16" s="34"/>
      <c r="W16" s="30"/>
      <c r="X16" s="36"/>
    </row>
    <row r="17" spans="5:24" x14ac:dyDescent="0.25">
      <c r="E17" s="22" t="s">
        <v>16</v>
      </c>
      <c r="F17" s="35">
        <v>17129</v>
      </c>
      <c r="G17" s="29">
        <v>3367801</v>
      </c>
      <c r="H17" s="61">
        <v>8287456</v>
      </c>
      <c r="I17" s="61">
        <v>14866288</v>
      </c>
      <c r="J17" s="22">
        <v>8304585</v>
      </c>
      <c r="K17" s="29">
        <v>18234089</v>
      </c>
      <c r="L17" s="44">
        <v>26538674</v>
      </c>
      <c r="N17" s="22" t="s">
        <v>16</v>
      </c>
      <c r="O17" s="32">
        <v>1</v>
      </c>
      <c r="P17" s="34">
        <v>1</v>
      </c>
      <c r="Q17" s="68">
        <v>2</v>
      </c>
      <c r="R17" s="68">
        <v>0</v>
      </c>
      <c r="S17" s="66">
        <v>0</v>
      </c>
      <c r="T17" s="32" t="s">
        <v>34</v>
      </c>
      <c r="U17" s="34"/>
      <c r="V17" s="34"/>
      <c r="W17" s="23"/>
      <c r="X17" s="24"/>
    </row>
    <row r="18" spans="5:24" ht="15.75" thickBot="1" x14ac:dyDescent="0.3">
      <c r="E18" s="25" t="s">
        <v>17</v>
      </c>
      <c r="F18" s="59">
        <v>20413</v>
      </c>
      <c r="G18" s="62">
        <v>6597553</v>
      </c>
      <c r="H18" s="63">
        <v>8686275</v>
      </c>
      <c r="I18" s="26">
        <v>15178582</v>
      </c>
      <c r="J18" s="25">
        <v>8706688</v>
      </c>
      <c r="K18" s="27">
        <v>21776135</v>
      </c>
      <c r="L18" s="40">
        <v>30482823</v>
      </c>
      <c r="N18" s="25" t="s">
        <v>17</v>
      </c>
      <c r="O18" s="33">
        <v>0</v>
      </c>
      <c r="P18" s="51">
        <v>0</v>
      </c>
      <c r="Q18" s="51">
        <v>0</v>
      </c>
      <c r="R18" s="51">
        <v>3</v>
      </c>
      <c r="S18" s="67">
        <v>1</v>
      </c>
      <c r="T18" s="33" t="s">
        <v>35</v>
      </c>
      <c r="U18" s="51"/>
      <c r="V18" s="51"/>
      <c r="W18" s="26"/>
      <c r="X18" s="27"/>
    </row>
    <row r="20" spans="5:24" x14ac:dyDescent="0.25">
      <c r="F20">
        <v>11368</v>
      </c>
      <c r="G20">
        <v>3367801</v>
      </c>
      <c r="H20">
        <v>7892823</v>
      </c>
      <c r="I20">
        <v>14408012</v>
      </c>
      <c r="J20">
        <v>7913646</v>
      </c>
      <c r="K20">
        <v>18234089</v>
      </c>
      <c r="L20">
        <v>26538674</v>
      </c>
    </row>
    <row r="21" spans="5:24" ht="15.75" thickBot="1" x14ac:dyDescent="0.3"/>
    <row r="22" spans="5:24" ht="15.75" thickBot="1" x14ac:dyDescent="0.3">
      <c r="E22" s="267" t="s">
        <v>20</v>
      </c>
      <c r="F22" s="268"/>
      <c r="G22" s="268"/>
      <c r="H22" s="268"/>
      <c r="I22" s="268"/>
      <c r="J22" s="269"/>
      <c r="K22" s="46"/>
      <c r="L22" s="47"/>
    </row>
    <row r="23" spans="5:24" ht="15.75" thickBot="1" x14ac:dyDescent="0.3">
      <c r="E23" s="28"/>
      <c r="F23" s="264" t="s">
        <v>1</v>
      </c>
      <c r="G23" s="266"/>
      <c r="H23" s="264" t="s">
        <v>18</v>
      </c>
      <c r="I23" s="265"/>
      <c r="J23" s="264" t="s">
        <v>21</v>
      </c>
      <c r="K23" s="266"/>
      <c r="L23" s="42" t="s">
        <v>22</v>
      </c>
      <c r="N23" s="28"/>
      <c r="O23" s="264" t="s">
        <v>36</v>
      </c>
      <c r="P23" s="265"/>
      <c r="Q23" s="265"/>
      <c r="R23" s="265"/>
      <c r="S23" s="266"/>
      <c r="T23" s="264" t="s">
        <v>30</v>
      </c>
      <c r="U23" s="265"/>
      <c r="V23" s="265"/>
      <c r="W23" s="265"/>
      <c r="X23" s="266"/>
    </row>
    <row r="24" spans="5:24" x14ac:dyDescent="0.25">
      <c r="E24" s="22"/>
      <c r="F24" s="22" t="s">
        <v>11</v>
      </c>
      <c r="G24" s="24" t="s">
        <v>12</v>
      </c>
      <c r="H24" s="23" t="s">
        <v>11</v>
      </c>
      <c r="I24" s="23" t="s">
        <v>12</v>
      </c>
      <c r="J24" s="43" t="s">
        <v>11</v>
      </c>
      <c r="K24" s="21" t="s">
        <v>12</v>
      </c>
      <c r="L24" s="41"/>
      <c r="N24" s="43"/>
      <c r="O24" s="31" t="s">
        <v>23</v>
      </c>
      <c r="P24" s="37" t="s">
        <v>24</v>
      </c>
      <c r="Q24" s="61" t="s">
        <v>25</v>
      </c>
      <c r="R24" s="65" t="s">
        <v>26</v>
      </c>
      <c r="S24" s="57" t="s">
        <v>27</v>
      </c>
      <c r="U24" s="23"/>
      <c r="V24" s="23"/>
      <c r="W24" s="56"/>
      <c r="X24" s="57"/>
    </row>
    <row r="25" spans="5:24" x14ac:dyDescent="0.25">
      <c r="E25" s="22" t="s">
        <v>13</v>
      </c>
      <c r="F25" s="32">
        <v>0</v>
      </c>
      <c r="G25" s="24">
        <v>35</v>
      </c>
      <c r="H25" s="64">
        <v>32</v>
      </c>
      <c r="I25" s="64">
        <v>73</v>
      </c>
      <c r="J25" s="22">
        <v>32</v>
      </c>
      <c r="K25" s="24">
        <v>108</v>
      </c>
      <c r="L25" s="39">
        <v>140</v>
      </c>
      <c r="N25" s="22" t="s">
        <v>13</v>
      </c>
      <c r="O25" s="32">
        <v>0</v>
      </c>
      <c r="P25" s="34">
        <v>0</v>
      </c>
      <c r="Q25" s="34">
        <v>0</v>
      </c>
      <c r="R25" s="68">
        <v>2</v>
      </c>
      <c r="S25" s="66">
        <v>1</v>
      </c>
      <c r="T25" s="32" t="s">
        <v>37</v>
      </c>
      <c r="U25" s="34"/>
      <c r="V25" s="34"/>
      <c r="W25" s="23"/>
      <c r="X25" s="29"/>
    </row>
    <row r="26" spans="5:24" x14ac:dyDescent="0.25">
      <c r="E26" s="22" t="s">
        <v>15</v>
      </c>
      <c r="F26" s="32">
        <v>0</v>
      </c>
      <c r="G26" s="36">
        <v>24</v>
      </c>
      <c r="H26" s="37">
        <v>29</v>
      </c>
      <c r="I26" s="30">
        <v>69</v>
      </c>
      <c r="J26" s="35">
        <v>29</v>
      </c>
      <c r="K26" s="36">
        <v>93</v>
      </c>
      <c r="L26" s="45">
        <v>122</v>
      </c>
      <c r="N26" s="22" t="s">
        <v>15</v>
      </c>
      <c r="O26" s="32">
        <v>1</v>
      </c>
      <c r="P26" s="34">
        <v>2</v>
      </c>
      <c r="Q26" s="34">
        <v>0</v>
      </c>
      <c r="R26" s="68">
        <v>0</v>
      </c>
      <c r="S26" s="66">
        <v>0</v>
      </c>
      <c r="T26" s="32" t="s">
        <v>38</v>
      </c>
      <c r="U26" s="34"/>
      <c r="V26" s="34"/>
      <c r="W26" s="37"/>
      <c r="X26" s="24"/>
    </row>
    <row r="27" spans="5:24" x14ac:dyDescent="0.25">
      <c r="E27" s="22" t="s">
        <v>6</v>
      </c>
      <c r="F27" s="32">
        <v>0</v>
      </c>
      <c r="G27" s="60">
        <v>28</v>
      </c>
      <c r="H27" s="30">
        <v>28</v>
      </c>
      <c r="I27" s="37">
        <v>70</v>
      </c>
      <c r="J27" s="31">
        <v>28</v>
      </c>
      <c r="K27" s="24">
        <v>98</v>
      </c>
      <c r="L27" s="39">
        <v>126</v>
      </c>
      <c r="N27" s="22" t="s">
        <v>6</v>
      </c>
      <c r="O27" s="32">
        <v>1</v>
      </c>
      <c r="P27" s="34">
        <v>1</v>
      </c>
      <c r="Q27" s="34">
        <v>1</v>
      </c>
      <c r="R27" s="68">
        <v>0</v>
      </c>
      <c r="S27" s="66">
        <v>0</v>
      </c>
      <c r="T27" s="32" t="s">
        <v>39</v>
      </c>
      <c r="U27" s="34"/>
      <c r="V27" s="34"/>
      <c r="W27" s="30"/>
      <c r="X27" s="36"/>
    </row>
    <row r="28" spans="5:24" x14ac:dyDescent="0.25">
      <c r="E28" s="22" t="s">
        <v>16</v>
      </c>
      <c r="F28" s="32">
        <v>0</v>
      </c>
      <c r="G28" s="29">
        <v>12</v>
      </c>
      <c r="H28" s="61">
        <v>31</v>
      </c>
      <c r="I28" s="61">
        <v>73</v>
      </c>
      <c r="J28" s="22">
        <v>31</v>
      </c>
      <c r="K28" s="29">
        <v>85</v>
      </c>
      <c r="L28" s="44">
        <v>116</v>
      </c>
      <c r="N28" s="22" t="s">
        <v>16</v>
      </c>
      <c r="O28" s="32">
        <v>1</v>
      </c>
      <c r="P28" s="68">
        <v>0</v>
      </c>
      <c r="Q28" s="68">
        <v>2</v>
      </c>
      <c r="R28" s="68">
        <v>0</v>
      </c>
      <c r="S28" s="66">
        <v>0</v>
      </c>
      <c r="T28" s="32" t="s">
        <v>40</v>
      </c>
      <c r="U28" s="34"/>
      <c r="V28" s="34"/>
      <c r="W28" s="23"/>
      <c r="X28" s="24"/>
    </row>
    <row r="29" spans="5:24" ht="15.75" thickBot="1" x14ac:dyDescent="0.3">
      <c r="E29" s="25" t="s">
        <v>17</v>
      </c>
      <c r="F29" s="33">
        <v>0</v>
      </c>
      <c r="G29" s="62">
        <v>30</v>
      </c>
      <c r="H29" s="26">
        <v>35</v>
      </c>
      <c r="I29" s="26">
        <v>74</v>
      </c>
      <c r="J29" s="25">
        <v>35</v>
      </c>
      <c r="K29" s="27">
        <v>104</v>
      </c>
      <c r="L29" s="40">
        <v>139</v>
      </c>
      <c r="N29" s="25" t="s">
        <v>17</v>
      </c>
      <c r="O29" s="33">
        <v>0</v>
      </c>
      <c r="P29" s="51">
        <v>0</v>
      </c>
      <c r="Q29" s="51">
        <v>0</v>
      </c>
      <c r="R29" s="51">
        <v>1</v>
      </c>
      <c r="S29" s="67">
        <v>2</v>
      </c>
      <c r="T29" s="33" t="s">
        <v>37</v>
      </c>
      <c r="U29" s="51"/>
      <c r="V29" s="51"/>
      <c r="W29" s="26"/>
      <c r="X29" s="27"/>
    </row>
    <row r="30" spans="5:24" x14ac:dyDescent="0.25">
      <c r="G30">
        <v>12</v>
      </c>
      <c r="H30">
        <v>28</v>
      </c>
      <c r="I30">
        <v>69</v>
      </c>
      <c r="J30">
        <v>28</v>
      </c>
      <c r="K30">
        <v>85</v>
      </c>
      <c r="L30">
        <v>116</v>
      </c>
    </row>
    <row r="34" spans="5:24" ht="15.75" thickBot="1" x14ac:dyDescent="0.3"/>
    <row r="35" spans="5:24" ht="15.75" thickBot="1" x14ac:dyDescent="0.3">
      <c r="E35" s="48" t="s">
        <v>19</v>
      </c>
      <c r="F35" s="49"/>
      <c r="G35" s="49"/>
      <c r="H35" s="46"/>
      <c r="I35" s="46"/>
      <c r="J35" s="47"/>
      <c r="K35" s="46"/>
      <c r="L35" s="47"/>
    </row>
    <row r="36" spans="5:24" ht="15.75" thickBot="1" x14ac:dyDescent="0.3">
      <c r="E36" s="28"/>
      <c r="F36" s="52" t="s">
        <v>1</v>
      </c>
      <c r="G36" s="53"/>
      <c r="H36" s="52" t="s">
        <v>18</v>
      </c>
      <c r="I36" s="38"/>
      <c r="J36" s="52" t="s">
        <v>21</v>
      </c>
      <c r="K36" s="53"/>
      <c r="L36" s="42" t="s">
        <v>22</v>
      </c>
      <c r="N36" s="28"/>
      <c r="O36" s="264" t="s">
        <v>28</v>
      </c>
      <c r="P36" s="265"/>
      <c r="Q36" s="265"/>
      <c r="R36" s="265"/>
      <c r="S36" s="266"/>
      <c r="T36" s="264" t="s">
        <v>30</v>
      </c>
      <c r="U36" s="265"/>
      <c r="V36" s="265"/>
      <c r="W36" s="265"/>
      <c r="X36" s="266"/>
    </row>
    <row r="37" spans="5:24" x14ac:dyDescent="0.25">
      <c r="E37" s="22"/>
      <c r="F37" s="22" t="s">
        <v>11</v>
      </c>
      <c r="G37" s="24" t="s">
        <v>12</v>
      </c>
      <c r="H37" s="23" t="s">
        <v>11</v>
      </c>
      <c r="I37" s="23" t="s">
        <v>12</v>
      </c>
      <c r="J37" s="43" t="s">
        <v>11</v>
      </c>
      <c r="K37" s="21" t="s">
        <v>12</v>
      </c>
      <c r="L37" s="41"/>
      <c r="N37" s="43"/>
      <c r="O37" s="31" t="s">
        <v>23</v>
      </c>
      <c r="P37" s="37" t="s">
        <v>24</v>
      </c>
      <c r="Q37" s="61" t="s">
        <v>25</v>
      </c>
      <c r="R37" s="65" t="s">
        <v>26</v>
      </c>
      <c r="S37" s="57" t="s">
        <v>27</v>
      </c>
      <c r="U37" s="23"/>
      <c r="V37" s="23"/>
      <c r="W37" s="56"/>
      <c r="X37" s="57"/>
    </row>
    <row r="38" spans="5:24" x14ac:dyDescent="0.25">
      <c r="E38" s="22" t="s">
        <v>13</v>
      </c>
      <c r="F38" s="31">
        <v>11368</v>
      </c>
      <c r="G38" s="36">
        <v>4403.3018867924529</v>
      </c>
      <c r="H38" s="23">
        <v>23201.458955223879</v>
      </c>
      <c r="I38" s="30">
        <v>5585.9559471365637</v>
      </c>
      <c r="J38" s="22">
        <v>34569.458955223876</v>
      </c>
      <c r="K38" s="29">
        <v>9989.2578339290158</v>
      </c>
      <c r="L38" s="39">
        <v>44558.716789152895</v>
      </c>
      <c r="N38" s="22" t="s">
        <v>13</v>
      </c>
      <c r="O38" s="32">
        <v>2</v>
      </c>
      <c r="P38" s="34">
        <v>1</v>
      </c>
      <c r="Q38" s="34">
        <v>0</v>
      </c>
      <c r="R38" s="68">
        <v>0</v>
      </c>
      <c r="S38" s="66">
        <v>1</v>
      </c>
      <c r="T38" s="32" t="s">
        <v>43</v>
      </c>
      <c r="U38" s="34"/>
      <c r="V38" s="34"/>
      <c r="W38" s="23"/>
      <c r="X38" s="29"/>
    </row>
    <row r="39" spans="5:24" x14ac:dyDescent="0.25">
      <c r="E39" s="22" t="s">
        <v>15</v>
      </c>
      <c r="F39" s="58">
        <v>20065</v>
      </c>
      <c r="G39" s="24">
        <v>4443.554347826087</v>
      </c>
      <c r="H39" s="61">
        <v>10103.756457564576</v>
      </c>
      <c r="I39" s="34">
        <v>11622.264069264069</v>
      </c>
      <c r="J39" s="22">
        <v>30168.756457564574</v>
      </c>
      <c r="K39" s="24">
        <v>16065.818417090155</v>
      </c>
      <c r="L39" s="39">
        <v>46234.574874654732</v>
      </c>
      <c r="N39" s="22" t="s">
        <v>15</v>
      </c>
      <c r="O39" s="32">
        <v>0</v>
      </c>
      <c r="P39" s="34">
        <v>0</v>
      </c>
      <c r="Q39" s="34">
        <v>2</v>
      </c>
      <c r="R39" s="68">
        <v>0</v>
      </c>
      <c r="S39" s="66">
        <v>2</v>
      </c>
      <c r="T39" s="32" t="s">
        <v>44</v>
      </c>
      <c r="U39" s="34"/>
      <c r="V39" s="34"/>
      <c r="W39" s="37"/>
      <c r="X39" s="24"/>
    </row>
    <row r="40" spans="5:24" x14ac:dyDescent="0.25">
      <c r="E40" s="22" t="s">
        <v>6</v>
      </c>
      <c r="F40" s="22">
        <v>20823</v>
      </c>
      <c r="G40" s="60">
        <v>4434.0073529411766</v>
      </c>
      <c r="H40" s="64">
        <v>10488.319852941177</v>
      </c>
      <c r="I40" s="64">
        <v>9164.3086956521747</v>
      </c>
      <c r="J40" s="22">
        <v>31311.319852941175</v>
      </c>
      <c r="K40" s="24">
        <v>13598.316048593351</v>
      </c>
      <c r="L40" s="39">
        <v>44909.635901534522</v>
      </c>
      <c r="N40" s="22" t="s">
        <v>6</v>
      </c>
      <c r="O40" s="32">
        <v>0</v>
      </c>
      <c r="P40" s="34">
        <v>0</v>
      </c>
      <c r="Q40" s="34">
        <v>1</v>
      </c>
      <c r="R40" s="68">
        <v>2</v>
      </c>
      <c r="S40" s="66">
        <v>1</v>
      </c>
      <c r="T40" s="32" t="s">
        <v>41</v>
      </c>
      <c r="U40" s="34"/>
      <c r="V40" s="34"/>
      <c r="W40" s="30"/>
      <c r="X40" s="36"/>
    </row>
    <row r="41" spans="5:24" x14ac:dyDescent="0.25">
      <c r="E41" s="22" t="s">
        <v>16</v>
      </c>
      <c r="F41" s="35">
        <v>17129</v>
      </c>
      <c r="G41" s="29">
        <v>4193.7534722222226</v>
      </c>
      <c r="H41" s="37">
        <v>10064.892193308549</v>
      </c>
      <c r="I41" s="37">
        <v>7604.79295154185</v>
      </c>
      <c r="J41" s="31">
        <v>27193.892193308551</v>
      </c>
      <c r="K41" s="36">
        <v>11798.546423764074</v>
      </c>
      <c r="L41" s="44">
        <v>38992.438617072621</v>
      </c>
      <c r="N41" s="22" t="s">
        <v>16</v>
      </c>
      <c r="O41" s="32">
        <v>1</v>
      </c>
      <c r="P41" s="68">
        <v>3</v>
      </c>
      <c r="Q41" s="68">
        <v>0</v>
      </c>
      <c r="R41" s="68">
        <v>0</v>
      </c>
      <c r="S41" s="66">
        <v>0</v>
      </c>
      <c r="T41" s="32" t="s">
        <v>34</v>
      </c>
      <c r="U41" s="34"/>
      <c r="V41" s="34"/>
      <c r="W41" s="23"/>
      <c r="X41" s="24"/>
    </row>
    <row r="42" spans="5:24" ht="15.75" thickBot="1" x14ac:dyDescent="0.3">
      <c r="E42" s="25" t="s">
        <v>17</v>
      </c>
      <c r="F42" s="59">
        <v>20413</v>
      </c>
      <c r="G42" s="62">
        <v>4435.3814814814814</v>
      </c>
      <c r="H42" s="50">
        <v>9004.8113207547176</v>
      </c>
      <c r="I42" s="69">
        <v>8223.8141592920347</v>
      </c>
      <c r="J42" s="54">
        <v>29417.811320754718</v>
      </c>
      <c r="K42" s="27">
        <v>12659.195640773516</v>
      </c>
      <c r="L42" s="55">
        <v>42077.006961528234</v>
      </c>
      <c r="N42" s="25" t="s">
        <v>17</v>
      </c>
      <c r="O42" s="33">
        <v>1</v>
      </c>
      <c r="P42" s="51">
        <v>0</v>
      </c>
      <c r="Q42" s="51">
        <v>1</v>
      </c>
      <c r="R42" s="51">
        <v>2</v>
      </c>
      <c r="S42" s="67">
        <v>0</v>
      </c>
      <c r="T42" s="33" t="s">
        <v>42</v>
      </c>
      <c r="U42" s="51"/>
      <c r="V42" s="51"/>
      <c r="W42" s="26"/>
      <c r="X42" s="27"/>
    </row>
    <row r="43" spans="5:24" x14ac:dyDescent="0.25">
      <c r="F43">
        <v>11368</v>
      </c>
      <c r="G43">
        <v>4193.7534722222226</v>
      </c>
      <c r="H43">
        <v>9004.8113207547176</v>
      </c>
      <c r="I43">
        <v>5585.9559471365637</v>
      </c>
      <c r="J43">
        <v>27193.892193308551</v>
      </c>
      <c r="K43">
        <v>9989.2578339290158</v>
      </c>
      <c r="L43">
        <v>38992.438617072621</v>
      </c>
    </row>
  </sheetData>
  <mergeCells count="13">
    <mergeCell ref="F23:G23"/>
    <mergeCell ref="E22:J22"/>
    <mergeCell ref="H12:I12"/>
    <mergeCell ref="J12:K12"/>
    <mergeCell ref="H23:I23"/>
    <mergeCell ref="J23:K23"/>
    <mergeCell ref="F12:G12"/>
    <mergeCell ref="O23:S23"/>
    <mergeCell ref="T23:X23"/>
    <mergeCell ref="O36:S36"/>
    <mergeCell ref="T36:X36"/>
    <mergeCell ref="O12:S12"/>
    <mergeCell ref="T12:X12"/>
  </mergeCell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25"/>
  <sheetViews>
    <sheetView topLeftCell="K16" workbookViewId="0">
      <selection activeCell="N31" sqref="N31"/>
    </sheetView>
  </sheetViews>
  <sheetFormatPr defaultRowHeight="15" x14ac:dyDescent="0.25"/>
  <cols>
    <col min="3" max="9" width="9.140625" customWidth="1"/>
  </cols>
  <sheetData>
    <row r="2" spans="3:16" ht="15.75" thickBot="1" x14ac:dyDescent="0.3"/>
    <row r="3" spans="3:16" ht="15.75" thickBot="1" x14ac:dyDescent="0.3">
      <c r="C3" s="267" t="s">
        <v>13</v>
      </c>
      <c r="D3" s="269"/>
      <c r="E3" s="268" t="s">
        <v>15</v>
      </c>
      <c r="F3" s="268"/>
      <c r="G3" s="267" t="s">
        <v>6</v>
      </c>
      <c r="H3" s="269"/>
      <c r="I3" s="268" t="s">
        <v>7</v>
      </c>
      <c r="J3" s="268"/>
      <c r="K3" s="267" t="s">
        <v>104</v>
      </c>
      <c r="L3" s="269"/>
      <c r="M3" s="268" t="s">
        <v>86</v>
      </c>
      <c r="N3" s="268"/>
      <c r="O3" s="267" t="s">
        <v>82</v>
      </c>
      <c r="P3" s="269"/>
    </row>
    <row r="4" spans="3:16" ht="15.75" thickBot="1" x14ac:dyDescent="0.3">
      <c r="C4" s="238" t="s">
        <v>1</v>
      </c>
      <c r="D4" s="239" t="s">
        <v>83</v>
      </c>
      <c r="E4" s="240" t="s">
        <v>1</v>
      </c>
      <c r="F4" s="240" t="s">
        <v>83</v>
      </c>
      <c r="G4" s="238" t="s">
        <v>1</v>
      </c>
      <c r="H4" s="239" t="s">
        <v>83</v>
      </c>
      <c r="I4" s="240" t="s">
        <v>1</v>
      </c>
      <c r="J4" s="240" t="s">
        <v>83</v>
      </c>
      <c r="K4" s="238" t="s">
        <v>1</v>
      </c>
      <c r="L4" s="239" t="s">
        <v>83</v>
      </c>
      <c r="M4" s="240" t="s">
        <v>1</v>
      </c>
      <c r="N4" s="240" t="s">
        <v>83</v>
      </c>
      <c r="O4" s="238" t="s">
        <v>1</v>
      </c>
      <c r="P4" s="239" t="s">
        <v>83</v>
      </c>
    </row>
    <row r="5" spans="3:16" ht="15.75" thickBot="1" x14ac:dyDescent="0.3">
      <c r="C5" s="25">
        <v>9686.3044902469301</v>
      </c>
      <c r="D5" s="27">
        <v>29775623.015014127</v>
      </c>
      <c r="E5" s="26">
        <v>941.43106787249985</v>
      </c>
      <c r="F5" s="26">
        <v>34248.517336277982</v>
      </c>
      <c r="G5" s="25">
        <v>871.99822247525242</v>
      </c>
      <c r="H5" s="27">
        <v>27525.861935439712</v>
      </c>
      <c r="I5" s="26">
        <v>4.0879225911349044</v>
      </c>
      <c r="J5" s="26">
        <v>10.100055005350768</v>
      </c>
      <c r="K5" s="25">
        <v>2903.8648212339358</v>
      </c>
      <c r="L5" s="27">
        <v>5115548.2143887356</v>
      </c>
      <c r="M5" s="26">
        <v>2994.0102445456737</v>
      </c>
      <c r="N5" s="26">
        <v>5041641.7519574361</v>
      </c>
      <c r="O5" s="25">
        <v>3160.9733750504406</v>
      </c>
      <c r="P5" s="27">
        <v>4801423.8122410225</v>
      </c>
    </row>
    <row r="13" spans="3:16" ht="15.75" thickBot="1" x14ac:dyDescent="0.3"/>
    <row r="14" spans="3:16" ht="15.75" thickBot="1" x14ac:dyDescent="0.3">
      <c r="C14" s="267" t="s">
        <v>13</v>
      </c>
      <c r="D14" s="269"/>
      <c r="E14" s="268" t="s">
        <v>15</v>
      </c>
      <c r="F14" s="268"/>
      <c r="G14" s="267" t="s">
        <v>6</v>
      </c>
      <c r="H14" s="269"/>
      <c r="I14" s="268" t="s">
        <v>7</v>
      </c>
      <c r="J14" s="268"/>
      <c r="K14" s="267" t="s">
        <v>104</v>
      </c>
      <c r="L14" s="269"/>
      <c r="M14" s="268" t="s">
        <v>86</v>
      </c>
      <c r="N14" s="268"/>
      <c r="O14" s="267" t="s">
        <v>82</v>
      </c>
      <c r="P14" s="269"/>
    </row>
    <row r="15" spans="3:16" ht="15.75" thickBot="1" x14ac:dyDescent="0.3">
      <c r="C15" s="238" t="s">
        <v>1</v>
      </c>
      <c r="D15" s="239" t="s">
        <v>83</v>
      </c>
      <c r="E15" s="240" t="s">
        <v>1</v>
      </c>
      <c r="F15" s="240" t="s">
        <v>83</v>
      </c>
      <c r="G15" s="238" t="s">
        <v>1</v>
      </c>
      <c r="H15" s="239" t="s">
        <v>83</v>
      </c>
      <c r="I15" s="240" t="s">
        <v>1</v>
      </c>
      <c r="J15" s="240" t="s">
        <v>83</v>
      </c>
      <c r="K15" s="238" t="s">
        <v>1</v>
      </c>
      <c r="L15" s="239" t="s">
        <v>83</v>
      </c>
      <c r="M15" s="240" t="s">
        <v>1</v>
      </c>
      <c r="N15" s="240" t="s">
        <v>83</v>
      </c>
      <c r="O15" s="238" t="s">
        <v>1</v>
      </c>
      <c r="P15" s="239" t="s">
        <v>83</v>
      </c>
    </row>
    <row r="16" spans="3:16" ht="15.75" thickBot="1" x14ac:dyDescent="0.3">
      <c r="C16" s="25">
        <v>9686.3044902469301</v>
      </c>
      <c r="D16" s="27">
        <v>29775623.015014127</v>
      </c>
      <c r="E16" s="26">
        <v>941.43106787249985</v>
      </c>
      <c r="F16" s="26">
        <v>34248.517336277982</v>
      </c>
      <c r="G16" s="25">
        <v>871.99822247525242</v>
      </c>
      <c r="H16" s="27">
        <v>27525.861935439712</v>
      </c>
      <c r="I16" s="26">
        <v>4.0879225911349044</v>
      </c>
      <c r="J16" s="26">
        <v>10.100055005350768</v>
      </c>
      <c r="K16" s="25">
        <v>2903.8648212339358</v>
      </c>
      <c r="L16" s="27">
        <v>5115548.2143887356</v>
      </c>
      <c r="M16" s="26">
        <v>2994.0102445456737</v>
      </c>
      <c r="N16" s="26">
        <v>5041641.7519574361</v>
      </c>
      <c r="O16" s="25">
        <v>3160.9733750504406</v>
      </c>
      <c r="P16" s="27">
        <v>4801423.8122410225</v>
      </c>
    </row>
    <row r="22" spans="3:16" ht="15.75" thickBot="1" x14ac:dyDescent="0.3"/>
    <row r="23" spans="3:16" ht="15.75" thickBot="1" x14ac:dyDescent="0.3">
      <c r="C23" s="297" t="s">
        <v>1</v>
      </c>
      <c r="D23" s="298"/>
      <c r="E23" s="298"/>
      <c r="F23" s="298"/>
      <c r="G23" s="298"/>
      <c r="H23" s="298"/>
      <c r="I23" s="298"/>
      <c r="J23" s="297" t="s">
        <v>83</v>
      </c>
      <c r="K23" s="298"/>
      <c r="L23" s="298"/>
      <c r="M23" s="298"/>
      <c r="N23" s="298"/>
      <c r="O23" s="298"/>
      <c r="P23" s="299"/>
    </row>
    <row r="24" spans="3:16" ht="15.75" thickBot="1" x14ac:dyDescent="0.3">
      <c r="C24" s="22" t="s">
        <v>13</v>
      </c>
      <c r="D24" s="23" t="s">
        <v>15</v>
      </c>
      <c r="E24" s="23" t="s">
        <v>6</v>
      </c>
      <c r="F24" s="23" t="s">
        <v>7</v>
      </c>
      <c r="G24" s="23" t="s">
        <v>104</v>
      </c>
      <c r="H24" s="23" t="s">
        <v>86</v>
      </c>
      <c r="I24" s="23" t="s">
        <v>82</v>
      </c>
      <c r="J24" s="22" t="s">
        <v>13</v>
      </c>
      <c r="K24" s="23" t="s">
        <v>15</v>
      </c>
      <c r="L24" s="23" t="s">
        <v>6</v>
      </c>
      <c r="M24" s="23" t="s">
        <v>7</v>
      </c>
      <c r="N24" s="23" t="s">
        <v>104</v>
      </c>
      <c r="O24" s="23" t="s">
        <v>86</v>
      </c>
      <c r="P24" s="24" t="s">
        <v>82</v>
      </c>
    </row>
    <row r="25" spans="3:16" ht="15.75" thickBot="1" x14ac:dyDescent="0.3">
      <c r="C25" s="28">
        <v>9686.3044902469301</v>
      </c>
      <c r="D25" s="46">
        <v>941.43106787249985</v>
      </c>
      <c r="E25" s="46">
        <v>871.99822247525242</v>
      </c>
      <c r="F25" s="46">
        <v>4.0879225911349044</v>
      </c>
      <c r="G25" s="46">
        <v>2903.8648212339358</v>
      </c>
      <c r="H25" s="46">
        <v>2994.0102445456737</v>
      </c>
      <c r="I25" s="46">
        <v>3160.9733750504406</v>
      </c>
      <c r="J25" s="28">
        <v>29775623.015014127</v>
      </c>
      <c r="K25" s="46">
        <v>34248.517336277982</v>
      </c>
      <c r="L25" s="46">
        <v>27525.861935439712</v>
      </c>
      <c r="M25" s="46">
        <v>10.100055005350768</v>
      </c>
      <c r="N25" s="46">
        <v>5115548.2143887356</v>
      </c>
      <c r="O25" s="46">
        <v>5041641.7519574361</v>
      </c>
      <c r="P25" s="47">
        <v>4801423.8122410225</v>
      </c>
    </row>
  </sheetData>
  <mergeCells count="16">
    <mergeCell ref="C23:I23"/>
    <mergeCell ref="J23:P23"/>
    <mergeCell ref="O3:P3"/>
    <mergeCell ref="C14:D14"/>
    <mergeCell ref="E14:F14"/>
    <mergeCell ref="G14:H14"/>
    <mergeCell ref="I14:J14"/>
    <mergeCell ref="K14:L14"/>
    <mergeCell ref="M14:N14"/>
    <mergeCell ref="O14:P14"/>
    <mergeCell ref="C3:D3"/>
    <mergeCell ref="E3:F3"/>
    <mergeCell ref="G3:H3"/>
    <mergeCell ref="I3:J3"/>
    <mergeCell ref="K3:L3"/>
    <mergeCell ref="M3:N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7"/>
  <sheetViews>
    <sheetView workbookViewId="0">
      <selection activeCell="A5" sqref="A5"/>
    </sheetView>
  </sheetViews>
  <sheetFormatPr defaultRowHeight="15" x14ac:dyDescent="0.25"/>
  <cols>
    <col min="5" max="5" width="12" bestFit="1" customWidth="1"/>
    <col min="8" max="8" width="9.140625" customWidth="1"/>
    <col min="15" max="15" width="9.140625" customWidth="1"/>
    <col min="19" max="19" width="23.7109375" customWidth="1"/>
  </cols>
  <sheetData>
    <row r="2" spans="2:19" ht="15.75" thickBot="1" x14ac:dyDescent="0.3"/>
    <row r="3" spans="2:19" ht="15.75" thickBot="1" x14ac:dyDescent="0.3">
      <c r="B3" s="300" t="s">
        <v>1</v>
      </c>
      <c r="C3" s="301"/>
      <c r="D3" s="301"/>
      <c r="E3" s="301"/>
      <c r="F3" s="301"/>
      <c r="G3" s="301"/>
      <c r="H3" s="302"/>
      <c r="I3" s="303" t="s">
        <v>83</v>
      </c>
      <c r="J3" s="303"/>
      <c r="K3" s="303"/>
      <c r="L3" s="303"/>
      <c r="M3" s="303"/>
      <c r="N3" s="303"/>
      <c r="O3" s="304"/>
    </row>
    <row r="4" spans="2:19" ht="15.75" thickBot="1" x14ac:dyDescent="0.3">
      <c r="B4" s="244"/>
      <c r="C4" s="245"/>
      <c r="D4" s="245"/>
      <c r="E4" s="245"/>
      <c r="F4" s="245"/>
      <c r="G4" s="245"/>
      <c r="H4" s="246"/>
      <c r="I4" s="247"/>
      <c r="J4" s="247"/>
      <c r="K4" s="247"/>
      <c r="L4" s="247"/>
      <c r="M4" s="247"/>
      <c r="N4" s="247"/>
      <c r="O4" s="248"/>
    </row>
    <row r="5" spans="2:19" ht="15.75" thickBot="1" x14ac:dyDescent="0.3">
      <c r="B5" s="28" t="s">
        <v>105</v>
      </c>
      <c r="C5" s="46" t="s">
        <v>106</v>
      </c>
      <c r="D5" s="46" t="s">
        <v>107</v>
      </c>
      <c r="E5" s="46" t="s">
        <v>108</v>
      </c>
      <c r="F5" s="46" t="s">
        <v>110</v>
      </c>
      <c r="G5" s="46" t="s">
        <v>109</v>
      </c>
      <c r="H5" s="47" t="s">
        <v>111</v>
      </c>
      <c r="I5" s="28" t="s">
        <v>105</v>
      </c>
      <c r="J5" s="46" t="s">
        <v>106</v>
      </c>
      <c r="K5" s="46" t="s">
        <v>107</v>
      </c>
      <c r="L5" s="46" t="s">
        <v>108</v>
      </c>
      <c r="M5" s="46" t="s">
        <v>110</v>
      </c>
      <c r="N5" s="46" t="s">
        <v>109</v>
      </c>
      <c r="O5" s="47" t="s">
        <v>111</v>
      </c>
    </row>
    <row r="6" spans="2:19" ht="15.75" thickBot="1" x14ac:dyDescent="0.3">
      <c r="B6" s="28">
        <v>0.17708491717358665</v>
      </c>
      <c r="C6" s="46">
        <v>1.7862308650041347E-2</v>
      </c>
      <c r="D6" s="46">
        <v>1.5239414762697301E-2</v>
      </c>
      <c r="E6" s="46">
        <v>4.5212176368325502E-5</v>
      </c>
      <c r="F6" s="46">
        <v>5.172645879776594E-2</v>
      </c>
      <c r="G6" s="46">
        <v>5.0859699983255791E-2</v>
      </c>
      <c r="H6" s="47">
        <v>4.9462525631582821E-2</v>
      </c>
      <c r="I6" s="46">
        <v>0.45723839353499951</v>
      </c>
      <c r="J6" s="46">
        <v>8.363517305225443E-4</v>
      </c>
      <c r="K6" s="46">
        <v>6.84690887904571E-4</v>
      </c>
      <c r="L6" s="241">
        <v>2.5467339082041462E-7</v>
      </c>
      <c r="M6" s="46">
        <v>0.10515354447123881</v>
      </c>
      <c r="N6" s="46">
        <v>9.4753832706731655E-2</v>
      </c>
      <c r="O6" s="47">
        <v>0.10017666920907375</v>
      </c>
    </row>
    <row r="7" spans="2:19" ht="15.75" thickBot="1" x14ac:dyDescent="0.3">
      <c r="S7" s="242"/>
    </row>
  </sheetData>
  <mergeCells count="2">
    <mergeCell ref="B3:H3"/>
    <mergeCell ref="I3:O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5"/>
  <sheetViews>
    <sheetView topLeftCell="A4" zoomScale="78" zoomScaleNormal="78" workbookViewId="0">
      <selection activeCell="A4" sqref="A4:I12"/>
    </sheetView>
  </sheetViews>
  <sheetFormatPr defaultRowHeight="15" x14ac:dyDescent="0.25"/>
  <cols>
    <col min="1" max="1" width="18.28515625" customWidth="1"/>
    <col min="2" max="2" width="16.140625" customWidth="1"/>
    <col min="3" max="3" width="15.140625" customWidth="1"/>
    <col min="4" max="4" width="17.42578125" customWidth="1"/>
    <col min="5" max="5" width="15.42578125" customWidth="1"/>
    <col min="6" max="6" width="16.140625" customWidth="1"/>
    <col min="7" max="7" width="17.42578125" customWidth="1"/>
    <col min="8" max="8" width="16.85546875" customWidth="1"/>
    <col min="9" max="9" width="18.42578125" customWidth="1"/>
    <col min="10" max="10" width="18.28515625" customWidth="1"/>
    <col min="11" max="11" width="14.140625" customWidth="1"/>
  </cols>
  <sheetData>
    <row r="2" spans="1:9" ht="15.75" thickBot="1" x14ac:dyDescent="0.3">
      <c r="A2" s="270" t="s">
        <v>55</v>
      </c>
      <c r="B2" s="271"/>
      <c r="C2" s="271"/>
      <c r="D2" s="271"/>
      <c r="E2" s="271"/>
      <c r="F2" s="271"/>
      <c r="G2" s="271"/>
      <c r="H2" s="271"/>
      <c r="I2" s="271"/>
    </row>
    <row r="3" spans="1:9" ht="15.75" thickBot="1" x14ac:dyDescent="0.3">
      <c r="A3" s="126"/>
      <c r="B3" s="272" t="s">
        <v>1</v>
      </c>
      <c r="C3" s="273"/>
      <c r="D3" s="273"/>
      <c r="E3" s="274"/>
      <c r="F3" s="275" t="s">
        <v>2</v>
      </c>
      <c r="G3" s="276"/>
      <c r="H3" s="276"/>
      <c r="I3" s="277"/>
    </row>
    <row r="4" spans="1:9" ht="15.75" thickBot="1" x14ac:dyDescent="0.3">
      <c r="A4" s="127"/>
      <c r="B4" s="128" t="s">
        <v>0</v>
      </c>
      <c r="C4" s="129"/>
      <c r="D4" s="129" t="s">
        <v>3</v>
      </c>
      <c r="E4" s="130"/>
      <c r="F4" s="131" t="s">
        <v>0</v>
      </c>
      <c r="G4" s="132"/>
      <c r="H4" s="278" t="s">
        <v>3</v>
      </c>
      <c r="I4" s="279"/>
    </row>
    <row r="5" spans="1:9" ht="15.75" thickBot="1" x14ac:dyDescent="0.3">
      <c r="A5" s="120"/>
      <c r="B5" s="118" t="s">
        <v>67</v>
      </c>
      <c r="C5" s="119" t="s">
        <v>68</v>
      </c>
      <c r="D5" s="118" t="s">
        <v>67</v>
      </c>
      <c r="E5" s="119" t="s">
        <v>68</v>
      </c>
      <c r="F5" s="118" t="s">
        <v>67</v>
      </c>
      <c r="G5" s="119" t="s">
        <v>68</v>
      </c>
      <c r="H5" s="118" t="s">
        <v>67</v>
      </c>
      <c r="I5" s="119" t="s">
        <v>68</v>
      </c>
    </row>
    <row r="6" spans="1:9" x14ac:dyDescent="0.25">
      <c r="A6" s="39" t="s">
        <v>71</v>
      </c>
      <c r="B6" s="22">
        <v>81781</v>
      </c>
      <c r="C6" s="24">
        <v>0</v>
      </c>
      <c r="D6" s="43">
        <v>214936</v>
      </c>
      <c r="E6" s="21">
        <v>20</v>
      </c>
      <c r="F6" s="43">
        <v>1014562</v>
      </c>
      <c r="G6" s="21">
        <v>35</v>
      </c>
      <c r="H6" s="43">
        <v>1436656</v>
      </c>
      <c r="I6" s="21">
        <v>81</v>
      </c>
    </row>
    <row r="7" spans="1:9" x14ac:dyDescent="0.25">
      <c r="A7" s="39" t="s">
        <v>72</v>
      </c>
      <c r="B7" s="22">
        <v>50680</v>
      </c>
      <c r="C7" s="24">
        <v>0</v>
      </c>
      <c r="D7" s="22">
        <v>419620</v>
      </c>
      <c r="E7" s="24">
        <v>20</v>
      </c>
      <c r="F7" s="22">
        <v>2112353</v>
      </c>
      <c r="G7" s="24">
        <v>35</v>
      </c>
      <c r="H7" s="22">
        <v>2589861</v>
      </c>
      <c r="I7" s="24">
        <v>83</v>
      </c>
    </row>
    <row r="8" spans="1:9" x14ac:dyDescent="0.25">
      <c r="A8" s="39" t="s">
        <v>73</v>
      </c>
      <c r="B8" s="22">
        <v>50899</v>
      </c>
      <c r="C8" s="24">
        <v>0</v>
      </c>
      <c r="D8" s="22">
        <v>440885</v>
      </c>
      <c r="E8" s="24">
        <v>20</v>
      </c>
      <c r="F8" s="22">
        <v>1894904</v>
      </c>
      <c r="G8" s="24">
        <v>33</v>
      </c>
      <c r="H8" s="22">
        <v>2774880</v>
      </c>
      <c r="I8" s="24">
        <v>79</v>
      </c>
    </row>
    <row r="9" spans="1:9" x14ac:dyDescent="0.25">
      <c r="A9" s="39" t="s">
        <v>74</v>
      </c>
      <c r="B9">
        <v>147719</v>
      </c>
      <c r="C9" s="24">
        <v>0</v>
      </c>
      <c r="D9" s="22">
        <v>263533</v>
      </c>
      <c r="E9" s="24">
        <v>19</v>
      </c>
      <c r="F9" s="22">
        <v>2291302</v>
      </c>
      <c r="G9" s="24">
        <v>34</v>
      </c>
      <c r="H9" s="22">
        <v>3963300</v>
      </c>
      <c r="I9" s="24">
        <v>83</v>
      </c>
    </row>
    <row r="10" spans="1:9" x14ac:dyDescent="0.25">
      <c r="A10" s="39" t="s">
        <v>69</v>
      </c>
      <c r="B10" s="22">
        <v>48837</v>
      </c>
      <c r="C10" s="24">
        <v>0</v>
      </c>
      <c r="D10" s="22">
        <v>429296</v>
      </c>
      <c r="E10" s="24">
        <v>20</v>
      </c>
      <c r="F10" s="22">
        <v>1838943</v>
      </c>
      <c r="G10" s="24">
        <v>33</v>
      </c>
      <c r="H10" s="32">
        <v>1615693</v>
      </c>
      <c r="I10" s="24">
        <v>85</v>
      </c>
    </row>
    <row r="11" spans="1:9" x14ac:dyDescent="0.25">
      <c r="A11" s="39" t="s">
        <v>75</v>
      </c>
      <c r="B11" s="22">
        <v>49904</v>
      </c>
      <c r="C11" s="24">
        <v>0</v>
      </c>
      <c r="D11" s="22">
        <v>433697</v>
      </c>
      <c r="E11" s="24">
        <v>22</v>
      </c>
      <c r="F11" s="22">
        <v>2353420</v>
      </c>
      <c r="G11" s="24">
        <v>34</v>
      </c>
      <c r="H11" s="22">
        <v>2770521</v>
      </c>
      <c r="I11" s="24">
        <v>84</v>
      </c>
    </row>
    <row r="12" spans="1:9" ht="15.75" thickBot="1" x14ac:dyDescent="0.3">
      <c r="A12" s="40" t="s">
        <v>70</v>
      </c>
      <c r="B12" s="25">
        <v>51537</v>
      </c>
      <c r="C12" s="27">
        <v>0</v>
      </c>
      <c r="D12" s="25">
        <v>455745</v>
      </c>
      <c r="E12" s="27">
        <v>21</v>
      </c>
      <c r="F12" s="25">
        <v>2089641</v>
      </c>
      <c r="G12" s="27">
        <v>35</v>
      </c>
      <c r="H12" s="25">
        <v>2726950</v>
      </c>
      <c r="I12" s="27">
        <v>81</v>
      </c>
    </row>
    <row r="15" spans="1:9" ht="15.75" thickBot="1" x14ac:dyDescent="0.3">
      <c r="A15" s="270" t="s">
        <v>76</v>
      </c>
      <c r="B15" s="270"/>
      <c r="C15" s="270"/>
      <c r="D15" s="270"/>
      <c r="E15" s="270"/>
      <c r="F15" s="270"/>
      <c r="G15" s="270"/>
      <c r="H15" s="270"/>
      <c r="I15" s="270"/>
    </row>
    <row r="16" spans="1:9" ht="15.75" thickBot="1" x14ac:dyDescent="0.3">
      <c r="A16" s="126"/>
      <c r="B16" s="133" t="s">
        <v>1</v>
      </c>
      <c r="C16" s="134"/>
      <c r="D16" s="134"/>
      <c r="E16" s="135"/>
      <c r="F16" s="136" t="s">
        <v>2</v>
      </c>
      <c r="G16" s="137"/>
      <c r="H16" s="137"/>
      <c r="I16" s="138"/>
    </row>
    <row r="17" spans="1:9" ht="15.75" thickBot="1" x14ac:dyDescent="0.3">
      <c r="A17" s="127"/>
      <c r="B17" s="128" t="s">
        <v>0</v>
      </c>
      <c r="C17" s="129"/>
      <c r="D17" s="129" t="s">
        <v>3</v>
      </c>
      <c r="E17" s="130"/>
      <c r="F17" s="131" t="s">
        <v>0</v>
      </c>
      <c r="G17" s="132"/>
      <c r="H17" s="139" t="s">
        <v>3</v>
      </c>
      <c r="I17" s="140"/>
    </row>
    <row r="18" spans="1:9" ht="15.75" thickBot="1" x14ac:dyDescent="0.3">
      <c r="A18" s="120"/>
      <c r="B18" s="118" t="s">
        <v>67</v>
      </c>
      <c r="C18" s="119" t="s">
        <v>68</v>
      </c>
      <c r="D18" s="118" t="s">
        <v>67</v>
      </c>
      <c r="E18" s="119" t="s">
        <v>68</v>
      </c>
      <c r="F18" s="118" t="s">
        <v>67</v>
      </c>
      <c r="G18" s="119" t="s">
        <v>68</v>
      </c>
      <c r="H18" s="118" t="s">
        <v>67</v>
      </c>
      <c r="I18" s="119" t="s">
        <v>68</v>
      </c>
    </row>
    <row r="19" spans="1:9" x14ac:dyDescent="0.25">
      <c r="A19" s="41" t="s">
        <v>69</v>
      </c>
      <c r="B19" s="43">
        <v>20055</v>
      </c>
      <c r="C19" s="21">
        <v>0</v>
      </c>
      <c r="D19" s="43">
        <v>1211497</v>
      </c>
      <c r="E19" s="21">
        <v>24</v>
      </c>
      <c r="F19" s="43">
        <v>2296634</v>
      </c>
      <c r="G19" s="21">
        <v>35</v>
      </c>
      <c r="H19" s="43">
        <v>1991719</v>
      </c>
      <c r="I19" s="21">
        <v>70</v>
      </c>
    </row>
    <row r="20" spans="1:9" ht="15.75" thickBot="1" x14ac:dyDescent="0.3">
      <c r="A20" s="40" t="s">
        <v>70</v>
      </c>
      <c r="B20" s="25">
        <v>20133</v>
      </c>
      <c r="C20" s="27">
        <v>0</v>
      </c>
      <c r="D20" s="25">
        <v>1362325</v>
      </c>
      <c r="E20" s="27">
        <v>19</v>
      </c>
      <c r="F20" s="25">
        <v>2198502</v>
      </c>
      <c r="G20" s="27">
        <v>32</v>
      </c>
      <c r="H20" s="25">
        <v>1601633</v>
      </c>
      <c r="I20" s="27">
        <v>70</v>
      </c>
    </row>
    <row r="22" spans="1:9" ht="15.75" thickBot="1" x14ac:dyDescent="0.3"/>
    <row r="23" spans="1:9" ht="15.75" thickBot="1" x14ac:dyDescent="0.3">
      <c r="A23" s="267" t="s">
        <v>46</v>
      </c>
      <c r="B23" s="268"/>
      <c r="C23" s="268"/>
      <c r="D23" s="268"/>
      <c r="E23" s="268"/>
      <c r="F23" s="268"/>
      <c r="G23" s="268"/>
      <c r="H23" s="269"/>
    </row>
    <row r="24" spans="1:9" ht="15.75" thickBot="1" x14ac:dyDescent="0.3">
      <c r="A24" s="28"/>
      <c r="B24" s="264" t="s">
        <v>1</v>
      </c>
      <c r="C24" s="266"/>
      <c r="D24" s="264" t="s">
        <v>18</v>
      </c>
      <c r="E24" s="266"/>
      <c r="F24" s="264" t="s">
        <v>21</v>
      </c>
      <c r="G24" s="266"/>
      <c r="H24" s="42" t="s">
        <v>22</v>
      </c>
    </row>
    <row r="25" spans="1:9" ht="15.75" thickBot="1" x14ac:dyDescent="0.3">
      <c r="A25" s="43"/>
      <c r="B25" s="28" t="s">
        <v>11</v>
      </c>
      <c r="C25" s="47" t="s">
        <v>12</v>
      </c>
      <c r="D25" s="46" t="s">
        <v>11</v>
      </c>
      <c r="E25" s="46" t="s">
        <v>12</v>
      </c>
      <c r="F25" s="28" t="s">
        <v>11</v>
      </c>
      <c r="G25" s="47" t="s">
        <v>12</v>
      </c>
      <c r="H25" s="42"/>
    </row>
    <row r="26" spans="1:9" x14ac:dyDescent="0.25">
      <c r="A26" s="41" t="s">
        <v>69</v>
      </c>
      <c r="B26" s="32">
        <v>550</v>
      </c>
      <c r="C26" s="66">
        <v>6463</v>
      </c>
      <c r="D26" s="34">
        <v>4770</v>
      </c>
      <c r="E26" s="34">
        <v>11938</v>
      </c>
      <c r="F26" s="32"/>
      <c r="G26" s="66"/>
      <c r="H26" s="117"/>
    </row>
    <row r="27" spans="1:9" ht="15.75" thickBot="1" x14ac:dyDescent="0.3">
      <c r="A27" s="40" t="s">
        <v>70</v>
      </c>
      <c r="B27" s="33">
        <v>550</v>
      </c>
      <c r="C27" s="67">
        <v>6465</v>
      </c>
      <c r="D27" s="51">
        <v>4762</v>
      </c>
      <c r="E27" s="51">
        <v>11943</v>
      </c>
      <c r="F27" s="33"/>
      <c r="G27" s="67"/>
      <c r="H27" s="141"/>
    </row>
    <row r="30" spans="1:9" ht="15.75" thickBot="1" x14ac:dyDescent="0.3"/>
    <row r="31" spans="1:9" ht="15.75" thickBot="1" x14ac:dyDescent="0.3">
      <c r="A31" s="267" t="s">
        <v>47</v>
      </c>
      <c r="B31" s="268"/>
      <c r="C31" s="268"/>
      <c r="D31" s="268"/>
      <c r="E31" s="268"/>
      <c r="F31" s="268"/>
      <c r="G31" s="268"/>
      <c r="H31" s="269"/>
    </row>
    <row r="32" spans="1:9" ht="15.75" thickBot="1" x14ac:dyDescent="0.3">
      <c r="A32" s="28"/>
      <c r="B32" s="264" t="s">
        <v>1</v>
      </c>
      <c r="C32" s="266"/>
      <c r="D32" s="264" t="s">
        <v>18</v>
      </c>
      <c r="E32" s="266"/>
      <c r="F32" s="264" t="s">
        <v>21</v>
      </c>
      <c r="G32" s="266"/>
      <c r="H32" s="42" t="s">
        <v>22</v>
      </c>
    </row>
    <row r="33" spans="1:8" ht="15.75" thickBot="1" x14ac:dyDescent="0.3">
      <c r="A33" s="43"/>
      <c r="B33" s="28" t="s">
        <v>11</v>
      </c>
      <c r="C33" s="47" t="s">
        <v>12</v>
      </c>
      <c r="D33" s="46" t="s">
        <v>11</v>
      </c>
      <c r="E33" s="46" t="s">
        <v>12</v>
      </c>
      <c r="F33" s="28" t="s">
        <v>11</v>
      </c>
      <c r="G33" s="47" t="s">
        <v>12</v>
      </c>
      <c r="H33" s="42"/>
    </row>
    <row r="34" spans="1:8" x14ac:dyDescent="0.25">
      <c r="A34" s="41" t="s">
        <v>69</v>
      </c>
      <c r="B34" s="32">
        <v>354</v>
      </c>
      <c r="C34" s="66">
        <v>2576</v>
      </c>
      <c r="D34" s="34">
        <v>2230</v>
      </c>
      <c r="E34" s="34">
        <v>2825</v>
      </c>
      <c r="F34" s="32"/>
      <c r="G34" s="66"/>
      <c r="H34" s="117"/>
    </row>
    <row r="35" spans="1:8" ht="15.75" thickBot="1" x14ac:dyDescent="0.3">
      <c r="A35" s="40" t="s">
        <v>70</v>
      </c>
      <c r="B35" s="33">
        <v>354</v>
      </c>
      <c r="C35" s="67">
        <v>2577</v>
      </c>
      <c r="D35" s="51">
        <v>2230</v>
      </c>
      <c r="E35" s="51">
        <v>2827</v>
      </c>
      <c r="F35" s="33"/>
      <c r="G35" s="67"/>
      <c r="H35" s="141"/>
    </row>
  </sheetData>
  <mergeCells count="13">
    <mergeCell ref="B24:C24"/>
    <mergeCell ref="D24:E24"/>
    <mergeCell ref="F24:G24"/>
    <mergeCell ref="A31:H31"/>
    <mergeCell ref="B32:C32"/>
    <mergeCell ref="D32:E32"/>
    <mergeCell ref="F32:G32"/>
    <mergeCell ref="A23:H23"/>
    <mergeCell ref="A2:I2"/>
    <mergeCell ref="B3:E3"/>
    <mergeCell ref="F3:I3"/>
    <mergeCell ref="H4:I4"/>
    <mergeCell ref="A15:I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D27" sqref="D27"/>
    </sheetView>
  </sheetViews>
  <sheetFormatPr defaultRowHeight="15" x14ac:dyDescent="0.25"/>
  <cols>
    <col min="1" max="1" width="20.85546875" customWidth="1"/>
    <col min="2" max="2" width="20.7109375" customWidth="1"/>
    <col min="3" max="3" width="17.140625" customWidth="1"/>
    <col min="4" max="4" width="15.5703125" customWidth="1"/>
    <col min="5" max="5" width="14.7109375" customWidth="1"/>
    <col min="6" max="6" width="34.28515625" customWidth="1"/>
  </cols>
  <sheetData>
    <row r="1" spans="1:6" ht="15.75" thickBot="1" x14ac:dyDescent="0.3">
      <c r="A1" s="282" t="s">
        <v>57</v>
      </c>
      <c r="B1" s="283"/>
      <c r="C1" s="283"/>
      <c r="D1" s="283"/>
      <c r="E1" s="283"/>
      <c r="F1" s="283"/>
    </row>
    <row r="2" spans="1:6" ht="15.75" thickBot="1" x14ac:dyDescent="0.3">
      <c r="A2" s="120"/>
      <c r="B2" s="280" t="s">
        <v>77</v>
      </c>
      <c r="C2" s="281"/>
      <c r="D2" s="280" t="s">
        <v>78</v>
      </c>
      <c r="E2" s="284"/>
      <c r="F2" s="285"/>
    </row>
    <row r="3" spans="1:6" ht="15.75" thickBot="1" x14ac:dyDescent="0.3">
      <c r="A3" s="120"/>
      <c r="B3" s="118" t="s">
        <v>67</v>
      </c>
      <c r="C3" s="119" t="s">
        <v>68</v>
      </c>
      <c r="D3" s="118" t="s">
        <v>67</v>
      </c>
      <c r="E3" s="119" t="s">
        <v>68</v>
      </c>
      <c r="F3" s="157" t="s">
        <v>85</v>
      </c>
    </row>
    <row r="4" spans="1:6" x14ac:dyDescent="0.25">
      <c r="A4" s="39" t="s">
        <v>71</v>
      </c>
      <c r="B4" s="22">
        <v>1099177</v>
      </c>
      <c r="C4" s="24">
        <v>0</v>
      </c>
      <c r="D4" s="22">
        <v>6450637</v>
      </c>
      <c r="E4" s="24">
        <v>209</v>
      </c>
      <c r="F4" s="39">
        <v>44070637</v>
      </c>
    </row>
    <row r="5" spans="1:6" x14ac:dyDescent="0.25">
      <c r="A5" s="39" t="s">
        <v>72</v>
      </c>
      <c r="B5" s="22">
        <v>1056523</v>
      </c>
      <c r="C5" s="24">
        <v>0</v>
      </c>
      <c r="D5" s="22">
        <v>4426424</v>
      </c>
      <c r="E5" s="24">
        <v>162</v>
      </c>
      <c r="F5" s="39">
        <v>33586424</v>
      </c>
    </row>
    <row r="6" spans="1:6" x14ac:dyDescent="0.25">
      <c r="A6" s="39" t="s">
        <v>73</v>
      </c>
      <c r="B6" s="22">
        <v>1053381</v>
      </c>
      <c r="C6" s="24">
        <v>0</v>
      </c>
      <c r="D6" s="22">
        <v>1005565</v>
      </c>
      <c r="E6" s="24">
        <v>286</v>
      </c>
      <c r="F6" s="39">
        <v>52485565</v>
      </c>
    </row>
    <row r="7" spans="1:6" x14ac:dyDescent="0.25">
      <c r="A7" s="39" t="s">
        <v>74</v>
      </c>
      <c r="B7" s="23">
        <v>1040555</v>
      </c>
      <c r="C7" s="24">
        <v>0</v>
      </c>
      <c r="D7" s="22">
        <v>281839</v>
      </c>
      <c r="E7" s="24">
        <v>246</v>
      </c>
      <c r="F7" s="39">
        <v>44561839</v>
      </c>
    </row>
    <row r="8" spans="1:6" x14ac:dyDescent="0.25">
      <c r="A8" s="39" t="s">
        <v>69</v>
      </c>
      <c r="B8" s="22">
        <v>1051421</v>
      </c>
      <c r="C8" s="24">
        <v>0</v>
      </c>
      <c r="D8" s="22">
        <v>5218822</v>
      </c>
      <c r="E8" s="24">
        <v>188</v>
      </c>
      <c r="F8" s="39">
        <v>39058822</v>
      </c>
    </row>
    <row r="9" spans="1:6" x14ac:dyDescent="0.25">
      <c r="A9" s="39" t="s">
        <v>75</v>
      </c>
      <c r="B9" s="22">
        <v>1052657</v>
      </c>
      <c r="C9" s="24">
        <v>0</v>
      </c>
      <c r="D9" s="22">
        <v>4086627</v>
      </c>
      <c r="E9" s="24">
        <v>65</v>
      </c>
      <c r="F9" s="39">
        <v>15786627</v>
      </c>
    </row>
    <row r="10" spans="1:6" ht="15.75" thickBot="1" x14ac:dyDescent="0.3">
      <c r="A10" s="40" t="s">
        <v>70</v>
      </c>
      <c r="B10" s="25">
        <v>1052523</v>
      </c>
      <c r="C10" s="27">
        <v>0</v>
      </c>
      <c r="D10" s="25">
        <v>1105729</v>
      </c>
      <c r="E10" s="27">
        <v>298</v>
      </c>
      <c r="F10" s="40">
        <v>54745729</v>
      </c>
    </row>
    <row r="15" spans="1:6" x14ac:dyDescent="0.25">
      <c r="F15">
        <f>E4*180000</f>
        <v>37620000</v>
      </c>
    </row>
    <row r="16" spans="1:6" x14ac:dyDescent="0.25">
      <c r="F16">
        <f>F15+D4</f>
        <v>44070637</v>
      </c>
    </row>
  </sheetData>
  <mergeCells count="3">
    <mergeCell ref="B2:C2"/>
    <mergeCell ref="A1:F1"/>
    <mergeCell ref="D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V120"/>
  <sheetViews>
    <sheetView tabSelected="1" topLeftCell="A57" zoomScale="75" zoomScaleNormal="75" workbookViewId="0">
      <selection activeCell="E93" sqref="E93"/>
    </sheetView>
  </sheetViews>
  <sheetFormatPr defaultRowHeight="15" x14ac:dyDescent="0.25"/>
  <cols>
    <col min="2" max="2" width="7.85546875" customWidth="1"/>
    <col min="3" max="3" width="9.140625" hidden="1" customWidth="1"/>
    <col min="4" max="4" width="21.42578125" customWidth="1"/>
    <col min="5" max="5" width="13.28515625" bestFit="1" customWidth="1"/>
    <col min="6" max="6" width="13.140625" customWidth="1"/>
    <col min="7" max="7" width="12.5703125" bestFit="1" customWidth="1"/>
    <col min="8" max="8" width="20.42578125" customWidth="1"/>
    <col min="9" max="9" width="12.5703125" customWidth="1"/>
    <col min="10" max="10" width="14" customWidth="1"/>
    <col min="11" max="11" width="17" customWidth="1"/>
    <col min="13" max="13" width="14.7109375" customWidth="1"/>
    <col min="15" max="15" width="12.85546875" customWidth="1"/>
    <col min="19" max="19" width="9.140625" customWidth="1"/>
  </cols>
  <sheetData>
    <row r="3" spans="1:23" ht="15.75" thickBot="1" x14ac:dyDescent="0.3">
      <c r="G3" t="s">
        <v>29</v>
      </c>
    </row>
    <row r="4" spans="1:23" ht="15.75" thickBot="1" x14ac:dyDescent="0.3">
      <c r="D4" s="48" t="s">
        <v>14</v>
      </c>
      <c r="E4" s="49"/>
      <c r="F4" s="49"/>
      <c r="G4" s="46"/>
      <c r="H4" s="46"/>
      <c r="I4" s="47"/>
      <c r="J4" s="46"/>
      <c r="K4" s="47"/>
    </row>
    <row r="5" spans="1:23" ht="15.75" thickBot="1" x14ac:dyDescent="0.3">
      <c r="D5" s="28"/>
      <c r="E5" s="264" t="s">
        <v>1</v>
      </c>
      <c r="F5" s="266"/>
      <c r="G5" s="264" t="s">
        <v>18</v>
      </c>
      <c r="H5" s="265"/>
      <c r="I5" s="264" t="s">
        <v>49</v>
      </c>
      <c r="J5" s="266"/>
      <c r="K5" s="42" t="s">
        <v>48</v>
      </c>
      <c r="M5" s="28"/>
      <c r="N5" s="264" t="s">
        <v>28</v>
      </c>
      <c r="O5" s="265"/>
      <c r="P5" s="265"/>
      <c r="Q5" s="265"/>
      <c r="R5" s="266"/>
      <c r="S5" s="264" t="s">
        <v>30</v>
      </c>
      <c r="T5" s="265"/>
      <c r="U5" s="265"/>
      <c r="V5" s="265"/>
      <c r="W5" s="266"/>
    </row>
    <row r="6" spans="1:23" x14ac:dyDescent="0.25">
      <c r="D6" s="43"/>
      <c r="E6" s="43" t="s">
        <v>11</v>
      </c>
      <c r="F6" s="21" t="s">
        <v>12</v>
      </c>
      <c r="G6" s="43" t="s">
        <v>11</v>
      </c>
      <c r="H6" s="21" t="s">
        <v>12</v>
      </c>
      <c r="I6" s="43" t="s">
        <v>11</v>
      </c>
      <c r="J6" s="21" t="s">
        <v>12</v>
      </c>
      <c r="K6" s="21"/>
      <c r="M6" s="43"/>
      <c r="N6" s="31" t="s">
        <v>23</v>
      </c>
      <c r="O6" s="37" t="s">
        <v>24</v>
      </c>
      <c r="P6" s="61" t="s">
        <v>25</v>
      </c>
      <c r="Q6" s="65" t="s">
        <v>26</v>
      </c>
      <c r="R6" s="57" t="s">
        <v>27</v>
      </c>
      <c r="T6" s="23"/>
      <c r="U6" s="23"/>
      <c r="V6" s="56"/>
      <c r="W6" s="57"/>
    </row>
    <row r="7" spans="1:23" x14ac:dyDescent="0.25">
      <c r="D7" s="22" t="s">
        <v>13</v>
      </c>
      <c r="E7" s="22">
        <f>11368/(1000*60)</f>
        <v>0.18946666666666667</v>
      </c>
      <c r="F7" s="24">
        <f>7466875/(1000*60)</f>
        <v>124.44791666666667</v>
      </c>
      <c r="G7" s="22">
        <f>11977991/(1000*60)</f>
        <v>199.63318333333333</v>
      </c>
      <c r="H7" s="24">
        <f>14408012/(1000*60)</f>
        <v>240.13353333333333</v>
      </c>
      <c r="I7" s="22">
        <f>11989359/(1000*60)</f>
        <v>199.82265000000001</v>
      </c>
      <c r="J7" s="24">
        <f>21874887/(1000*60)</f>
        <v>364.58145000000002</v>
      </c>
      <c r="K7" s="24">
        <f>33864246/(1000*60)</f>
        <v>564.40409999999997</v>
      </c>
      <c r="M7" s="22" t="s">
        <v>13</v>
      </c>
      <c r="N7" s="32">
        <v>2</v>
      </c>
      <c r="O7" s="34">
        <v>0</v>
      </c>
      <c r="P7" s="34">
        <v>0</v>
      </c>
      <c r="Q7" s="68">
        <v>0</v>
      </c>
      <c r="R7" s="66">
        <v>2</v>
      </c>
      <c r="S7" s="32" t="s">
        <v>31</v>
      </c>
      <c r="T7" s="34"/>
      <c r="U7" s="34"/>
      <c r="V7" s="23"/>
      <c r="W7" s="29"/>
    </row>
    <row r="8" spans="1:23" x14ac:dyDescent="0.25">
      <c r="D8" s="22" t="s">
        <v>15</v>
      </c>
      <c r="E8" s="22">
        <f>20065/(1000*60)</f>
        <v>0.33441666666666664</v>
      </c>
      <c r="F8" s="24">
        <f>5546421/(1000*60)</f>
        <v>92.440349999999995</v>
      </c>
      <c r="G8" s="22">
        <f>7958118/(1000*60)</f>
        <v>132.6353</v>
      </c>
      <c r="H8" s="24">
        <f>15104743/(1000*60)</f>
        <v>251.74571666666668</v>
      </c>
      <c r="I8" s="22">
        <f>7978183/(1000*60)</f>
        <v>132.96971666666667</v>
      </c>
      <c r="J8" s="24">
        <f>20651164/(1000*60)</f>
        <v>344.18606666666665</v>
      </c>
      <c r="K8" s="24">
        <f>28629347/(1000*60)</f>
        <v>477.15578333333332</v>
      </c>
      <c r="M8" s="22" t="s">
        <v>15</v>
      </c>
      <c r="N8" s="32">
        <v>0</v>
      </c>
      <c r="O8" s="34">
        <v>2</v>
      </c>
      <c r="P8" s="34">
        <v>1</v>
      </c>
      <c r="Q8" s="68">
        <v>1</v>
      </c>
      <c r="R8" s="66">
        <v>0</v>
      </c>
      <c r="S8" s="32" t="s">
        <v>32</v>
      </c>
      <c r="T8" s="34"/>
      <c r="U8" s="34"/>
      <c r="V8" s="37"/>
      <c r="W8" s="24"/>
    </row>
    <row r="9" spans="1:23" x14ac:dyDescent="0.25">
      <c r="D9" s="22" t="s">
        <v>6</v>
      </c>
      <c r="E9" s="22">
        <f>20823/(1000*60)</f>
        <v>0.34705000000000003</v>
      </c>
      <c r="F9" s="24">
        <f>6246050/(1000*60)</f>
        <v>104.10083333333333</v>
      </c>
      <c r="G9" s="22">
        <f>7892823/(1000*60)</f>
        <v>131.54705000000001</v>
      </c>
      <c r="H9" s="24">
        <f>14707791/(1000*60)</f>
        <v>245.12985</v>
      </c>
      <c r="I9" s="22">
        <f>7913646/(1000*60)</f>
        <v>131.89410000000001</v>
      </c>
      <c r="J9" s="24">
        <f>20953841/(1000*60)</f>
        <v>349.23068333333333</v>
      </c>
      <c r="K9" s="24">
        <f>28867487/(1000*60)</f>
        <v>481.12478333333331</v>
      </c>
      <c r="M9" s="22" t="s">
        <v>6</v>
      </c>
      <c r="N9" s="32">
        <v>1</v>
      </c>
      <c r="O9" s="34">
        <v>1</v>
      </c>
      <c r="P9" s="34">
        <v>1</v>
      </c>
      <c r="Q9" s="68">
        <v>0</v>
      </c>
      <c r="R9" s="66">
        <v>1</v>
      </c>
      <c r="S9" s="32" t="s">
        <v>33</v>
      </c>
      <c r="T9" s="34"/>
      <c r="U9" s="34"/>
      <c r="V9" s="30"/>
      <c r="W9" s="36"/>
    </row>
    <row r="10" spans="1:23" x14ac:dyDescent="0.25">
      <c r="D10" s="22" t="s">
        <v>16</v>
      </c>
      <c r="E10" s="22">
        <f>17129/(1000*60)</f>
        <v>0.28548333333333331</v>
      </c>
      <c r="F10" s="24">
        <f>3367801/(1000*60)</f>
        <v>56.13001666666667</v>
      </c>
      <c r="G10" s="22">
        <f>8287456/(1000*60)</f>
        <v>138.12426666666667</v>
      </c>
      <c r="H10" s="24">
        <f>14866288/(1000*60)</f>
        <v>247.77146666666667</v>
      </c>
      <c r="I10" s="22">
        <f>8304585/(1000*60)</f>
        <v>138.40975</v>
      </c>
      <c r="J10" s="24">
        <f>18234089/(1000*60)</f>
        <v>303.90148333333332</v>
      </c>
      <c r="K10" s="24">
        <f>26538674/(1000*60)</f>
        <v>442.31123333333335</v>
      </c>
      <c r="M10" s="22" t="s">
        <v>16</v>
      </c>
      <c r="N10" s="32">
        <v>1</v>
      </c>
      <c r="O10" s="34">
        <v>1</v>
      </c>
      <c r="P10" s="68">
        <v>2</v>
      </c>
      <c r="Q10" s="68">
        <v>0</v>
      </c>
      <c r="R10" s="66">
        <v>0</v>
      </c>
      <c r="S10" s="32" t="s">
        <v>34</v>
      </c>
      <c r="T10" s="34"/>
      <c r="U10" s="34"/>
      <c r="V10" s="23"/>
      <c r="W10" s="24"/>
    </row>
    <row r="11" spans="1:23" ht="15.75" thickBot="1" x14ac:dyDescent="0.3">
      <c r="D11" s="25" t="s">
        <v>17</v>
      </c>
      <c r="E11" s="25">
        <f>20413/(1000*60)</f>
        <v>0.34021666666666667</v>
      </c>
      <c r="F11" s="27">
        <f>6597553/(1000*60)</f>
        <v>109.95921666666666</v>
      </c>
      <c r="G11" s="25">
        <f>8686275/(1000*60)</f>
        <v>144.77125000000001</v>
      </c>
      <c r="H11" s="27">
        <f>15178582/(1000*60)</f>
        <v>252.97636666666668</v>
      </c>
      <c r="I11" s="25">
        <f>8706688/(1000*60)</f>
        <v>145.11146666666667</v>
      </c>
      <c r="J11" s="27">
        <f>21776135/(1000*60)</f>
        <v>362.93558333333334</v>
      </c>
      <c r="K11" s="27">
        <f>30482823/(1000*60)</f>
        <v>508.04705000000001</v>
      </c>
      <c r="M11" s="25" t="s">
        <v>17</v>
      </c>
      <c r="N11" s="33">
        <v>0</v>
      </c>
      <c r="O11" s="51">
        <v>0</v>
      </c>
      <c r="P11" s="51">
        <v>0</v>
      </c>
      <c r="Q11" s="51">
        <v>3</v>
      </c>
      <c r="R11" s="67">
        <v>1</v>
      </c>
      <c r="S11" s="33" t="s">
        <v>35</v>
      </c>
      <c r="T11" s="51"/>
      <c r="U11" s="51"/>
      <c r="V11" s="26"/>
      <c r="W11" s="27"/>
    </row>
    <row r="13" spans="1:23" x14ac:dyDescent="0.25">
      <c r="E13">
        <v>11368</v>
      </c>
      <c r="F13">
        <v>3367801</v>
      </c>
      <c r="G13">
        <v>7892823</v>
      </c>
      <c r="H13">
        <v>14408012</v>
      </c>
      <c r="I13">
        <v>7913646</v>
      </c>
      <c r="J13">
        <v>18234089</v>
      </c>
      <c r="K13">
        <v>26538674</v>
      </c>
    </row>
    <row r="14" spans="1:23" ht="15.75" thickBot="1" x14ac:dyDescent="0.3"/>
    <row r="15" spans="1:23" ht="15.75" thickBot="1" x14ac:dyDescent="0.3">
      <c r="A15" s="24"/>
      <c r="D15" s="267" t="s">
        <v>20</v>
      </c>
      <c r="E15" s="268"/>
      <c r="F15" s="268"/>
      <c r="G15" s="268"/>
      <c r="H15" s="268"/>
      <c r="I15" s="269"/>
      <c r="J15" s="46"/>
      <c r="K15" s="47"/>
    </row>
    <row r="16" spans="1:23" ht="15.75" thickBot="1" x14ac:dyDescent="0.3">
      <c r="D16" s="28"/>
      <c r="E16" s="264" t="s">
        <v>1</v>
      </c>
      <c r="F16" s="266"/>
      <c r="G16" s="264" t="s">
        <v>18</v>
      </c>
      <c r="H16" s="265"/>
      <c r="I16" s="264" t="s">
        <v>21</v>
      </c>
      <c r="J16" s="266"/>
      <c r="K16" s="42" t="s">
        <v>22</v>
      </c>
      <c r="M16" s="28"/>
      <c r="N16" s="264" t="s">
        <v>36</v>
      </c>
      <c r="O16" s="265"/>
      <c r="P16" s="265"/>
      <c r="Q16" s="265"/>
      <c r="R16" s="266"/>
      <c r="S16" s="264" t="s">
        <v>30</v>
      </c>
      <c r="T16" s="265"/>
      <c r="U16" s="265"/>
      <c r="V16" s="265"/>
      <c r="W16" s="266"/>
    </row>
    <row r="17" spans="4:23" x14ac:dyDescent="0.25">
      <c r="D17" s="22"/>
      <c r="E17" s="22" t="s">
        <v>11</v>
      </c>
      <c r="F17" s="24" t="s">
        <v>12</v>
      </c>
      <c r="G17" s="23" t="s">
        <v>11</v>
      </c>
      <c r="H17" s="23" t="s">
        <v>12</v>
      </c>
      <c r="I17" s="43" t="s">
        <v>11</v>
      </c>
      <c r="J17" s="21" t="s">
        <v>12</v>
      </c>
      <c r="K17" s="41"/>
      <c r="M17" s="43"/>
      <c r="N17" s="31" t="s">
        <v>23</v>
      </c>
      <c r="O17" s="37" t="s">
        <v>24</v>
      </c>
      <c r="P17" s="61" t="s">
        <v>25</v>
      </c>
      <c r="Q17" s="65" t="s">
        <v>26</v>
      </c>
      <c r="R17" s="57" t="s">
        <v>27</v>
      </c>
      <c r="T17" s="23"/>
      <c r="U17" s="23"/>
      <c r="V17" s="56"/>
      <c r="W17" s="57"/>
    </row>
    <row r="18" spans="4:23" x14ac:dyDescent="0.25">
      <c r="D18" s="22" t="s">
        <v>13</v>
      </c>
      <c r="E18" s="32">
        <v>0</v>
      </c>
      <c r="F18" s="24">
        <v>35</v>
      </c>
      <c r="G18" s="64">
        <v>32</v>
      </c>
      <c r="H18" s="64">
        <v>73</v>
      </c>
      <c r="I18" s="22">
        <v>32</v>
      </c>
      <c r="J18" s="24">
        <v>108</v>
      </c>
      <c r="K18" s="39">
        <v>140</v>
      </c>
      <c r="M18" s="22" t="s">
        <v>13</v>
      </c>
      <c r="N18" s="32">
        <v>0</v>
      </c>
      <c r="O18" s="34">
        <v>0</v>
      </c>
      <c r="P18" s="34">
        <v>0</v>
      </c>
      <c r="Q18" s="68">
        <v>2</v>
      </c>
      <c r="R18" s="66">
        <v>1</v>
      </c>
      <c r="S18" s="32" t="s">
        <v>37</v>
      </c>
      <c r="T18" s="34"/>
      <c r="U18" s="34"/>
      <c r="V18" s="23"/>
      <c r="W18" s="29"/>
    </row>
    <row r="19" spans="4:23" x14ac:dyDescent="0.25">
      <c r="D19" s="22" t="s">
        <v>15</v>
      </c>
      <c r="E19" s="32">
        <v>0</v>
      </c>
      <c r="F19" s="36">
        <v>24</v>
      </c>
      <c r="G19" s="37">
        <v>29</v>
      </c>
      <c r="H19" s="30">
        <v>69</v>
      </c>
      <c r="I19" s="35">
        <v>29</v>
      </c>
      <c r="J19" s="36">
        <v>93</v>
      </c>
      <c r="K19" s="45">
        <v>122</v>
      </c>
      <c r="M19" s="22" t="s">
        <v>15</v>
      </c>
      <c r="N19" s="32">
        <v>1</v>
      </c>
      <c r="O19" s="34">
        <v>2</v>
      </c>
      <c r="P19" s="34">
        <v>0</v>
      </c>
      <c r="Q19" s="68">
        <v>0</v>
      </c>
      <c r="R19" s="66">
        <v>0</v>
      </c>
      <c r="S19" s="32" t="s">
        <v>38</v>
      </c>
      <c r="T19" s="34"/>
      <c r="U19" s="34"/>
      <c r="V19" s="37"/>
      <c r="W19" s="24"/>
    </row>
    <row r="20" spans="4:23" x14ac:dyDescent="0.25">
      <c r="D20" s="22" t="s">
        <v>6</v>
      </c>
      <c r="E20" s="32">
        <v>0</v>
      </c>
      <c r="F20" s="60">
        <v>28</v>
      </c>
      <c r="G20" s="30">
        <v>28</v>
      </c>
      <c r="H20" s="37">
        <v>70</v>
      </c>
      <c r="I20" s="31">
        <v>28</v>
      </c>
      <c r="J20" s="24">
        <v>98</v>
      </c>
      <c r="K20" s="39">
        <v>126</v>
      </c>
      <c r="M20" s="22" t="s">
        <v>6</v>
      </c>
      <c r="N20" s="32">
        <v>1</v>
      </c>
      <c r="O20" s="34">
        <v>1</v>
      </c>
      <c r="P20" s="34">
        <v>1</v>
      </c>
      <c r="Q20" s="68">
        <v>0</v>
      </c>
      <c r="R20" s="66">
        <v>0</v>
      </c>
      <c r="S20" s="32" t="s">
        <v>39</v>
      </c>
      <c r="T20" s="34"/>
      <c r="U20" s="34"/>
      <c r="V20" s="30"/>
      <c r="W20" s="36"/>
    </row>
    <row r="21" spans="4:23" x14ac:dyDescent="0.25">
      <c r="D21" s="22" t="s">
        <v>16</v>
      </c>
      <c r="E21" s="32">
        <v>0</v>
      </c>
      <c r="F21" s="29">
        <v>12</v>
      </c>
      <c r="G21" s="61">
        <v>31</v>
      </c>
      <c r="H21" s="61">
        <v>73</v>
      </c>
      <c r="I21" s="22">
        <v>31</v>
      </c>
      <c r="J21" s="29">
        <v>85</v>
      </c>
      <c r="K21" s="44">
        <v>116</v>
      </c>
      <c r="M21" s="22" t="s">
        <v>16</v>
      </c>
      <c r="N21" s="32">
        <v>1</v>
      </c>
      <c r="O21" s="68">
        <v>0</v>
      </c>
      <c r="P21" s="68">
        <v>2</v>
      </c>
      <c r="Q21" s="68">
        <v>0</v>
      </c>
      <c r="R21" s="66">
        <v>0</v>
      </c>
      <c r="S21" s="32" t="s">
        <v>40</v>
      </c>
      <c r="T21" s="34"/>
      <c r="U21" s="34"/>
      <c r="V21" s="23"/>
      <c r="W21" s="24"/>
    </row>
    <row r="22" spans="4:23" ht="15.75" thickBot="1" x14ac:dyDescent="0.3">
      <c r="D22" s="25" t="s">
        <v>17</v>
      </c>
      <c r="E22" s="33">
        <v>0</v>
      </c>
      <c r="F22" s="62">
        <v>30</v>
      </c>
      <c r="G22" s="26">
        <v>35</v>
      </c>
      <c r="H22" s="26">
        <v>74</v>
      </c>
      <c r="I22" s="25">
        <v>35</v>
      </c>
      <c r="J22" s="27">
        <v>104</v>
      </c>
      <c r="K22" s="40">
        <v>139</v>
      </c>
      <c r="M22" s="25" t="s">
        <v>17</v>
      </c>
      <c r="N22" s="33">
        <v>0</v>
      </c>
      <c r="O22" s="51">
        <v>0</v>
      </c>
      <c r="P22" s="51">
        <v>0</v>
      </c>
      <c r="Q22" s="51">
        <v>1</v>
      </c>
      <c r="R22" s="67">
        <v>2</v>
      </c>
      <c r="S22" s="33" t="s">
        <v>37</v>
      </c>
      <c r="T22" s="51"/>
      <c r="U22" s="51"/>
      <c r="V22" s="26"/>
      <c r="W22" s="27"/>
    </row>
    <row r="23" spans="4:23" x14ac:dyDescent="0.25">
      <c r="F23">
        <v>12</v>
      </c>
      <c r="G23">
        <v>28</v>
      </c>
      <c r="H23">
        <v>69</v>
      </c>
      <c r="I23">
        <v>28</v>
      </c>
      <c r="J23">
        <v>85</v>
      </c>
      <c r="K23">
        <v>116</v>
      </c>
    </row>
    <row r="27" spans="4:23" ht="15.75" thickBot="1" x14ac:dyDescent="0.3"/>
    <row r="28" spans="4:23" ht="15.75" thickBot="1" x14ac:dyDescent="0.3">
      <c r="D28" s="48" t="s">
        <v>45</v>
      </c>
      <c r="E28" s="49"/>
      <c r="F28" s="49"/>
      <c r="G28" s="46"/>
      <c r="H28" s="46"/>
      <c r="I28" s="47"/>
      <c r="J28" s="46"/>
      <c r="K28" s="47"/>
    </row>
    <row r="29" spans="4:23" ht="15.75" thickBot="1" x14ac:dyDescent="0.3">
      <c r="D29" s="28"/>
      <c r="E29" s="264" t="s">
        <v>1</v>
      </c>
      <c r="F29" s="266"/>
      <c r="G29" s="264" t="s">
        <v>18</v>
      </c>
      <c r="H29" s="266"/>
      <c r="I29" s="264" t="s">
        <v>21</v>
      </c>
      <c r="J29" s="266"/>
      <c r="K29" s="42" t="s">
        <v>22</v>
      </c>
      <c r="M29" s="28"/>
      <c r="N29" s="264" t="s">
        <v>28</v>
      </c>
      <c r="O29" s="265"/>
      <c r="P29" s="265"/>
      <c r="Q29" s="265"/>
      <c r="R29" s="266"/>
      <c r="S29" s="264" t="s">
        <v>30</v>
      </c>
      <c r="T29" s="265"/>
      <c r="U29" s="265"/>
      <c r="V29" s="265"/>
      <c r="W29" s="266"/>
    </row>
    <row r="30" spans="4:23" x14ac:dyDescent="0.25">
      <c r="D30" s="22"/>
      <c r="E30" s="22" t="s">
        <v>11</v>
      </c>
      <c r="F30" s="24" t="s">
        <v>12</v>
      </c>
      <c r="G30" s="23" t="s">
        <v>11</v>
      </c>
      <c r="H30" s="23" t="s">
        <v>12</v>
      </c>
      <c r="I30" s="43" t="s">
        <v>11</v>
      </c>
      <c r="J30" s="21" t="s">
        <v>12</v>
      </c>
      <c r="K30" s="41"/>
      <c r="M30" s="43"/>
      <c r="N30" s="31" t="s">
        <v>23</v>
      </c>
      <c r="O30" s="37" t="s">
        <v>24</v>
      </c>
      <c r="P30" s="61" t="s">
        <v>25</v>
      </c>
      <c r="Q30" s="65" t="s">
        <v>26</v>
      </c>
      <c r="R30" s="57" t="s">
        <v>27</v>
      </c>
      <c r="T30" s="23"/>
      <c r="U30" s="23"/>
      <c r="V30" s="56"/>
      <c r="W30" s="57"/>
    </row>
    <row r="31" spans="4:23" x14ac:dyDescent="0.25">
      <c r="D31" s="22" t="s">
        <v>13</v>
      </c>
      <c r="E31">
        <v>37.893333333333331</v>
      </c>
      <c r="F31" s="36">
        <v>4403.3018867924529</v>
      </c>
      <c r="G31" s="23">
        <v>23201.458955223879</v>
      </c>
      <c r="H31" s="30">
        <v>5585.9559471365637</v>
      </c>
      <c r="I31" s="22">
        <v>34569.458955223876</v>
      </c>
      <c r="J31" s="29">
        <v>9989.2578339290158</v>
      </c>
      <c r="K31" s="39">
        <v>44558.716789152895</v>
      </c>
      <c r="M31" s="22" t="s">
        <v>13</v>
      </c>
      <c r="N31" s="32">
        <v>2</v>
      </c>
      <c r="O31" s="34">
        <v>1</v>
      </c>
      <c r="P31" s="34">
        <v>0</v>
      </c>
      <c r="Q31" s="68">
        <v>0</v>
      </c>
      <c r="R31" s="66">
        <v>1</v>
      </c>
      <c r="S31" s="32" t="s">
        <v>43</v>
      </c>
      <c r="T31" s="34"/>
      <c r="U31" s="34"/>
      <c r="V31" s="23"/>
      <c r="W31" s="29"/>
    </row>
    <row r="32" spans="4:23" x14ac:dyDescent="0.25">
      <c r="D32" s="22" t="s">
        <v>15</v>
      </c>
      <c r="E32">
        <v>66.88333333333334</v>
      </c>
      <c r="F32" s="24">
        <v>4443.554347826087</v>
      </c>
      <c r="G32" s="61">
        <v>10103.756457564576</v>
      </c>
      <c r="H32" s="34">
        <v>11622.264069264069</v>
      </c>
      <c r="I32" s="22">
        <v>30168.756457564574</v>
      </c>
      <c r="J32" s="24">
        <v>16065.818417090155</v>
      </c>
      <c r="K32" s="39">
        <v>46234.574874654732</v>
      </c>
      <c r="M32" s="22" t="s">
        <v>15</v>
      </c>
      <c r="N32" s="32">
        <v>0</v>
      </c>
      <c r="O32" s="34">
        <v>0</v>
      </c>
      <c r="P32" s="34">
        <v>2</v>
      </c>
      <c r="Q32" s="68">
        <v>0</v>
      </c>
      <c r="R32" s="66">
        <v>2</v>
      </c>
      <c r="S32" s="32" t="s">
        <v>44</v>
      </c>
      <c r="T32" s="34"/>
      <c r="U32" s="34"/>
      <c r="V32" s="37"/>
      <c r="W32" s="24"/>
    </row>
    <row r="33" spans="3:48" x14ac:dyDescent="0.25">
      <c r="D33" s="22" t="s">
        <v>6</v>
      </c>
      <c r="E33">
        <v>69.41</v>
      </c>
      <c r="F33" s="60">
        <v>4434.0073529411766</v>
      </c>
      <c r="G33" s="64">
        <v>10488.319852941177</v>
      </c>
      <c r="H33" s="64">
        <v>9164.3086956521747</v>
      </c>
      <c r="I33" s="22">
        <v>31311.319852941175</v>
      </c>
      <c r="J33" s="24">
        <v>13598.316048593351</v>
      </c>
      <c r="K33" s="39">
        <v>44909.635901534522</v>
      </c>
      <c r="M33" s="22" t="s">
        <v>6</v>
      </c>
      <c r="N33" s="32">
        <v>0</v>
      </c>
      <c r="O33" s="34">
        <v>0</v>
      </c>
      <c r="P33" s="34">
        <v>1</v>
      </c>
      <c r="Q33" s="68">
        <v>2</v>
      </c>
      <c r="R33" s="66">
        <v>1</v>
      </c>
      <c r="S33" s="32" t="s">
        <v>41</v>
      </c>
      <c r="T33" s="34"/>
      <c r="U33" s="34"/>
      <c r="V33" s="30"/>
      <c r="W33" s="36"/>
    </row>
    <row r="34" spans="3:48" x14ac:dyDescent="0.25">
      <c r="D34" s="22" t="s">
        <v>16</v>
      </c>
      <c r="E34">
        <v>57.096666666666664</v>
      </c>
      <c r="F34" s="29">
        <v>4193.7534722222226</v>
      </c>
      <c r="G34" s="37">
        <v>10064.892193308549</v>
      </c>
      <c r="H34" s="37">
        <v>7604.79295154185</v>
      </c>
      <c r="I34" s="31">
        <v>27193.892193308551</v>
      </c>
      <c r="J34" s="36">
        <v>11798.546423764074</v>
      </c>
      <c r="K34" s="44">
        <v>38992.438617072621</v>
      </c>
      <c r="M34" s="22" t="s">
        <v>16</v>
      </c>
      <c r="N34" s="32">
        <v>1</v>
      </c>
      <c r="O34" s="68">
        <v>3</v>
      </c>
      <c r="P34" s="68">
        <v>0</v>
      </c>
      <c r="Q34" s="68">
        <v>0</v>
      </c>
      <c r="R34" s="66">
        <v>0</v>
      </c>
      <c r="S34" s="32" t="s">
        <v>34</v>
      </c>
      <c r="T34" s="34"/>
      <c r="U34" s="34"/>
      <c r="V34" s="23"/>
      <c r="W34" s="24"/>
    </row>
    <row r="35" spans="3:48" ht="15.75" thickBot="1" x14ac:dyDescent="0.3">
      <c r="D35" s="25" t="s">
        <v>17</v>
      </c>
      <c r="E35">
        <v>68.043333333333337</v>
      </c>
      <c r="F35" s="62">
        <v>4435.3814814814814</v>
      </c>
      <c r="G35" s="50">
        <v>9004.8113207547176</v>
      </c>
      <c r="H35" s="69">
        <v>8223.8141592920347</v>
      </c>
      <c r="I35" s="54">
        <v>29417.811320754718</v>
      </c>
      <c r="J35" s="27">
        <v>12659.195640773516</v>
      </c>
      <c r="K35" s="55">
        <v>42077.006961528234</v>
      </c>
      <c r="M35" s="25" t="s">
        <v>17</v>
      </c>
      <c r="N35" s="33">
        <v>1</v>
      </c>
      <c r="O35" s="51">
        <v>0</v>
      </c>
      <c r="P35" s="51">
        <v>1</v>
      </c>
      <c r="Q35" s="51">
        <v>2</v>
      </c>
      <c r="R35" s="67">
        <v>0</v>
      </c>
      <c r="S35" s="33" t="s">
        <v>42</v>
      </c>
      <c r="T35" s="51"/>
      <c r="U35" s="51"/>
      <c r="V35" s="26"/>
      <c r="W35" s="27"/>
    </row>
    <row r="36" spans="3:48" x14ac:dyDescent="0.25">
      <c r="E36">
        <v>11368</v>
      </c>
      <c r="F36">
        <v>4193.7534722222226</v>
      </c>
      <c r="G36">
        <v>9004.8113207547176</v>
      </c>
      <c r="H36">
        <v>5585.9559471365637</v>
      </c>
      <c r="I36">
        <v>27193.892193308551</v>
      </c>
      <c r="J36">
        <v>9989.2578339290158</v>
      </c>
      <c r="K36">
        <v>38992.438617072621</v>
      </c>
    </row>
    <row r="37" spans="3:48" x14ac:dyDescent="0.25">
      <c r="C37">
        <v>300</v>
      </c>
    </row>
    <row r="39" spans="3:48" ht="15.75" thickBot="1" x14ac:dyDescent="0.3">
      <c r="N39" s="289" t="s">
        <v>51</v>
      </c>
      <c r="O39" s="289"/>
      <c r="P39" s="289"/>
      <c r="Q39" s="289"/>
      <c r="R39" s="289"/>
      <c r="S39" s="289"/>
      <c r="T39" s="289"/>
      <c r="U39" s="289"/>
      <c r="V39" s="289"/>
      <c r="W39" s="289"/>
      <c r="X39" s="289"/>
      <c r="Y39" s="289"/>
      <c r="Z39" s="289"/>
      <c r="AA39" s="289"/>
      <c r="AB39" s="289"/>
      <c r="AC39" s="289"/>
      <c r="AD39" s="289"/>
      <c r="AE39" s="289"/>
    </row>
    <row r="40" spans="3:48" ht="15.75" thickBot="1" x14ac:dyDescent="0.3">
      <c r="D40" s="48" t="s">
        <v>46</v>
      </c>
      <c r="E40" s="49"/>
      <c r="F40" s="49"/>
      <c r="G40" s="46"/>
      <c r="H40" s="46"/>
      <c r="I40" s="47"/>
      <c r="J40" s="46"/>
      <c r="K40" s="47"/>
      <c r="AH40" s="92"/>
      <c r="AI40" s="84"/>
      <c r="AJ40" s="83"/>
      <c r="AK40" s="89"/>
      <c r="AL40" s="86"/>
      <c r="AM40" s="87"/>
      <c r="AN40" s="88"/>
      <c r="AO40" s="94"/>
      <c r="AP40" s="90"/>
      <c r="AQ40" s="85"/>
      <c r="AR40" s="91"/>
      <c r="AS40" s="89"/>
      <c r="AT40" s="90"/>
      <c r="AU40" s="85"/>
      <c r="AV40" s="93"/>
    </row>
    <row r="41" spans="3:48" ht="15.75" thickBot="1" x14ac:dyDescent="0.3">
      <c r="D41" s="28"/>
      <c r="E41" s="52" t="s">
        <v>1</v>
      </c>
      <c r="F41" s="53"/>
      <c r="G41" s="52" t="s">
        <v>18</v>
      </c>
      <c r="H41" s="38"/>
      <c r="I41" s="52" t="s">
        <v>21</v>
      </c>
      <c r="J41" s="53"/>
      <c r="K41" s="42" t="s">
        <v>22</v>
      </c>
    </row>
    <row r="42" spans="3:48" x14ac:dyDescent="0.25">
      <c r="D42" s="22"/>
      <c r="E42" s="22" t="s">
        <v>11</v>
      </c>
      <c r="F42" s="24" t="s">
        <v>12</v>
      </c>
      <c r="G42" s="23" t="s">
        <v>11</v>
      </c>
      <c r="H42" s="23" t="s">
        <v>12</v>
      </c>
      <c r="I42" s="43" t="s">
        <v>11</v>
      </c>
      <c r="J42" s="21" t="s">
        <v>12</v>
      </c>
      <c r="K42" s="41"/>
    </row>
    <row r="43" spans="3:48" x14ac:dyDescent="0.25">
      <c r="D43" s="22" t="s">
        <v>13</v>
      </c>
      <c r="E43" s="35">
        <v>1688</v>
      </c>
      <c r="F43" s="29">
        <v>3966</v>
      </c>
      <c r="G43" s="30">
        <v>1180</v>
      </c>
      <c r="H43" s="30">
        <v>3959</v>
      </c>
      <c r="I43" s="31">
        <f>E43+G43</f>
        <v>2868</v>
      </c>
      <c r="J43" s="29">
        <f>F43+H43</f>
        <v>7925</v>
      </c>
      <c r="K43" s="44">
        <f>I43+J43</f>
        <v>10793</v>
      </c>
    </row>
    <row r="44" spans="3:48" x14ac:dyDescent="0.25">
      <c r="D44" s="22" t="s">
        <v>15</v>
      </c>
      <c r="E44" s="31">
        <v>550</v>
      </c>
      <c r="F44" s="79">
        <v>6458</v>
      </c>
      <c r="G44" s="64">
        <v>4830</v>
      </c>
      <c r="H44" s="61">
        <v>11976</v>
      </c>
      <c r="I44" s="80">
        <f>E44+G44</f>
        <v>5380</v>
      </c>
      <c r="J44" s="60">
        <f>F44+H44</f>
        <v>18434</v>
      </c>
      <c r="K44" s="78">
        <f t="shared" ref="K44:K47" si="0">I44+J44</f>
        <v>23814</v>
      </c>
    </row>
    <row r="45" spans="3:48" x14ac:dyDescent="0.25">
      <c r="D45" s="22" t="s">
        <v>6</v>
      </c>
      <c r="E45" s="31">
        <v>550</v>
      </c>
      <c r="F45" s="71">
        <v>6468</v>
      </c>
      <c r="G45" s="37">
        <v>4828</v>
      </c>
      <c r="H45" s="64">
        <v>11985</v>
      </c>
      <c r="I45" s="58">
        <f>E45+G45</f>
        <v>5378</v>
      </c>
      <c r="J45" s="79">
        <f t="shared" ref="J45:J47" si="1">F45+H45</f>
        <v>18453</v>
      </c>
      <c r="K45" s="81">
        <f t="shared" si="0"/>
        <v>23831</v>
      </c>
    </row>
    <row r="46" spans="3:48" x14ac:dyDescent="0.25">
      <c r="D46" s="22" t="s">
        <v>16</v>
      </c>
      <c r="E46" s="58">
        <v>1935</v>
      </c>
      <c r="F46" s="36">
        <v>6325</v>
      </c>
      <c r="G46" s="72">
        <v>4946</v>
      </c>
      <c r="H46" s="72">
        <v>12448</v>
      </c>
      <c r="I46" s="70">
        <f>E46+G46</f>
        <v>6881</v>
      </c>
      <c r="J46" s="71">
        <f t="shared" si="1"/>
        <v>18773</v>
      </c>
      <c r="K46" s="73">
        <f t="shared" si="0"/>
        <v>25654</v>
      </c>
    </row>
    <row r="47" spans="3:48" ht="15.75" thickBot="1" x14ac:dyDescent="0.3">
      <c r="D47" s="25" t="s">
        <v>17</v>
      </c>
      <c r="E47" s="74">
        <v>550</v>
      </c>
      <c r="F47" s="77">
        <v>6445</v>
      </c>
      <c r="G47" s="69">
        <v>4766</v>
      </c>
      <c r="H47" s="75">
        <v>11929</v>
      </c>
      <c r="I47" s="54">
        <f>E47+G47</f>
        <v>5316</v>
      </c>
      <c r="J47" s="76">
        <f t="shared" si="1"/>
        <v>18374</v>
      </c>
      <c r="K47" s="55">
        <f t="shared" si="0"/>
        <v>23690</v>
      </c>
    </row>
    <row r="48" spans="3:48" x14ac:dyDescent="0.25">
      <c r="E48">
        <f>MIN(E43:E47)</f>
        <v>550</v>
      </c>
      <c r="F48">
        <f t="shared" ref="F48:H48" si="2">MIN(F43:F47)</f>
        <v>3966</v>
      </c>
      <c r="G48">
        <f t="shared" si="2"/>
        <v>1180</v>
      </c>
      <c r="H48">
        <f t="shared" si="2"/>
        <v>3959</v>
      </c>
      <c r="I48">
        <f t="shared" ref="I48" si="3">MIN(I43:I47)</f>
        <v>2868</v>
      </c>
      <c r="J48">
        <f t="shared" ref="J48" si="4">MIN(J43:J47)</f>
        <v>7925</v>
      </c>
      <c r="K48">
        <f t="shared" ref="K48" si="5">MIN(K43:K47)</f>
        <v>10793</v>
      </c>
    </row>
    <row r="51" spans="3:31" ht="15.75" thickBot="1" x14ac:dyDescent="0.3"/>
    <row r="52" spans="3:31" ht="15.75" thickBot="1" x14ac:dyDescent="0.3">
      <c r="D52" s="48" t="s">
        <v>47</v>
      </c>
      <c r="E52" s="49"/>
      <c r="F52" s="49"/>
      <c r="G52" s="46"/>
      <c r="H52" s="46"/>
      <c r="I52" s="47"/>
      <c r="J52" s="46"/>
      <c r="K52" s="47"/>
    </row>
    <row r="53" spans="3:31" ht="15.75" thickBot="1" x14ac:dyDescent="0.3">
      <c r="D53" s="28"/>
      <c r="E53" s="52" t="s">
        <v>1</v>
      </c>
      <c r="F53" s="53"/>
      <c r="G53" s="52" t="s">
        <v>18</v>
      </c>
      <c r="H53" s="38"/>
      <c r="I53" s="52" t="s">
        <v>21</v>
      </c>
      <c r="J53" s="53"/>
      <c r="K53" s="42" t="s">
        <v>22</v>
      </c>
      <c r="N53" s="31">
        <v>354</v>
      </c>
      <c r="O53" s="30">
        <v>964</v>
      </c>
      <c r="P53" s="35">
        <v>1541</v>
      </c>
      <c r="Q53" s="60">
        <v>1752</v>
      </c>
      <c r="R53" s="30">
        <v>1815</v>
      </c>
      <c r="S53" s="37">
        <v>2230</v>
      </c>
      <c r="T53" s="58">
        <v>2234</v>
      </c>
      <c r="U53" s="79">
        <v>2235</v>
      </c>
      <c r="V53" s="72">
        <v>2352</v>
      </c>
      <c r="W53" s="30">
        <v>2436</v>
      </c>
      <c r="X53" s="35">
        <v>2574</v>
      </c>
      <c r="Y53" s="60">
        <v>2577</v>
      </c>
      <c r="Z53" s="72">
        <v>2578</v>
      </c>
      <c r="AA53" s="72">
        <v>2685</v>
      </c>
      <c r="AB53" s="54">
        <v>2824</v>
      </c>
      <c r="AC53" s="77">
        <v>2830</v>
      </c>
      <c r="AD53" s="63">
        <v>2832</v>
      </c>
      <c r="AE53" s="95">
        <v>2873</v>
      </c>
    </row>
    <row r="54" spans="3:31" x14ac:dyDescent="0.25">
      <c r="D54" s="22"/>
      <c r="E54" s="22" t="s">
        <v>11</v>
      </c>
      <c r="F54" s="24" t="s">
        <v>12</v>
      </c>
      <c r="G54" s="23" t="s">
        <v>11</v>
      </c>
      <c r="H54" s="23" t="s">
        <v>12</v>
      </c>
      <c r="I54" s="43" t="s">
        <v>11</v>
      </c>
      <c r="J54" s="21" t="s">
        <v>12</v>
      </c>
      <c r="K54" s="41"/>
      <c r="M54" s="22" t="s">
        <v>13</v>
      </c>
      <c r="N54" s="56" t="s">
        <v>52</v>
      </c>
      <c r="O54">
        <f>11977991/(1000*60)</f>
        <v>199.63318333333333</v>
      </c>
      <c r="P54">
        <f>11368/(1000*60)</f>
        <v>0.18946666666666667</v>
      </c>
      <c r="Q54" t="s">
        <v>52</v>
      </c>
      <c r="R54">
        <f>14408012/(1000*60)</f>
        <v>240.13353333333333</v>
      </c>
      <c r="S54" t="s">
        <v>52</v>
      </c>
      <c r="T54" t="s">
        <v>52</v>
      </c>
      <c r="U54" t="s">
        <v>52</v>
      </c>
      <c r="V54" t="s">
        <v>52</v>
      </c>
      <c r="W54">
        <f>7466875/(1000*60)</f>
        <v>124.44791666666667</v>
      </c>
      <c r="X54" t="s">
        <v>52</v>
      </c>
      <c r="Y54" t="s">
        <v>52</v>
      </c>
      <c r="Z54" t="s">
        <v>52</v>
      </c>
      <c r="AA54" t="s">
        <v>52</v>
      </c>
      <c r="AB54" t="s">
        <v>52</v>
      </c>
      <c r="AC54" t="s">
        <v>52</v>
      </c>
      <c r="AD54" t="s">
        <v>52</v>
      </c>
      <c r="AE54" t="s">
        <v>52</v>
      </c>
    </row>
    <row r="55" spans="3:31" x14ac:dyDescent="0.25">
      <c r="D55" s="22" t="s">
        <v>13</v>
      </c>
      <c r="E55" s="35">
        <v>1541</v>
      </c>
      <c r="F55" s="29">
        <v>2436</v>
      </c>
      <c r="G55" s="30">
        <v>964</v>
      </c>
      <c r="H55" s="30">
        <v>1815</v>
      </c>
      <c r="I55" s="31">
        <f>E55+G55</f>
        <v>2505</v>
      </c>
      <c r="J55" s="29">
        <f>F55+H55</f>
        <v>4251</v>
      </c>
      <c r="K55" s="44">
        <f>I55+J55</f>
        <v>6756</v>
      </c>
      <c r="L55" s="82"/>
      <c r="M55" s="22" t="s">
        <v>15</v>
      </c>
      <c r="N55">
        <f>20065/(1000*60)</f>
        <v>0.33441666666666664</v>
      </c>
      <c r="O55" t="s">
        <v>52</v>
      </c>
      <c r="P55" t="s">
        <v>52</v>
      </c>
      <c r="Q55" t="s">
        <v>52</v>
      </c>
      <c r="R55" t="s">
        <v>52</v>
      </c>
      <c r="S55" t="s">
        <v>52</v>
      </c>
      <c r="T55">
        <f>7958118/(1000*60)</f>
        <v>132.6353</v>
      </c>
      <c r="U55" t="s">
        <v>52</v>
      </c>
      <c r="V55" t="s">
        <v>52</v>
      </c>
      <c r="W55" t="s">
        <v>52</v>
      </c>
      <c r="X55" t="s">
        <v>52</v>
      </c>
      <c r="Y55" t="s">
        <v>52</v>
      </c>
      <c r="Z55">
        <f>5546421/(1000*60)</f>
        <v>92.440349999999995</v>
      </c>
      <c r="AA55" t="s">
        <v>52</v>
      </c>
      <c r="AB55" t="s">
        <v>52</v>
      </c>
      <c r="AC55">
        <f>15104743/(1000*60)</f>
        <v>251.74571666666668</v>
      </c>
      <c r="AD55" t="s">
        <v>52</v>
      </c>
      <c r="AE55" t="s">
        <v>52</v>
      </c>
    </row>
    <row r="56" spans="3:31" x14ac:dyDescent="0.25">
      <c r="D56" s="22" t="s">
        <v>15</v>
      </c>
      <c r="E56" s="31">
        <v>354</v>
      </c>
      <c r="F56" s="71">
        <v>2578</v>
      </c>
      <c r="G56" s="61">
        <v>2234</v>
      </c>
      <c r="H56" s="61">
        <v>2830</v>
      </c>
      <c r="I56" s="58">
        <f t="shared" ref="I56:I59" si="6">E56+G56</f>
        <v>2588</v>
      </c>
      <c r="J56" s="60">
        <f t="shared" ref="J56:J59" si="7">F56+H56</f>
        <v>5408</v>
      </c>
      <c r="K56" s="78">
        <f t="shared" ref="K56:K59" si="8">I56+J56</f>
        <v>7996</v>
      </c>
      <c r="M56" s="22" t="s">
        <v>6</v>
      </c>
      <c r="N56">
        <f>20823/(1000*60)</f>
        <v>0.34705000000000003</v>
      </c>
      <c r="O56" t="s">
        <v>52</v>
      </c>
      <c r="P56" t="s">
        <v>52</v>
      </c>
      <c r="Q56" t="s">
        <v>52</v>
      </c>
      <c r="R56" t="s">
        <v>52</v>
      </c>
      <c r="S56" t="s">
        <v>52</v>
      </c>
      <c r="T56" t="s">
        <v>52</v>
      </c>
      <c r="U56">
        <f>7892823/(1000*60)</f>
        <v>131.54705000000001</v>
      </c>
      <c r="V56" t="s">
        <v>52</v>
      </c>
      <c r="W56" t="s">
        <v>52</v>
      </c>
      <c r="X56" t="s">
        <v>52</v>
      </c>
      <c r="Y56">
        <f>6246050/(1000*60)</f>
        <v>104.10083333333333</v>
      </c>
      <c r="Z56" t="s">
        <v>52</v>
      </c>
      <c r="AA56" t="s">
        <v>52</v>
      </c>
      <c r="AB56" t="s">
        <v>52</v>
      </c>
      <c r="AC56" t="s">
        <v>52</v>
      </c>
      <c r="AD56">
        <f>14707791/(1000*60)</f>
        <v>245.12985</v>
      </c>
      <c r="AE56" t="s">
        <v>52</v>
      </c>
    </row>
    <row r="57" spans="3:31" x14ac:dyDescent="0.25">
      <c r="C57" s="82"/>
      <c r="D57" s="22" t="s">
        <v>6</v>
      </c>
      <c r="E57" s="31">
        <v>354</v>
      </c>
      <c r="F57" s="60">
        <v>2577</v>
      </c>
      <c r="G57" s="64">
        <v>2235</v>
      </c>
      <c r="H57" s="64">
        <v>2832</v>
      </c>
      <c r="I57" s="80">
        <f t="shared" si="6"/>
        <v>2589</v>
      </c>
      <c r="J57" s="79">
        <f t="shared" si="7"/>
        <v>5409</v>
      </c>
      <c r="K57" s="81">
        <f t="shared" si="8"/>
        <v>7998</v>
      </c>
      <c r="M57" s="22" t="s">
        <v>16</v>
      </c>
      <c r="N57" t="s">
        <v>52</v>
      </c>
      <c r="O57" t="s">
        <v>52</v>
      </c>
      <c r="P57" t="s">
        <v>52</v>
      </c>
      <c r="Q57">
        <f>17129/(1000*60)</f>
        <v>0.28548333333333331</v>
      </c>
      <c r="R57" t="s">
        <v>52</v>
      </c>
      <c r="S57" t="s">
        <v>52</v>
      </c>
      <c r="T57" t="s">
        <v>52</v>
      </c>
      <c r="U57" t="s">
        <v>52</v>
      </c>
      <c r="V57">
        <f>8287456/(1000*60)</f>
        <v>138.12426666666667</v>
      </c>
      <c r="W57" t="s">
        <v>52</v>
      </c>
      <c r="X57" t="s">
        <v>52</v>
      </c>
      <c r="Y57" t="s">
        <v>52</v>
      </c>
      <c r="Z57" t="s">
        <v>52</v>
      </c>
      <c r="AA57">
        <f>3367801/(1000*60)</f>
        <v>56.13001666666667</v>
      </c>
      <c r="AB57" t="s">
        <v>52</v>
      </c>
      <c r="AC57" t="s">
        <v>52</v>
      </c>
      <c r="AD57" t="s">
        <v>52</v>
      </c>
      <c r="AE57">
        <f>14866288/(1000*60)</f>
        <v>247.77146666666667</v>
      </c>
    </row>
    <row r="58" spans="3:31" ht="15.75" thickBot="1" x14ac:dyDescent="0.3">
      <c r="D58" s="22" t="s">
        <v>16</v>
      </c>
      <c r="E58" s="58">
        <v>1752</v>
      </c>
      <c r="F58" s="71">
        <v>2685</v>
      </c>
      <c r="G58" s="72">
        <v>2352</v>
      </c>
      <c r="H58" s="72">
        <v>2873</v>
      </c>
      <c r="I58" s="70">
        <f t="shared" si="6"/>
        <v>4104</v>
      </c>
      <c r="J58" s="71">
        <f t="shared" si="7"/>
        <v>5558</v>
      </c>
      <c r="K58" s="73">
        <f t="shared" si="8"/>
        <v>9662</v>
      </c>
      <c r="M58" s="25" t="s">
        <v>17</v>
      </c>
      <c r="N58">
        <f>20413/(1000*60)</f>
        <v>0.34021666666666667</v>
      </c>
      <c r="O58" t="s">
        <v>52</v>
      </c>
      <c r="P58" t="s">
        <v>52</v>
      </c>
      <c r="Q58" t="s">
        <v>52</v>
      </c>
      <c r="R58" t="s">
        <v>52</v>
      </c>
      <c r="S58">
        <f>8686275/(1000*60)</f>
        <v>144.77125000000001</v>
      </c>
      <c r="T58" t="s">
        <v>52</v>
      </c>
      <c r="U58" t="s">
        <v>52</v>
      </c>
      <c r="V58" t="s">
        <v>52</v>
      </c>
      <c r="W58" t="s">
        <v>52</v>
      </c>
      <c r="X58">
        <f>6597553/(1000*60)</f>
        <v>109.95921666666666</v>
      </c>
      <c r="Y58" t="s">
        <v>52</v>
      </c>
      <c r="Z58" t="s">
        <v>52</v>
      </c>
      <c r="AA58" t="s">
        <v>52</v>
      </c>
      <c r="AB58">
        <f>15178582/(1000*60)</f>
        <v>252.97636666666668</v>
      </c>
      <c r="AC58" t="s">
        <v>52</v>
      </c>
      <c r="AD58" t="s">
        <v>52</v>
      </c>
      <c r="AE58" t="s">
        <v>52</v>
      </c>
    </row>
    <row r="59" spans="3:31" ht="15.75" thickBot="1" x14ac:dyDescent="0.3">
      <c r="D59" s="25" t="s">
        <v>17</v>
      </c>
      <c r="E59" s="74">
        <v>354</v>
      </c>
      <c r="F59" s="76">
        <v>2574</v>
      </c>
      <c r="G59" s="75">
        <v>2230</v>
      </c>
      <c r="H59" s="75">
        <v>2824</v>
      </c>
      <c r="I59" s="54">
        <f t="shared" si="6"/>
        <v>2584</v>
      </c>
      <c r="J59" s="76">
        <f t="shared" si="7"/>
        <v>5398</v>
      </c>
      <c r="K59" s="55">
        <f t="shared" si="8"/>
        <v>7982</v>
      </c>
    </row>
    <row r="60" spans="3:31" x14ac:dyDescent="0.25">
      <c r="E60">
        <f>MIN(E55:E59)</f>
        <v>354</v>
      </c>
      <c r="F60">
        <f t="shared" ref="F60:G60" si="9">MIN(F55:F59)</f>
        <v>2436</v>
      </c>
      <c r="G60">
        <f t="shared" si="9"/>
        <v>964</v>
      </c>
      <c r="I60">
        <f>MIN(I55:I59)</f>
        <v>2505</v>
      </c>
      <c r="J60">
        <f t="shared" ref="J60" si="10">MIN(J55:J59)</f>
        <v>4251</v>
      </c>
      <c r="K60">
        <f t="shared" ref="K60" si="11">MIN(K55:K59)</f>
        <v>6756</v>
      </c>
    </row>
    <row r="61" spans="3:31" x14ac:dyDescent="0.25">
      <c r="D61" s="287" t="s">
        <v>54</v>
      </c>
      <c r="E61" s="287"/>
      <c r="F61" s="287"/>
      <c r="G61" s="287"/>
      <c r="H61" s="287"/>
    </row>
    <row r="62" spans="3:31" ht="15.75" thickBot="1" x14ac:dyDescent="0.3">
      <c r="D62" s="286"/>
      <c r="E62" s="286"/>
      <c r="F62" s="286"/>
      <c r="G62" s="286"/>
      <c r="H62" s="286"/>
    </row>
    <row r="63" spans="3:31" ht="15.75" thickBot="1" x14ac:dyDescent="0.3">
      <c r="D63" s="28"/>
      <c r="E63" s="28" t="s">
        <v>90</v>
      </c>
      <c r="F63" s="47" t="s">
        <v>91</v>
      </c>
      <c r="G63" s="46" t="s">
        <v>89</v>
      </c>
      <c r="H63" s="47" t="s">
        <v>88</v>
      </c>
      <c r="I63" s="171" t="s">
        <v>92</v>
      </c>
    </row>
    <row r="64" spans="3:31" ht="15.75" thickBot="1" x14ac:dyDescent="0.3">
      <c r="D64" s="28" t="s">
        <v>105</v>
      </c>
      <c r="E64" s="155">
        <f>(11368/(1000*60))*60</f>
        <v>11.368</v>
      </c>
      <c r="F64" s="260">
        <f>(7466875/(1000*60))*60</f>
        <v>7466.875</v>
      </c>
      <c r="G64" s="155">
        <f>(11977991/(1000*60))*60</f>
        <v>11977.991</v>
      </c>
      <c r="H64" s="168">
        <f>(14408012/(1000*60))*60</f>
        <v>14408.012000000001</v>
      </c>
      <c r="I64" s="170">
        <f>SUM(E64:H64)</f>
        <v>33864.245999999999</v>
      </c>
    </row>
    <row r="65" spans="1:9" ht="15.75" thickBot="1" x14ac:dyDescent="0.3">
      <c r="D65" s="46" t="s">
        <v>106</v>
      </c>
      <c r="E65" s="154">
        <f>(20065/(1000*60))*60</f>
        <v>20.064999999999998</v>
      </c>
      <c r="F65" s="261">
        <f>(5546421/(1000*60))*60</f>
        <v>5546.4209999999994</v>
      </c>
      <c r="G65" s="154">
        <f>(7958118/(1000*60))*60</f>
        <v>7958.1180000000004</v>
      </c>
      <c r="H65" s="166">
        <f>(15104743/(1000*60))*60</f>
        <v>15104.743</v>
      </c>
      <c r="I65" s="176">
        <f t="shared" ref="I65:I70" si="12">SUM(E65:H65)</f>
        <v>28629.347000000002</v>
      </c>
    </row>
    <row r="66" spans="1:9" ht="15.75" thickBot="1" x14ac:dyDescent="0.3">
      <c r="D66" s="46" t="s">
        <v>107</v>
      </c>
      <c r="E66" s="154">
        <f>(20823/(1000*60))*60</f>
        <v>20.823</v>
      </c>
      <c r="F66" s="261">
        <f>(6246050/(1000*60))*60</f>
        <v>6246.0499999999993</v>
      </c>
      <c r="G66" s="154">
        <f>(7892823/(1000*60))*60</f>
        <v>7892.8230000000003</v>
      </c>
      <c r="H66" s="166">
        <f>(14707791/(1000*60))*60</f>
        <v>14707.791000000001</v>
      </c>
      <c r="I66" s="175">
        <f t="shared" si="12"/>
        <v>28867.487000000001</v>
      </c>
    </row>
    <row r="67" spans="1:9" ht="15.75" thickBot="1" x14ac:dyDescent="0.3">
      <c r="D67" s="46" t="s">
        <v>108</v>
      </c>
      <c r="E67" s="154">
        <f>(17129/(1000*60))*60</f>
        <v>17.128999999999998</v>
      </c>
      <c r="F67" s="261">
        <f>(3367801/(1000*60))*60</f>
        <v>3367.8010000000004</v>
      </c>
      <c r="G67" s="154">
        <f>(8287456/(1000*60))*60</f>
        <v>8287.4560000000001</v>
      </c>
      <c r="H67" s="166">
        <f>(14866288/(1000*60))*60</f>
        <v>14866.288</v>
      </c>
      <c r="I67" s="172">
        <f>SUM(E67:H67)</f>
        <v>26538.673999999999</v>
      </c>
    </row>
    <row r="68" spans="1:9" ht="15.75" thickBot="1" x14ac:dyDescent="0.3">
      <c r="D68" s="46" t="s">
        <v>110</v>
      </c>
      <c r="E68" s="154">
        <f>(20055/(1000*60))*60</f>
        <v>20.055</v>
      </c>
      <c r="F68" s="261">
        <f>(5531497/(1000*60))*60</f>
        <v>5531.4969999999994</v>
      </c>
      <c r="G68" s="154">
        <f>(8596634/(1000*60))*60</f>
        <v>8596.634</v>
      </c>
      <c r="H68" s="166">
        <f>(14591719/(1000*60))*60</f>
        <v>14591.718999999999</v>
      </c>
      <c r="I68" s="174">
        <f t="shared" si="12"/>
        <v>28739.904999999999</v>
      </c>
    </row>
    <row r="69" spans="1:9" ht="15.75" thickBot="1" x14ac:dyDescent="0.3">
      <c r="D69" s="46" t="s">
        <v>109</v>
      </c>
      <c r="E69" s="154">
        <f>(20413/(1000*60))*60</f>
        <v>20.413</v>
      </c>
      <c r="F69" s="261">
        <f>(6597553/(1000*60))*60</f>
        <v>6597.5529999999999</v>
      </c>
      <c r="G69" s="154">
        <f>(8686275/(1000*60))*60</f>
        <v>8686.2750000000015</v>
      </c>
      <c r="H69" s="166">
        <f>(15178582/(1000*60))*60</f>
        <v>15178.582</v>
      </c>
      <c r="I69" s="177">
        <f t="shared" si="12"/>
        <v>30482.823000000004</v>
      </c>
    </row>
    <row r="70" spans="1:9" ht="15.75" thickBot="1" x14ac:dyDescent="0.3">
      <c r="D70" s="47" t="s">
        <v>111</v>
      </c>
      <c r="E70" s="156">
        <f>(20133/(1000*60))*60</f>
        <v>20.133000000000003</v>
      </c>
      <c r="F70" s="262">
        <f>(4782325/(1000*60))*60</f>
        <v>4782.3249999999998</v>
      </c>
      <c r="G70" s="156">
        <f>(7958502/(1000*60))*60</f>
        <v>7958.5019999999995</v>
      </c>
      <c r="H70" s="167">
        <f>(14201633/(1000*60))*60</f>
        <v>14201.633</v>
      </c>
      <c r="I70" s="173">
        <f t="shared" si="12"/>
        <v>26962.593000000001</v>
      </c>
    </row>
    <row r="71" spans="1:9" x14ac:dyDescent="0.25">
      <c r="A71" s="23"/>
      <c r="B71" s="23"/>
      <c r="C71" s="23"/>
      <c r="D71" s="23"/>
      <c r="E71" s="23"/>
      <c r="F71" s="23"/>
      <c r="G71" s="23"/>
      <c r="H71" s="23"/>
      <c r="I71" s="23"/>
    </row>
    <row r="72" spans="1:9" x14ac:dyDescent="0.25">
      <c r="A72" s="97"/>
      <c r="B72" s="98"/>
      <c r="C72" s="98"/>
      <c r="D72" s="98"/>
      <c r="E72" s="98"/>
      <c r="F72" s="98"/>
      <c r="G72" s="98"/>
      <c r="H72" s="98"/>
      <c r="I72" s="98"/>
    </row>
    <row r="73" spans="1:9" x14ac:dyDescent="0.25">
      <c r="A73" s="23"/>
      <c r="B73" s="23"/>
      <c r="C73" s="23"/>
      <c r="D73" s="23"/>
      <c r="E73" s="96"/>
      <c r="F73" s="96"/>
      <c r="G73" s="96"/>
      <c r="H73" s="96"/>
      <c r="I73" s="23"/>
    </row>
    <row r="74" spans="1:9" x14ac:dyDescent="0.25">
      <c r="A74" s="23"/>
      <c r="B74" s="23"/>
      <c r="C74" s="23"/>
      <c r="D74" s="23">
        <v>60</v>
      </c>
      <c r="E74" s="23"/>
      <c r="F74" s="23"/>
      <c r="G74" s="23"/>
      <c r="H74" s="23"/>
      <c r="I74" s="23"/>
    </row>
    <row r="75" spans="1:9" x14ac:dyDescent="0.25">
      <c r="A75" s="23"/>
      <c r="B75" s="23"/>
      <c r="C75" s="23"/>
      <c r="D75" s="30"/>
      <c r="E75" s="23"/>
      <c r="F75" s="30"/>
      <c r="G75" s="23"/>
      <c r="H75" s="30"/>
      <c r="I75" s="23"/>
    </row>
    <row r="76" spans="1:9" x14ac:dyDescent="0.25">
      <c r="A76" s="23"/>
      <c r="B76" s="23"/>
      <c r="C76" s="23"/>
      <c r="D76" s="30"/>
      <c r="E76" s="34"/>
      <c r="F76" s="30"/>
      <c r="G76" s="34"/>
      <c r="H76" s="30"/>
      <c r="I76" s="34"/>
    </row>
    <row r="77" spans="1:9" x14ac:dyDescent="0.25">
      <c r="A77" s="23"/>
      <c r="B77" s="23"/>
      <c r="C77" s="23"/>
      <c r="D77" s="23"/>
      <c r="E77" s="23"/>
      <c r="F77" s="23"/>
      <c r="G77" s="23"/>
      <c r="H77" s="23"/>
      <c r="I77" s="23"/>
    </row>
    <row r="80" spans="1:9" ht="15.75" thickBot="1" x14ac:dyDescent="0.3">
      <c r="D80" s="283" t="s">
        <v>55</v>
      </c>
      <c r="E80" s="288"/>
      <c r="F80" s="288"/>
      <c r="G80" s="288"/>
      <c r="H80" s="288"/>
    </row>
    <row r="81" spans="1:15" ht="15.75" thickBot="1" x14ac:dyDescent="0.3">
      <c r="D81" s="28"/>
      <c r="E81" s="28" t="s">
        <v>90</v>
      </c>
      <c r="F81" s="47" t="s">
        <v>91</v>
      </c>
      <c r="G81" s="20" t="s">
        <v>89</v>
      </c>
      <c r="H81" s="21" t="s">
        <v>88</v>
      </c>
      <c r="I81" s="178" t="s">
        <v>92</v>
      </c>
      <c r="K81">
        <v>3814936</v>
      </c>
      <c r="M81">
        <v>7314562</v>
      </c>
      <c r="O81">
        <v>16016656</v>
      </c>
    </row>
    <row r="82" spans="1:15" ht="15.75" thickBot="1" x14ac:dyDescent="0.3">
      <c r="D82" s="28" t="s">
        <v>105</v>
      </c>
      <c r="E82" s="155">
        <f>(81781/(1000*60))*60</f>
        <v>81.781000000000006</v>
      </c>
      <c r="F82" s="168">
        <f t="shared" ref="F82:F88" si="13">(K81/(1000*60))*60</f>
        <v>3814.9360000000001</v>
      </c>
      <c r="G82" s="260">
        <f t="shared" ref="G82:G88" si="14">(M81/(1000*60))*60</f>
        <v>7314.5619999999999</v>
      </c>
      <c r="H82" s="168">
        <f t="shared" ref="H82:H88" si="15">(O81/(1000*60))*60</f>
        <v>16016.656000000001</v>
      </c>
      <c r="I82" s="179">
        <f>SUM(E82:H82)</f>
        <v>27227.935000000001</v>
      </c>
      <c r="K82">
        <v>4019620</v>
      </c>
      <c r="M82">
        <v>8412353</v>
      </c>
      <c r="O82">
        <v>17529861</v>
      </c>
    </row>
    <row r="83" spans="1:15" ht="15.75" thickBot="1" x14ac:dyDescent="0.3">
      <c r="D83" s="46" t="s">
        <v>106</v>
      </c>
      <c r="E83" s="154">
        <f>(50680/(1000*60))*60</f>
        <v>50.68</v>
      </c>
      <c r="F83" s="166">
        <f t="shared" si="13"/>
        <v>4019.6200000000003</v>
      </c>
      <c r="G83" s="261">
        <f t="shared" si="14"/>
        <v>8412.3529999999992</v>
      </c>
      <c r="H83" s="166">
        <f t="shared" si="15"/>
        <v>17529.861000000001</v>
      </c>
      <c r="I83" s="183">
        <f t="shared" ref="I83:I88" si="16">SUM(E83:H83)</f>
        <v>30012.513999999999</v>
      </c>
      <c r="K83">
        <v>4040885</v>
      </c>
      <c r="M83">
        <v>7834904</v>
      </c>
      <c r="O83">
        <v>16994880</v>
      </c>
    </row>
    <row r="84" spans="1:15" ht="15.75" thickBot="1" x14ac:dyDescent="0.3">
      <c r="D84" s="46" t="s">
        <v>107</v>
      </c>
      <c r="E84" s="154">
        <f>(50899/(1000*60))*60</f>
        <v>50.899000000000001</v>
      </c>
      <c r="F84" s="166">
        <f t="shared" si="13"/>
        <v>4040.8850000000002</v>
      </c>
      <c r="G84" s="261">
        <f t="shared" si="14"/>
        <v>7834.9040000000005</v>
      </c>
      <c r="H84" s="166">
        <f t="shared" si="15"/>
        <v>16994.88</v>
      </c>
      <c r="I84" s="181">
        <f t="shared" si="16"/>
        <v>28921.567999999999</v>
      </c>
      <c r="K84">
        <v>3683533</v>
      </c>
      <c r="M84">
        <v>8411302</v>
      </c>
      <c r="O84">
        <v>18903300</v>
      </c>
    </row>
    <row r="85" spans="1:15" ht="15.75" thickBot="1" x14ac:dyDescent="0.3">
      <c r="D85" s="46" t="s">
        <v>108</v>
      </c>
      <c r="E85" s="154">
        <f>(147719/(1000*60))*60</f>
        <v>147.71899999999999</v>
      </c>
      <c r="F85" s="166">
        <f t="shared" si="13"/>
        <v>3683.5330000000004</v>
      </c>
      <c r="G85" s="261">
        <f t="shared" si="14"/>
        <v>8411.3019999999997</v>
      </c>
      <c r="H85" s="166">
        <f t="shared" si="15"/>
        <v>18903.3</v>
      </c>
      <c r="I85" s="169">
        <f t="shared" si="16"/>
        <v>31145.853999999999</v>
      </c>
      <c r="K85">
        <v>4029296</v>
      </c>
      <c r="M85">
        <v>7778943</v>
      </c>
      <c r="O85">
        <v>16915693</v>
      </c>
    </row>
    <row r="86" spans="1:15" ht="15.75" thickBot="1" x14ac:dyDescent="0.3">
      <c r="D86" s="46" t="s">
        <v>110</v>
      </c>
      <c r="E86" s="154">
        <f>(48837/(1000*60))*60</f>
        <v>48.836999999999996</v>
      </c>
      <c r="F86" s="166">
        <f t="shared" si="13"/>
        <v>4029.2959999999998</v>
      </c>
      <c r="G86" s="261">
        <f t="shared" si="14"/>
        <v>7778.9429999999993</v>
      </c>
      <c r="H86" s="166">
        <f t="shared" si="15"/>
        <v>16915.692999999999</v>
      </c>
      <c r="I86" s="180">
        <f t="shared" si="16"/>
        <v>28772.769</v>
      </c>
      <c r="K86">
        <v>4393697</v>
      </c>
      <c r="M86">
        <v>8473420</v>
      </c>
      <c r="O86">
        <v>17890521</v>
      </c>
    </row>
    <row r="87" spans="1:15" ht="15.75" thickBot="1" x14ac:dyDescent="0.3">
      <c r="D87" s="46" t="s">
        <v>109</v>
      </c>
      <c r="E87" s="154">
        <f>(49904/(1000*60))*60</f>
        <v>49.903999999999996</v>
      </c>
      <c r="F87" s="166">
        <f t="shared" si="13"/>
        <v>4393.6970000000001</v>
      </c>
      <c r="G87" s="261">
        <f t="shared" si="14"/>
        <v>8473.42</v>
      </c>
      <c r="H87" s="166">
        <f t="shared" si="15"/>
        <v>17890.521000000001</v>
      </c>
      <c r="I87" s="184">
        <f t="shared" si="16"/>
        <v>30807.542000000001</v>
      </c>
      <c r="K87">
        <v>4235745</v>
      </c>
      <c r="M87">
        <v>8389641</v>
      </c>
      <c r="O87">
        <v>17306950</v>
      </c>
    </row>
    <row r="88" spans="1:15" ht="15.75" thickBot="1" x14ac:dyDescent="0.3">
      <c r="D88" s="47" t="s">
        <v>111</v>
      </c>
      <c r="E88" s="156">
        <f>(51537/(1000*60))*60</f>
        <v>51.536999999999999</v>
      </c>
      <c r="F88" s="167">
        <f t="shared" si="13"/>
        <v>4235.7449999999999</v>
      </c>
      <c r="G88" s="262">
        <f t="shared" si="14"/>
        <v>8389.6409999999996</v>
      </c>
      <c r="H88" s="167">
        <f t="shared" si="15"/>
        <v>17306.95</v>
      </c>
      <c r="I88" s="182">
        <f t="shared" si="16"/>
        <v>29983.873</v>
      </c>
    </row>
    <row r="89" spans="1:15" x14ac:dyDescent="0.25">
      <c r="D89" s="23"/>
      <c r="E89" s="23"/>
      <c r="F89" s="23"/>
      <c r="G89" s="23"/>
      <c r="H89" s="23"/>
    </row>
    <row r="90" spans="1:15" x14ac:dyDescent="0.25">
      <c r="C90" s="23"/>
      <c r="D90" s="23"/>
      <c r="E90" s="23"/>
      <c r="F90" s="23"/>
      <c r="G90" s="23"/>
      <c r="H90" s="23"/>
      <c r="I90" s="23"/>
    </row>
    <row r="91" spans="1:15" x14ac:dyDescent="0.25">
      <c r="B91" s="23"/>
      <c r="C91" s="23"/>
      <c r="D91" s="23"/>
      <c r="E91" s="96"/>
      <c r="F91" s="96"/>
      <c r="G91" s="96"/>
      <c r="H91" s="96"/>
    </row>
    <row r="92" spans="1:15" x14ac:dyDescent="0.25">
      <c r="B92" s="23"/>
      <c r="C92" s="23"/>
      <c r="D92" s="288"/>
      <c r="E92" s="288"/>
      <c r="F92" s="288"/>
      <c r="G92" s="23"/>
      <c r="H92" s="23"/>
    </row>
    <row r="93" spans="1:15" x14ac:dyDescent="0.25">
      <c r="A93" s="23"/>
      <c r="B93" s="23"/>
      <c r="C93" s="23"/>
      <c r="D93" s="23"/>
      <c r="E93" s="23"/>
      <c r="F93" s="23"/>
      <c r="G93" s="23"/>
      <c r="H93" s="23"/>
      <c r="I93" s="23"/>
      <c r="J93" s="23"/>
      <c r="K93" s="23"/>
      <c r="L93" s="23"/>
    </row>
    <row r="94" spans="1:15" x14ac:dyDescent="0.25">
      <c r="A94" s="23"/>
      <c r="B94" s="23"/>
      <c r="C94" s="23"/>
      <c r="D94" s="104"/>
      <c r="E94" s="104"/>
      <c r="F94" s="104"/>
      <c r="G94" s="104"/>
      <c r="H94" s="104"/>
      <c r="I94" s="23"/>
      <c r="K94">
        <v>34622002</v>
      </c>
      <c r="L94" s="23"/>
      <c r="M94">
        <f>26342002+J99</f>
        <v>34622002</v>
      </c>
      <c r="O94">
        <v>26342002</v>
      </c>
    </row>
    <row r="95" spans="1:15" ht="15.75" thickBot="1" x14ac:dyDescent="0.3">
      <c r="A95" s="23"/>
      <c r="B95" s="23"/>
      <c r="C95" s="23"/>
      <c r="D95" s="286" t="s">
        <v>57</v>
      </c>
      <c r="E95" s="286"/>
      <c r="F95" s="286"/>
      <c r="G95" s="23"/>
      <c r="H95" s="104"/>
      <c r="I95" s="23"/>
      <c r="K95">
        <v>34582951</v>
      </c>
      <c r="L95" s="23"/>
      <c r="M95">
        <f>26302951+J99</f>
        <v>34582951</v>
      </c>
      <c r="O95">
        <v>26302951</v>
      </c>
    </row>
    <row r="96" spans="1:15" ht="15.75" thickBot="1" x14ac:dyDescent="0.3">
      <c r="A96" s="23"/>
      <c r="B96" s="23"/>
      <c r="C96" s="23"/>
      <c r="D96" s="42"/>
      <c r="E96" s="102" t="s">
        <v>90</v>
      </c>
      <c r="F96" s="103" t="s">
        <v>89</v>
      </c>
      <c r="G96" s="186" t="s">
        <v>92</v>
      </c>
      <c r="H96" s="23"/>
      <c r="I96" s="23"/>
      <c r="K96">
        <v>34546678</v>
      </c>
      <c r="L96" s="23"/>
      <c r="M96">
        <f>26266678+J99</f>
        <v>34546678</v>
      </c>
      <c r="O96">
        <v>26266678</v>
      </c>
    </row>
    <row r="97" spans="1:15" ht="15.75" thickBot="1" x14ac:dyDescent="0.3">
      <c r="A97" s="23"/>
      <c r="B97" s="23"/>
      <c r="C97" s="23"/>
      <c r="D97" s="28" t="s">
        <v>105</v>
      </c>
      <c r="E97" s="155">
        <f>(1099177/(1000*60))*60</f>
        <v>1099.1770000000001</v>
      </c>
      <c r="F97" s="168">
        <f>(44070637/(1000*60))*60</f>
        <v>44070.637000000002</v>
      </c>
      <c r="G97" s="190">
        <f>SUM(E97:F97)</f>
        <v>45169.814000000006</v>
      </c>
      <c r="H97" s="23"/>
      <c r="I97" s="23"/>
      <c r="J97">
        <f>46*180000</f>
        <v>8280000</v>
      </c>
      <c r="K97">
        <v>34391756</v>
      </c>
      <c r="L97" s="23"/>
      <c r="M97">
        <f>26111756+J99</f>
        <v>34391756</v>
      </c>
      <c r="O97">
        <v>26111756</v>
      </c>
    </row>
    <row r="98" spans="1:15" ht="15.75" thickBot="1" x14ac:dyDescent="0.3">
      <c r="A98" s="23"/>
      <c r="B98" s="23"/>
      <c r="C98" s="23"/>
      <c r="D98" s="46" t="s">
        <v>106</v>
      </c>
      <c r="E98" s="154">
        <f>(1056523/(1000*60))*60</f>
        <v>1056.5229999999999</v>
      </c>
      <c r="F98" s="166">
        <f>(33586424/(1000*60))*60</f>
        <v>33586.423999999999</v>
      </c>
      <c r="G98" s="188">
        <f t="shared" ref="G98:G103" si="17">SUM(E98:F98)</f>
        <v>34642.947</v>
      </c>
      <c r="H98" s="23"/>
      <c r="I98" s="23"/>
      <c r="K98">
        <v>34468833</v>
      </c>
      <c r="L98" s="23"/>
      <c r="M98">
        <f>26188833+J99</f>
        <v>34468833</v>
      </c>
      <c r="O98">
        <v>26188833</v>
      </c>
    </row>
    <row r="99" spans="1:15" ht="15.75" thickBot="1" x14ac:dyDescent="0.3">
      <c r="A99" s="23"/>
      <c r="B99" s="23"/>
      <c r="C99" s="23"/>
      <c r="D99" s="46" t="s">
        <v>107</v>
      </c>
      <c r="E99" s="154">
        <f>(1053381/(1000*60))*60</f>
        <v>1053.3809999999999</v>
      </c>
      <c r="F99" s="166">
        <f>(52485565/(1000*60))*60</f>
        <v>52485.565000000002</v>
      </c>
      <c r="G99" s="192">
        <f>SUM(E99:F99)</f>
        <v>53538.946000000004</v>
      </c>
      <c r="H99" s="23"/>
      <c r="I99" s="23"/>
      <c r="J99">
        <v>8280000</v>
      </c>
      <c r="K99">
        <v>34429510</v>
      </c>
      <c r="L99" s="23"/>
      <c r="M99">
        <f>26149510+J99</f>
        <v>34429510</v>
      </c>
      <c r="O99">
        <v>26149510</v>
      </c>
    </row>
    <row r="100" spans="1:15" ht="15.75" thickBot="1" x14ac:dyDescent="0.3">
      <c r="A100" s="23"/>
      <c r="B100" s="23"/>
      <c r="C100" s="23"/>
      <c r="D100" s="46" t="s">
        <v>108</v>
      </c>
      <c r="E100" s="154">
        <f>(1040555/(1000*60))*60</f>
        <v>1040.5550000000001</v>
      </c>
      <c r="F100" s="166">
        <f>(44561839/(1000*60))*60</f>
        <v>44561.839</v>
      </c>
      <c r="G100" s="191">
        <f t="shared" si="17"/>
        <v>45602.394</v>
      </c>
      <c r="H100" s="23"/>
      <c r="I100" s="23"/>
      <c r="J100" s="23"/>
      <c r="K100" s="23">
        <v>34506972</v>
      </c>
      <c r="L100" s="23"/>
      <c r="M100">
        <f>26226972+J99</f>
        <v>34506972</v>
      </c>
      <c r="O100">
        <v>26226972</v>
      </c>
    </row>
    <row r="101" spans="1:15" ht="15.75" thickBot="1" x14ac:dyDescent="0.3">
      <c r="A101" s="23"/>
      <c r="B101" s="23"/>
      <c r="C101" s="23"/>
      <c r="D101" s="46" t="s">
        <v>110</v>
      </c>
      <c r="E101" s="154">
        <f>(1051421/(1000*60))*60</f>
        <v>1051.421</v>
      </c>
      <c r="F101" s="166">
        <f>(39058822/(1000*60))*60</f>
        <v>39058.822</v>
      </c>
      <c r="G101" s="189">
        <f>SUM(E101:F101)</f>
        <v>40110.243000000002</v>
      </c>
      <c r="H101" s="23"/>
      <c r="I101" s="23"/>
      <c r="J101" s="23"/>
      <c r="K101" s="23"/>
      <c r="L101" s="23"/>
    </row>
    <row r="102" spans="1:15" ht="15.75" thickBot="1" x14ac:dyDescent="0.3">
      <c r="A102" s="23"/>
      <c r="B102" s="23"/>
      <c r="C102" s="23"/>
      <c r="D102" s="46" t="s">
        <v>109</v>
      </c>
      <c r="E102" s="154">
        <f>(1052657/(1000*60))*60</f>
        <v>1052.6569999999999</v>
      </c>
      <c r="F102" s="166">
        <f>(15786627/(1000*60))*60</f>
        <v>15786.627</v>
      </c>
      <c r="G102" s="187">
        <f t="shared" si="17"/>
        <v>16839.284</v>
      </c>
      <c r="H102" s="23"/>
      <c r="I102" s="23"/>
      <c r="J102" s="23"/>
    </row>
    <row r="103" spans="1:15" ht="15.75" thickBot="1" x14ac:dyDescent="0.3">
      <c r="A103" s="23"/>
      <c r="B103" s="23"/>
      <c r="C103" s="23"/>
      <c r="D103" s="47" t="s">
        <v>111</v>
      </c>
      <c r="E103" s="156">
        <f>(1052523/(1000*60))*60</f>
        <v>1052.5229999999999</v>
      </c>
      <c r="F103" s="167">
        <f>(54745729/(1000*60))*60</f>
        <v>54745.728999999999</v>
      </c>
      <c r="G103" s="185">
        <f t="shared" si="17"/>
        <v>55798.252</v>
      </c>
      <c r="H103" s="23"/>
      <c r="I103" s="23"/>
      <c r="J103" s="23"/>
    </row>
    <row r="104" spans="1:15" x14ac:dyDescent="0.25">
      <c r="A104" s="23"/>
      <c r="B104" s="23"/>
      <c r="C104" s="23"/>
      <c r="D104" s="23"/>
      <c r="E104" s="23"/>
      <c r="F104" s="23"/>
      <c r="G104" s="23"/>
      <c r="H104" s="23"/>
      <c r="I104" s="23"/>
      <c r="J104" s="23"/>
    </row>
    <row r="105" spans="1:15" x14ac:dyDescent="0.25">
      <c r="A105" s="23"/>
      <c r="I105" s="23"/>
      <c r="J105" s="23"/>
    </row>
    <row r="106" spans="1:15" x14ac:dyDescent="0.25">
      <c r="A106" s="23"/>
      <c r="I106" s="23"/>
      <c r="J106" s="23"/>
    </row>
    <row r="107" spans="1:15" x14ac:dyDescent="0.25">
      <c r="A107" s="23"/>
      <c r="I107" s="23"/>
      <c r="J107" s="23"/>
    </row>
    <row r="108" spans="1:15" x14ac:dyDescent="0.25">
      <c r="A108" s="23"/>
      <c r="I108" s="23"/>
      <c r="J108" s="23"/>
    </row>
    <row r="109" spans="1:15" x14ac:dyDescent="0.25">
      <c r="A109" s="23"/>
      <c r="I109" s="23"/>
      <c r="J109" s="23"/>
    </row>
    <row r="110" spans="1:15" x14ac:dyDescent="0.25">
      <c r="A110" s="23"/>
      <c r="I110" s="23"/>
      <c r="J110" s="23"/>
    </row>
    <row r="111" spans="1:15" x14ac:dyDescent="0.25">
      <c r="A111" s="23"/>
    </row>
    <row r="112" spans="1:15" x14ac:dyDescent="0.25">
      <c r="A112" s="23"/>
    </row>
    <row r="113" spans="1:3" x14ac:dyDescent="0.25">
      <c r="A113" s="23"/>
      <c r="B113" s="23"/>
      <c r="C113" s="23"/>
    </row>
    <row r="114" spans="1:3" x14ac:dyDescent="0.25">
      <c r="A114" s="23"/>
      <c r="B114" s="23"/>
      <c r="C114" s="23"/>
    </row>
    <row r="115" spans="1:3" x14ac:dyDescent="0.25">
      <c r="A115" s="23"/>
      <c r="B115" s="23"/>
      <c r="C115" s="23"/>
    </row>
    <row r="116" spans="1:3" x14ac:dyDescent="0.25">
      <c r="A116" s="23"/>
      <c r="B116" s="23"/>
      <c r="C116" s="23"/>
    </row>
    <row r="117" spans="1:3" x14ac:dyDescent="0.25">
      <c r="A117" s="23"/>
      <c r="B117" s="23"/>
      <c r="C117" s="23"/>
    </row>
    <row r="118" spans="1:3" x14ac:dyDescent="0.25">
      <c r="A118" s="23"/>
      <c r="B118" s="23"/>
      <c r="C118" s="23"/>
    </row>
    <row r="119" spans="1:3" x14ac:dyDescent="0.25">
      <c r="A119" s="23"/>
      <c r="B119" s="23"/>
      <c r="C119" s="23"/>
    </row>
    <row r="120" spans="1:3" x14ac:dyDescent="0.25">
      <c r="A120" s="23"/>
      <c r="B120" s="23"/>
      <c r="C120" s="23"/>
    </row>
  </sheetData>
  <sortState columnSort="1" ref="N40:AG40">
    <sortCondition ref="N40:AG40"/>
  </sortState>
  <mergeCells count="22">
    <mergeCell ref="S5:W5"/>
    <mergeCell ref="D92:F92"/>
    <mergeCell ref="S16:W16"/>
    <mergeCell ref="I29:J29"/>
    <mergeCell ref="D15:I15"/>
    <mergeCell ref="E16:F16"/>
    <mergeCell ref="G16:H16"/>
    <mergeCell ref="I16:J16"/>
    <mergeCell ref="N16:R16"/>
    <mergeCell ref="N39:AE39"/>
    <mergeCell ref="E29:F29"/>
    <mergeCell ref="G29:H29"/>
    <mergeCell ref="N29:R29"/>
    <mergeCell ref="S29:W29"/>
    <mergeCell ref="D62:H62"/>
    <mergeCell ref="D80:H80"/>
    <mergeCell ref="D95:F95"/>
    <mergeCell ref="E5:F5"/>
    <mergeCell ref="G5:H5"/>
    <mergeCell ref="I5:J5"/>
    <mergeCell ref="N5:R5"/>
    <mergeCell ref="D61:H61"/>
  </mergeCells>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zoomScale="73" zoomScaleNormal="73" workbookViewId="0">
      <selection activeCell="A37" sqref="A37:A43"/>
    </sheetView>
  </sheetViews>
  <sheetFormatPr defaultRowHeight="15" x14ac:dyDescent="0.25"/>
  <cols>
    <col min="1" max="1" width="20.42578125" customWidth="1"/>
    <col min="2" max="2" width="17.85546875" customWidth="1"/>
    <col min="3" max="3" width="13.7109375" customWidth="1"/>
    <col min="4" max="4" width="14.7109375" customWidth="1"/>
    <col min="5" max="5" width="14" customWidth="1"/>
    <col min="6" max="6" width="13.28515625" customWidth="1"/>
    <col min="7" max="7" width="14.140625" customWidth="1"/>
    <col min="8" max="8" width="20.28515625" customWidth="1"/>
    <col min="9" max="9" width="15.7109375" customWidth="1"/>
    <col min="19" max="19" width="9.140625" customWidth="1"/>
  </cols>
  <sheetData>
    <row r="1" spans="1:18" ht="15.75" thickBot="1" x14ac:dyDescent="0.3">
      <c r="A1" s="290" t="s">
        <v>54</v>
      </c>
      <c r="B1" s="290"/>
      <c r="C1" s="290"/>
      <c r="D1" s="290"/>
      <c r="E1" s="290"/>
      <c r="F1" s="290"/>
      <c r="G1" s="290"/>
      <c r="H1" s="290"/>
    </row>
    <row r="2" spans="1:18" ht="15.75" thickBot="1" x14ac:dyDescent="0.3">
      <c r="A2" s="48" t="s">
        <v>45</v>
      </c>
      <c r="B2" s="49"/>
      <c r="C2" s="49"/>
      <c r="D2" s="46"/>
      <c r="E2" s="46"/>
      <c r="F2" s="47"/>
      <c r="G2" s="46"/>
      <c r="H2" s="47"/>
    </row>
    <row r="3" spans="1:18" ht="15.75" thickBot="1" x14ac:dyDescent="0.3">
      <c r="A3" s="43"/>
      <c r="B3" s="291" t="s">
        <v>1</v>
      </c>
      <c r="C3" s="292"/>
      <c r="D3" s="291" t="s">
        <v>18</v>
      </c>
      <c r="E3" s="292"/>
      <c r="F3" s="291" t="s">
        <v>21</v>
      </c>
      <c r="G3" s="292"/>
      <c r="H3" s="41" t="s">
        <v>22</v>
      </c>
      <c r="I3" s="35"/>
    </row>
    <row r="4" spans="1:18" ht="15.75" thickBot="1" x14ac:dyDescent="0.3">
      <c r="A4" s="121"/>
      <c r="B4" s="28" t="s">
        <v>90</v>
      </c>
      <c r="C4" s="47" t="s">
        <v>91</v>
      </c>
      <c r="D4" s="28" t="s">
        <v>89</v>
      </c>
      <c r="E4" s="47" t="s">
        <v>88</v>
      </c>
      <c r="F4" s="122" t="s">
        <v>11</v>
      </c>
      <c r="G4" s="121" t="s">
        <v>12</v>
      </c>
      <c r="H4" s="123"/>
    </row>
    <row r="5" spans="1:18" ht="15.75" thickBot="1" x14ac:dyDescent="0.3">
      <c r="A5" s="28" t="s">
        <v>105</v>
      </c>
      <c r="B5" s="252">
        <v>3.7893333333333327E-2</v>
      </c>
      <c r="C5" s="253">
        <v>4.4033018867924527</v>
      </c>
      <c r="D5" s="254">
        <v>23.201458955223881</v>
      </c>
      <c r="E5" s="253">
        <v>5.5859559471365641</v>
      </c>
      <c r="F5" s="125">
        <f>B5+D5</f>
        <v>23.239352288557214</v>
      </c>
      <c r="G5" s="121">
        <f>C5+E5</f>
        <v>9.9892578339290168</v>
      </c>
      <c r="H5" s="123">
        <f>F5+G5</f>
        <v>33.228610122486231</v>
      </c>
      <c r="I5" s="193"/>
    </row>
    <row r="6" spans="1:18" ht="15.75" thickBot="1" x14ac:dyDescent="0.3">
      <c r="A6" s="46" t="s">
        <v>106</v>
      </c>
      <c r="B6" s="255">
        <v>6.6883333333333336E-2</v>
      </c>
      <c r="C6" s="256">
        <v>4.4435543478260868</v>
      </c>
      <c r="D6" s="96">
        <v>10.103756457564575</v>
      </c>
      <c r="E6" s="256">
        <v>11.62226406926407</v>
      </c>
      <c r="F6" s="70">
        <f t="shared" ref="F6:F11" si="0">B6+D6</f>
        <v>10.170639790897908</v>
      </c>
      <c r="G6" s="73">
        <f t="shared" ref="G6:G11" si="1">C6+E6</f>
        <v>16.065818417090156</v>
      </c>
      <c r="H6" s="200">
        <f t="shared" ref="H6:H11" si="2">F6+G6</f>
        <v>26.236458207988065</v>
      </c>
      <c r="R6" s="151">
        <v>4403.3018867924529</v>
      </c>
    </row>
    <row r="7" spans="1:18" ht="15.75" thickBot="1" x14ac:dyDescent="0.3">
      <c r="A7" s="46" t="s">
        <v>107</v>
      </c>
      <c r="B7" s="255">
        <v>6.9409999999999999E-2</v>
      </c>
      <c r="C7" s="256">
        <v>4.434007352941177</v>
      </c>
      <c r="D7" s="96">
        <v>10.488319852941176</v>
      </c>
      <c r="E7" s="256">
        <v>9.1643086956521742</v>
      </c>
      <c r="F7" s="70">
        <f t="shared" si="0"/>
        <v>10.557729852941176</v>
      </c>
      <c r="G7" s="73">
        <f t="shared" si="1"/>
        <v>13.59831604859335</v>
      </c>
      <c r="H7" s="199">
        <f t="shared" si="2"/>
        <v>24.156045901534526</v>
      </c>
      <c r="J7">
        <f>B8+C8</f>
        <v>4.2508501388888886</v>
      </c>
      <c r="R7" s="152">
        <v>4443.554347826087</v>
      </c>
    </row>
    <row r="8" spans="1:18" ht="15.75" thickBot="1" x14ac:dyDescent="0.3">
      <c r="A8" s="46" t="s">
        <v>108</v>
      </c>
      <c r="B8" s="255">
        <v>5.7096666666666664E-2</v>
      </c>
      <c r="C8" s="256">
        <v>4.1937534722222223</v>
      </c>
      <c r="D8" s="96">
        <v>10.06489219330855</v>
      </c>
      <c r="E8" s="256">
        <v>7.6047929515418504</v>
      </c>
      <c r="F8" s="70">
        <f t="shared" si="0"/>
        <v>10.121988859975216</v>
      </c>
      <c r="G8" s="73">
        <f t="shared" si="1"/>
        <v>11.798546423764073</v>
      </c>
      <c r="H8" s="198">
        <f>F8+G8</f>
        <v>21.920535283739291</v>
      </c>
      <c r="J8">
        <f>F8-B8</f>
        <v>10.06489219330855</v>
      </c>
      <c r="R8" s="152">
        <v>4434.0073529411766</v>
      </c>
    </row>
    <row r="9" spans="1:18" ht="15.75" thickBot="1" x14ac:dyDescent="0.3">
      <c r="A9" s="46" t="s">
        <v>110</v>
      </c>
      <c r="B9" s="255">
        <f>(20055/300)/1000</f>
        <v>6.6849999999999993E-2</v>
      </c>
      <c r="C9" s="256">
        <f>(1211497/276)/1000</f>
        <v>4.3894818840579708</v>
      </c>
      <c r="D9" s="96">
        <f>(2296634/265)/1000</f>
        <v>8.6665433962264142</v>
      </c>
      <c r="E9" s="256">
        <f>(1991719/230)/1000</f>
        <v>8.6596478260869567</v>
      </c>
      <c r="F9" s="70">
        <f t="shared" si="0"/>
        <v>8.7333933962264148</v>
      </c>
      <c r="G9" s="73">
        <f t="shared" si="1"/>
        <v>13.049129710144928</v>
      </c>
      <c r="H9" s="197">
        <f t="shared" si="2"/>
        <v>21.782523106371343</v>
      </c>
      <c r="R9" s="152">
        <v>4193.7534722222226</v>
      </c>
    </row>
    <row r="10" spans="1:18" ht="15.75" thickBot="1" x14ac:dyDescent="0.3">
      <c r="A10" s="46" t="s">
        <v>109</v>
      </c>
      <c r="B10" s="255">
        <v>6.8043333333333331E-2</v>
      </c>
      <c r="C10" s="256">
        <v>4.4353814814814818</v>
      </c>
      <c r="D10" s="96">
        <v>9.0048113207547171</v>
      </c>
      <c r="E10" s="256">
        <v>8.2238141592920346</v>
      </c>
      <c r="F10" s="70">
        <f t="shared" si="0"/>
        <v>9.0728546540880508</v>
      </c>
      <c r="G10" s="73">
        <f>C10+E10</f>
        <v>12.659195640773516</v>
      </c>
      <c r="H10" s="196">
        <f t="shared" si="2"/>
        <v>21.732050294861565</v>
      </c>
      <c r="R10" s="152">
        <f>1211497/276</f>
        <v>4389.481884057971</v>
      </c>
    </row>
    <row r="11" spans="1:18" ht="15.75" thickBot="1" x14ac:dyDescent="0.3">
      <c r="A11" s="47" t="s">
        <v>111</v>
      </c>
      <c r="B11" s="257">
        <f>(20133/300)/1000</f>
        <v>6.7110000000000003E-2</v>
      </c>
      <c r="C11" s="258">
        <f>(1362325/281)/1000</f>
        <v>4.8481316725978649</v>
      </c>
      <c r="D11" s="259">
        <f>(2198502/268)/1000</f>
        <v>8.2033656716417926</v>
      </c>
      <c r="E11" s="258">
        <f>(1601633/230)/1000</f>
        <v>6.963621739130434</v>
      </c>
      <c r="F11" s="124">
        <f t="shared" si="0"/>
        <v>8.2704756716417922</v>
      </c>
      <c r="G11" s="113">
        <f t="shared" si="1"/>
        <v>11.811753411728299</v>
      </c>
      <c r="H11" s="195">
        <f t="shared" si="2"/>
        <v>20.082229083370091</v>
      </c>
      <c r="J11">
        <f>300-E14</f>
        <v>300</v>
      </c>
      <c r="K11">
        <f>300-G14</f>
        <v>300</v>
      </c>
      <c r="L11">
        <f>300-I14</f>
        <v>300</v>
      </c>
      <c r="R11" s="152">
        <v>4435.3814814814814</v>
      </c>
    </row>
    <row r="12" spans="1:18" ht="15.75" thickBot="1" x14ac:dyDescent="0.3">
      <c r="J12">
        <f>300-E15</f>
        <v>300</v>
      </c>
      <c r="K12">
        <f>300-G15</f>
        <v>300</v>
      </c>
      <c r="L12">
        <f>300-I15</f>
        <v>300</v>
      </c>
      <c r="R12" s="153">
        <f>1362325/281</f>
        <v>4848.131672597865</v>
      </c>
    </row>
    <row r="14" spans="1:18" x14ac:dyDescent="0.25">
      <c r="B14">
        <v>1000</v>
      </c>
    </row>
    <row r="16" spans="1:18" x14ac:dyDescent="0.25">
      <c r="A16" s="23"/>
    </row>
    <row r="17" spans="1:8" ht="15.75" thickBot="1" x14ac:dyDescent="0.3">
      <c r="A17" s="290" t="s">
        <v>55</v>
      </c>
      <c r="B17" s="290"/>
      <c r="C17" s="290"/>
      <c r="D17" s="290"/>
      <c r="E17" s="290"/>
      <c r="F17" s="290"/>
      <c r="G17" s="290"/>
      <c r="H17" s="290"/>
    </row>
    <row r="18" spans="1:8" ht="15.75" thickBot="1" x14ac:dyDescent="0.3">
      <c r="A18" s="48" t="s">
        <v>45</v>
      </c>
      <c r="B18" s="49"/>
      <c r="C18" s="49"/>
      <c r="D18" s="46"/>
      <c r="E18" s="46"/>
      <c r="F18" s="47"/>
      <c r="G18" s="46"/>
      <c r="H18" s="47"/>
    </row>
    <row r="19" spans="1:8" ht="15.75" thickBot="1" x14ac:dyDescent="0.3">
      <c r="A19" s="43"/>
      <c r="B19" s="291" t="s">
        <v>1</v>
      </c>
      <c r="C19" s="292"/>
      <c r="D19" s="291" t="s">
        <v>18</v>
      </c>
      <c r="E19" s="292"/>
      <c r="F19" s="291" t="s">
        <v>21</v>
      </c>
      <c r="G19" s="292"/>
      <c r="H19" s="41" t="s">
        <v>22</v>
      </c>
    </row>
    <row r="20" spans="1:8" ht="15.75" thickBot="1" x14ac:dyDescent="0.3">
      <c r="A20" s="121"/>
      <c r="B20" s="28" t="s">
        <v>90</v>
      </c>
      <c r="C20" s="47" t="s">
        <v>91</v>
      </c>
      <c r="D20" s="28" t="s">
        <v>89</v>
      </c>
      <c r="E20" s="47" t="s">
        <v>88</v>
      </c>
      <c r="F20" s="122" t="s">
        <v>11</v>
      </c>
      <c r="G20" s="121" t="s">
        <v>12</v>
      </c>
      <c r="H20" s="121"/>
    </row>
    <row r="21" spans="1:8" ht="15.75" thickBot="1" x14ac:dyDescent="0.3">
      <c r="A21" s="28" t="s">
        <v>105</v>
      </c>
      <c r="B21" s="252">
        <f>(81781/300)/1000</f>
        <v>0.27260333333333336</v>
      </c>
      <c r="C21" s="253">
        <f>(214936/280)/1000</f>
        <v>0.76762857142857133</v>
      </c>
      <c r="D21" s="252">
        <f>(1014562/265)/1000</f>
        <v>3.8285358490566037</v>
      </c>
      <c r="E21" s="253">
        <f>(1436656/219)/1000</f>
        <v>6.5600730593607306</v>
      </c>
      <c r="F21" s="72"/>
      <c r="G21" s="73"/>
      <c r="H21" s="201">
        <f>SUM(B21:G21)</f>
        <v>11.428840813179239</v>
      </c>
    </row>
    <row r="22" spans="1:8" ht="15.75" thickBot="1" x14ac:dyDescent="0.3">
      <c r="A22" s="46" t="s">
        <v>106</v>
      </c>
      <c r="B22" s="255">
        <f>(50680/300)/1000</f>
        <v>0.16893333333333332</v>
      </c>
      <c r="C22" s="256">
        <f>(419620/280)/1000</f>
        <v>1.4986428571428572</v>
      </c>
      <c r="D22" s="255">
        <f>(2112353/265)/1000</f>
        <v>7.9711433962264158</v>
      </c>
      <c r="E22" s="256">
        <f>(2589861/217)/1000</f>
        <v>11.934843317972351</v>
      </c>
      <c r="F22" s="72"/>
      <c r="G22" s="73"/>
      <c r="H22" s="204">
        <f t="shared" ref="H22:H27" si="3">SUM(B22:G22)</f>
        <v>21.573562904674958</v>
      </c>
    </row>
    <row r="23" spans="1:8" ht="15.75" thickBot="1" x14ac:dyDescent="0.3">
      <c r="A23" s="46" t="s">
        <v>107</v>
      </c>
      <c r="B23" s="255">
        <f>(50899/300)/1000</f>
        <v>0.16966333333333333</v>
      </c>
      <c r="C23" s="256">
        <f>(440885/280)/1000</f>
        <v>1.5745892857142858</v>
      </c>
      <c r="D23" s="255">
        <f>(1894904/267)/1000</f>
        <v>7.0970187265917604</v>
      </c>
      <c r="E23" s="256">
        <f>(2774880/221)/1000</f>
        <v>12.556018099547511</v>
      </c>
      <c r="F23" s="72"/>
      <c r="G23" s="73"/>
      <c r="H23" s="203">
        <f t="shared" si="3"/>
        <v>21.397289445186892</v>
      </c>
    </row>
    <row r="24" spans="1:8" ht="15.75" thickBot="1" x14ac:dyDescent="0.3">
      <c r="A24" s="46" t="s">
        <v>108</v>
      </c>
      <c r="B24" s="255">
        <f>(147719/300)/1000</f>
        <v>0.49239666666666665</v>
      </c>
      <c r="C24" s="256">
        <f>(263533/281)/1000</f>
        <v>0.93783985765124556</v>
      </c>
      <c r="D24" s="255">
        <f>(2291302/266)/1000</f>
        <v>8.613917293233083</v>
      </c>
      <c r="E24" s="256">
        <f>(3963300/217)/1000</f>
        <v>18.264055299539169</v>
      </c>
      <c r="F24" s="72"/>
      <c r="G24" s="73"/>
      <c r="H24" s="194">
        <f t="shared" si="3"/>
        <v>28.308209117090165</v>
      </c>
    </row>
    <row r="25" spans="1:8" ht="15.75" thickBot="1" x14ac:dyDescent="0.3">
      <c r="A25" s="46" t="s">
        <v>110</v>
      </c>
      <c r="B25" s="255">
        <f>(48837/300)/1000</f>
        <v>0.16278999999999999</v>
      </c>
      <c r="C25" s="256">
        <f>(429296/280)/1000</f>
        <v>1.5332000000000001</v>
      </c>
      <c r="D25" s="255">
        <f>(1838943/267)/1000</f>
        <v>6.8874269662921348</v>
      </c>
      <c r="E25" s="256">
        <f>(1615693/215)/1000</f>
        <v>7.5148511627906975</v>
      </c>
      <c r="F25" s="72"/>
      <c r="G25" s="73"/>
      <c r="H25" s="202">
        <f t="shared" si="3"/>
        <v>16.098268129082832</v>
      </c>
    </row>
    <row r="26" spans="1:8" ht="15.75" thickBot="1" x14ac:dyDescent="0.3">
      <c r="A26" s="46" t="s">
        <v>109</v>
      </c>
      <c r="B26" s="255">
        <f>(49904/300)/1000</f>
        <v>0.16634666666666667</v>
      </c>
      <c r="C26" s="256">
        <f>(433697/278)/1000</f>
        <v>1.5600611510791367</v>
      </c>
      <c r="D26" s="255">
        <f>(2353420/266)/1000</f>
        <v>8.847443609022557</v>
      </c>
      <c r="E26" s="256">
        <f>(2770521/216)/1000</f>
        <v>12.826486111111111</v>
      </c>
      <c r="F26" s="72"/>
      <c r="G26" s="73"/>
      <c r="H26" s="206">
        <f t="shared" si="3"/>
        <v>23.400337537879473</v>
      </c>
    </row>
    <row r="27" spans="1:8" ht="15.75" thickBot="1" x14ac:dyDescent="0.3">
      <c r="A27" s="47" t="s">
        <v>111</v>
      </c>
      <c r="B27" s="257">
        <f>(51537/300)/1000</f>
        <v>0.17179</v>
      </c>
      <c r="C27" s="258">
        <f>(455745/279)/1000</f>
        <v>1.633494623655914</v>
      </c>
      <c r="D27" s="257">
        <f>(2089641/265)/1000</f>
        <v>7.8854377358490568</v>
      </c>
      <c r="E27" s="258">
        <f>(2726950/219)/1000</f>
        <v>12.451826484018266</v>
      </c>
      <c r="F27" s="95"/>
      <c r="G27" s="113"/>
      <c r="H27" s="205">
        <f t="shared" si="3"/>
        <v>22.142548843523237</v>
      </c>
    </row>
    <row r="34" spans="1:10" ht="15.75" thickBot="1" x14ac:dyDescent="0.3">
      <c r="A34" s="290" t="s">
        <v>57</v>
      </c>
      <c r="B34" s="290"/>
      <c r="C34" s="290"/>
    </row>
    <row r="35" spans="1:10" ht="15.75" thickBot="1" x14ac:dyDescent="0.3">
      <c r="A35" s="48" t="s">
        <v>45</v>
      </c>
    </row>
    <row r="36" spans="1:10" ht="15.75" thickBot="1" x14ac:dyDescent="0.3">
      <c r="A36" s="42"/>
      <c r="B36" s="28" t="s">
        <v>90</v>
      </c>
      <c r="C36" s="42" t="s">
        <v>89</v>
      </c>
      <c r="D36" s="186" t="s">
        <v>92</v>
      </c>
      <c r="E36" s="23"/>
    </row>
    <row r="37" spans="1:10" ht="15.75" thickBot="1" x14ac:dyDescent="0.3">
      <c r="A37" s="28" t="s">
        <v>105</v>
      </c>
      <c r="B37" s="251">
        <f>(1099177/300)/1000</f>
        <v>3.663923333333333</v>
      </c>
      <c r="C37" s="251">
        <f>(6450637/90)/1000</f>
        <v>71.673744444444438</v>
      </c>
      <c r="D37" s="211">
        <f>SUM(B37:C37)</f>
        <v>75.337667777777767</v>
      </c>
      <c r="E37" s="23"/>
    </row>
    <row r="38" spans="1:10" ht="15.75" thickBot="1" x14ac:dyDescent="0.3">
      <c r="A38" s="46" t="s">
        <v>106</v>
      </c>
      <c r="B38" s="170">
        <f>(1056523/300)/1000</f>
        <v>3.5217433333333332</v>
      </c>
      <c r="C38" s="170">
        <f>(4426424/137)/1000</f>
        <v>32.30966423357664</v>
      </c>
      <c r="D38" s="209">
        <f>SUM(B38:C38)</f>
        <v>35.831407566909974</v>
      </c>
      <c r="E38" s="23"/>
    </row>
    <row r="39" spans="1:10" ht="15.75" thickBot="1" x14ac:dyDescent="0.3">
      <c r="A39" s="46" t="s">
        <v>107</v>
      </c>
      <c r="B39" s="170">
        <f>(1053381/300)/1000</f>
        <v>3.5112700000000001</v>
      </c>
      <c r="C39" s="170">
        <f>(1005565/13)/1000</f>
        <v>77.351153846153849</v>
      </c>
      <c r="D39" s="212">
        <f t="shared" ref="D39:D43" si="4">SUM(B39:C39)</f>
        <v>80.862423846153845</v>
      </c>
      <c r="E39" s="23"/>
    </row>
    <row r="40" spans="1:10" ht="15.75" thickBot="1" x14ac:dyDescent="0.3">
      <c r="A40" s="46" t="s">
        <v>108</v>
      </c>
      <c r="B40" s="170">
        <f>(1040555/300)/1000</f>
        <v>3.4685166666666669</v>
      </c>
      <c r="C40" s="170">
        <f>(281839/53)/1000</f>
        <v>5.3177169811320759</v>
      </c>
      <c r="D40" s="207">
        <f>SUM(B40:C40)</f>
        <v>8.7862336477987419</v>
      </c>
      <c r="E40" s="23"/>
    </row>
    <row r="41" spans="1:10" ht="15.75" thickBot="1" x14ac:dyDescent="0.3">
      <c r="A41" s="46" t="s">
        <v>110</v>
      </c>
      <c r="B41" s="170">
        <f>(1051421/300)/1000</f>
        <v>3.5047366666666666</v>
      </c>
      <c r="C41" s="170">
        <f>(5218822/111)/1000</f>
        <v>47.016414414414413</v>
      </c>
      <c r="D41" s="210">
        <f t="shared" si="4"/>
        <v>50.521151081081079</v>
      </c>
      <c r="E41" s="23"/>
    </row>
    <row r="42" spans="1:10" ht="15.75" thickBot="1" x14ac:dyDescent="0.3">
      <c r="A42" s="46" t="s">
        <v>109</v>
      </c>
      <c r="B42" s="170">
        <f>(1052657/300)/1000</f>
        <v>3.5088566666666665</v>
      </c>
      <c r="C42" s="170">
        <f>(4086627/234)/1000</f>
        <v>17.464217948717948</v>
      </c>
      <c r="D42" s="208">
        <f t="shared" si="4"/>
        <v>20.973074615384615</v>
      </c>
      <c r="E42" s="23"/>
    </row>
    <row r="43" spans="1:10" ht="15.75" thickBot="1" x14ac:dyDescent="0.3">
      <c r="A43" s="47" t="s">
        <v>111</v>
      </c>
      <c r="B43" s="243">
        <f>(1052523/300)/1000</f>
        <v>3.50841</v>
      </c>
      <c r="C43" s="185">
        <f>(1105729/1)/1000</f>
        <v>1105.729</v>
      </c>
      <c r="D43" s="243">
        <f t="shared" si="4"/>
        <v>1109.23741</v>
      </c>
      <c r="E43" s="23"/>
    </row>
    <row r="44" spans="1:10" x14ac:dyDescent="0.25">
      <c r="D44" s="23"/>
      <c r="E44" s="23"/>
    </row>
    <row r="47" spans="1:10" x14ac:dyDescent="0.25">
      <c r="D47" s="23"/>
      <c r="E47" s="23"/>
      <c r="F47" s="23"/>
      <c r="G47" s="23"/>
      <c r="H47" s="23"/>
      <c r="I47" s="23"/>
      <c r="J47" s="23"/>
    </row>
    <row r="48" spans="1:10" x14ac:dyDescent="0.25">
      <c r="D48" s="23"/>
      <c r="E48" s="98"/>
      <c r="F48" s="98"/>
      <c r="G48" s="98"/>
      <c r="H48" s="98"/>
      <c r="I48" s="23"/>
      <c r="J48" s="23"/>
    </row>
    <row r="49" spans="4:10" x14ac:dyDescent="0.25">
      <c r="D49" s="23"/>
      <c r="E49" s="23"/>
      <c r="F49" s="23"/>
      <c r="G49" s="23"/>
      <c r="H49" s="23"/>
      <c r="I49" s="23"/>
      <c r="J49" s="23"/>
    </row>
    <row r="50" spans="4:10" x14ac:dyDescent="0.25">
      <c r="D50" s="23"/>
      <c r="E50" s="23"/>
      <c r="F50" s="23"/>
      <c r="G50" s="23"/>
      <c r="H50" s="23"/>
      <c r="I50" s="23"/>
      <c r="J50" s="23"/>
    </row>
    <row r="51" spans="4:10" x14ac:dyDescent="0.25">
      <c r="D51" s="23"/>
      <c r="E51" s="23"/>
      <c r="F51" s="23"/>
      <c r="G51" s="23"/>
      <c r="H51" s="23"/>
      <c r="I51" s="23"/>
      <c r="J51" s="23"/>
    </row>
    <row r="52" spans="4:10" x14ac:dyDescent="0.25">
      <c r="D52" s="23"/>
      <c r="E52" s="23"/>
      <c r="F52" s="23"/>
      <c r="G52" s="23"/>
      <c r="H52" s="23"/>
      <c r="I52" s="23"/>
      <c r="J52" s="23"/>
    </row>
    <row r="53" spans="4:10" x14ac:dyDescent="0.25">
      <c r="D53" s="23"/>
      <c r="E53" s="23"/>
      <c r="F53" s="23"/>
      <c r="G53" s="23"/>
      <c r="H53" s="23"/>
      <c r="I53" s="23"/>
      <c r="J53" s="23"/>
    </row>
    <row r="54" spans="4:10" x14ac:dyDescent="0.25">
      <c r="D54" s="23"/>
      <c r="E54" s="23"/>
      <c r="F54" s="23"/>
      <c r="G54" s="23"/>
      <c r="H54" s="23"/>
      <c r="I54" s="23"/>
      <c r="J54" s="23"/>
    </row>
    <row r="55" spans="4:10" x14ac:dyDescent="0.25">
      <c r="D55" s="23"/>
      <c r="E55" s="23"/>
      <c r="F55" s="23"/>
      <c r="G55" s="23"/>
      <c r="H55" s="23"/>
      <c r="I55" s="23"/>
      <c r="J55" s="23"/>
    </row>
    <row r="56" spans="4:10" x14ac:dyDescent="0.25">
      <c r="D56" s="23"/>
      <c r="E56" s="23"/>
      <c r="F56" s="23"/>
      <c r="G56" s="23"/>
      <c r="H56" s="23"/>
      <c r="I56" s="23"/>
      <c r="J56" s="23"/>
    </row>
    <row r="57" spans="4:10" x14ac:dyDescent="0.25">
      <c r="D57" s="23"/>
      <c r="E57" s="23"/>
      <c r="F57" s="23"/>
      <c r="G57" s="23"/>
      <c r="H57" s="23"/>
      <c r="I57" s="23"/>
      <c r="J57" s="23"/>
    </row>
    <row r="58" spans="4:10" x14ac:dyDescent="0.25">
      <c r="D58" s="23"/>
      <c r="E58" s="23"/>
      <c r="F58" s="23"/>
      <c r="G58" s="23"/>
      <c r="H58" s="23"/>
      <c r="I58" s="23"/>
      <c r="J58" s="23"/>
    </row>
    <row r="59" spans="4:10" x14ac:dyDescent="0.25">
      <c r="D59" s="23"/>
      <c r="E59" s="23"/>
      <c r="F59" s="23"/>
      <c r="G59" s="23"/>
      <c r="H59" s="23"/>
      <c r="I59" s="23"/>
      <c r="J59" s="23"/>
    </row>
    <row r="60" spans="4:10" x14ac:dyDescent="0.25">
      <c r="D60" s="23"/>
      <c r="E60" s="23"/>
      <c r="F60" s="23"/>
      <c r="G60" s="23"/>
      <c r="H60" s="23"/>
      <c r="I60" s="23"/>
      <c r="J60" s="23"/>
    </row>
    <row r="61" spans="4:10" x14ac:dyDescent="0.25">
      <c r="D61" s="23"/>
      <c r="E61" s="23"/>
      <c r="F61" s="23"/>
      <c r="G61" s="23"/>
      <c r="H61" s="23"/>
      <c r="I61" s="23"/>
      <c r="J61" s="23"/>
    </row>
  </sheetData>
  <mergeCells count="9">
    <mergeCell ref="A34:C34"/>
    <mergeCell ref="B3:C3"/>
    <mergeCell ref="D3:E3"/>
    <mergeCell ref="F3:G3"/>
    <mergeCell ref="A1:H1"/>
    <mergeCell ref="A17:H17"/>
    <mergeCell ref="B19:C19"/>
    <mergeCell ref="D19:E19"/>
    <mergeCell ref="F19:G19"/>
  </mergeCells>
  <pageMargins left="0.7" right="0.7" top="0.75" bottom="0.75" header="0.3" footer="0.3"/>
  <pageSetup orientation="portrait"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0"/>
  <sheetViews>
    <sheetView zoomScale="69" zoomScaleNormal="69" workbookViewId="0">
      <selection activeCell="I14" sqref="I14"/>
    </sheetView>
  </sheetViews>
  <sheetFormatPr defaultRowHeight="15" x14ac:dyDescent="0.25"/>
  <cols>
    <col min="1" max="1" width="3.28515625" customWidth="1"/>
    <col min="2" max="2" width="25.5703125" customWidth="1"/>
    <col min="3" max="3" width="13" customWidth="1"/>
    <col min="4" max="4" width="16.140625" customWidth="1"/>
    <col min="5" max="5" width="11.85546875" customWidth="1"/>
    <col min="6" max="6" width="13.7109375" customWidth="1"/>
    <col min="7" max="7" width="10.28515625" customWidth="1"/>
    <col min="8" max="8" width="13.5703125" customWidth="1"/>
    <col min="9" max="9" width="21.140625" customWidth="1"/>
    <col min="10" max="10" width="26.28515625" customWidth="1"/>
    <col min="11" max="11" width="28.85546875" customWidth="1"/>
    <col min="12" max="12" width="26.28515625" customWidth="1"/>
  </cols>
  <sheetData>
    <row r="1" spans="2:10" ht="15.75" thickBot="1" x14ac:dyDescent="0.3">
      <c r="B1" s="283" t="s">
        <v>47</v>
      </c>
      <c r="C1" s="283"/>
      <c r="D1" s="283"/>
      <c r="E1" s="283"/>
      <c r="F1" s="283"/>
      <c r="G1" s="283"/>
      <c r="H1" s="283"/>
      <c r="I1" s="283"/>
      <c r="J1" s="23"/>
    </row>
    <row r="2" spans="2:10" ht="15.75" thickBot="1" x14ac:dyDescent="0.3">
      <c r="B2" s="43"/>
      <c r="C2" s="264" t="s">
        <v>1</v>
      </c>
      <c r="D2" s="266"/>
      <c r="E2" s="291" t="s">
        <v>83</v>
      </c>
      <c r="F2" s="292"/>
      <c r="G2" s="291" t="s">
        <v>21</v>
      </c>
      <c r="H2" s="292"/>
      <c r="I2" s="21" t="s">
        <v>22</v>
      </c>
      <c r="J2" s="23"/>
    </row>
    <row r="3" spans="2:10" ht="15.75" thickBot="1" x14ac:dyDescent="0.3">
      <c r="B3" s="28"/>
      <c r="C3" s="28" t="s">
        <v>90</v>
      </c>
      <c r="D3" s="47" t="s">
        <v>91</v>
      </c>
      <c r="E3" s="28" t="s">
        <v>90</v>
      </c>
      <c r="F3" s="47" t="s">
        <v>91</v>
      </c>
      <c r="G3" s="28" t="s">
        <v>90</v>
      </c>
      <c r="H3" s="47" t="s">
        <v>91</v>
      </c>
      <c r="I3" s="47"/>
      <c r="J3" s="23"/>
    </row>
    <row r="4" spans="2:10" x14ac:dyDescent="0.25">
      <c r="B4" s="22" t="s">
        <v>13</v>
      </c>
      <c r="C4" s="114">
        <v>1541</v>
      </c>
      <c r="D4" s="115">
        <v>2436</v>
      </c>
      <c r="E4" s="105">
        <v>964</v>
      </c>
      <c r="F4" s="115">
        <v>1815</v>
      </c>
      <c r="G4" s="105">
        <f>C4+E4</f>
        <v>2505</v>
      </c>
      <c r="H4" s="115">
        <f>D4+F4</f>
        <v>4251</v>
      </c>
      <c r="I4" s="116">
        <f>G4+H4</f>
        <v>6756</v>
      </c>
      <c r="J4" s="23"/>
    </row>
    <row r="5" spans="2:10" x14ac:dyDescent="0.25">
      <c r="B5" s="22" t="s">
        <v>15</v>
      </c>
      <c r="C5" s="31">
        <v>354</v>
      </c>
      <c r="D5" s="71">
        <v>2578</v>
      </c>
      <c r="E5" s="58">
        <v>2234</v>
      </c>
      <c r="F5" s="60">
        <v>2830</v>
      </c>
      <c r="G5" s="58">
        <f t="shared" ref="G5:H7" si="0">C5+E5</f>
        <v>2588</v>
      </c>
      <c r="H5" s="60">
        <f t="shared" si="0"/>
        <v>5408</v>
      </c>
      <c r="I5" s="78">
        <f t="shared" ref="I5:I6" si="1">G5+H5</f>
        <v>7996</v>
      </c>
      <c r="J5" s="23"/>
    </row>
    <row r="6" spans="2:10" x14ac:dyDescent="0.25">
      <c r="B6" s="22" t="s">
        <v>6</v>
      </c>
      <c r="C6" s="31">
        <v>354</v>
      </c>
      <c r="D6" s="60">
        <v>2577</v>
      </c>
      <c r="E6" s="80">
        <v>2235</v>
      </c>
      <c r="F6" s="79">
        <v>2832</v>
      </c>
      <c r="G6" s="80">
        <f t="shared" si="0"/>
        <v>2589</v>
      </c>
      <c r="H6" s="79">
        <f>D6+F6</f>
        <v>5409</v>
      </c>
      <c r="I6" s="81">
        <f t="shared" si="1"/>
        <v>7998</v>
      </c>
      <c r="J6" s="23"/>
    </row>
    <row r="7" spans="2:10" x14ac:dyDescent="0.25">
      <c r="B7" s="22" t="s">
        <v>56</v>
      </c>
      <c r="C7" s="58">
        <v>1752</v>
      </c>
      <c r="D7" s="71">
        <v>2685</v>
      </c>
      <c r="E7" s="70">
        <v>2352</v>
      </c>
      <c r="F7" s="71">
        <v>2873</v>
      </c>
      <c r="G7" s="70">
        <f t="shared" si="0"/>
        <v>4104</v>
      </c>
      <c r="H7" s="71">
        <f>D7+F7</f>
        <v>5558</v>
      </c>
      <c r="I7" s="73">
        <f>G7+H7</f>
        <v>9662</v>
      </c>
      <c r="J7" s="23"/>
    </row>
    <row r="8" spans="2:10" x14ac:dyDescent="0.25">
      <c r="B8" s="73" t="s">
        <v>104</v>
      </c>
      <c r="C8" s="22">
        <v>354</v>
      </c>
      <c r="D8" s="24">
        <v>2576</v>
      </c>
      <c r="E8" s="22">
        <v>2230</v>
      </c>
      <c r="F8" s="24">
        <v>2825</v>
      </c>
      <c r="G8" s="22">
        <f>C8+E8</f>
        <v>2584</v>
      </c>
      <c r="H8" s="24">
        <f>D8+F8</f>
        <v>5401</v>
      </c>
      <c r="I8" s="39">
        <f>G8+H8</f>
        <v>7985</v>
      </c>
      <c r="J8" s="23"/>
    </row>
    <row r="9" spans="2:10" x14ac:dyDescent="0.25">
      <c r="B9" s="73" t="s">
        <v>86</v>
      </c>
      <c r="C9" s="31">
        <v>354</v>
      </c>
      <c r="D9" s="36">
        <v>2574</v>
      </c>
      <c r="E9" s="35">
        <v>2230</v>
      </c>
      <c r="F9" s="36">
        <v>2824</v>
      </c>
      <c r="G9" s="35">
        <f>C9+E9</f>
        <v>2584</v>
      </c>
      <c r="H9" s="36">
        <f>D9+F9</f>
        <v>5398</v>
      </c>
      <c r="I9" s="45">
        <f>G9+H9</f>
        <v>7982</v>
      </c>
      <c r="J9" s="23"/>
    </row>
    <row r="10" spans="2:10" ht="15.75" thickBot="1" x14ac:dyDescent="0.3">
      <c r="B10" s="124" t="s">
        <v>82</v>
      </c>
      <c r="C10" s="25">
        <v>354</v>
      </c>
      <c r="D10" s="27">
        <v>2577</v>
      </c>
      <c r="E10" s="25">
        <v>2230</v>
      </c>
      <c r="F10" s="27">
        <v>2827</v>
      </c>
      <c r="G10" s="25">
        <f>C10+E10</f>
        <v>2584</v>
      </c>
      <c r="H10" s="27">
        <f>D10+F10</f>
        <v>5404</v>
      </c>
      <c r="I10" s="40">
        <f>G10+H10</f>
        <v>7988</v>
      </c>
      <c r="J10" s="23"/>
    </row>
    <row r="11" spans="2:10" x14ac:dyDescent="0.25">
      <c r="B11" s="23"/>
      <c r="C11" s="23"/>
      <c r="D11" s="23"/>
      <c r="E11" s="23"/>
      <c r="F11" s="23"/>
      <c r="G11" s="23"/>
      <c r="H11" s="23"/>
      <c r="I11" s="23"/>
      <c r="J11" s="23"/>
    </row>
    <row r="14" spans="2:10" x14ac:dyDescent="0.25">
      <c r="E14" s="23"/>
      <c r="F14" s="23"/>
    </row>
    <row r="15" spans="2:10" x14ac:dyDescent="0.25">
      <c r="E15" s="104"/>
      <c r="F15" s="104"/>
    </row>
    <row r="16" spans="2:10" x14ac:dyDescent="0.25">
      <c r="E16" s="23"/>
      <c r="F16" s="23"/>
    </row>
    <row r="17" spans="2:13" x14ac:dyDescent="0.25">
      <c r="E17" s="72"/>
      <c r="F17" s="72"/>
    </row>
    <row r="18" spans="2:13" x14ac:dyDescent="0.25">
      <c r="E18" s="72"/>
      <c r="F18" s="72"/>
    </row>
    <row r="19" spans="2:13" x14ac:dyDescent="0.25">
      <c r="E19" s="72"/>
      <c r="F19" s="72"/>
    </row>
    <row r="20" spans="2:13" ht="15.75" thickBot="1" x14ac:dyDescent="0.3">
      <c r="B20" s="286" t="s">
        <v>64</v>
      </c>
      <c r="C20" s="286"/>
      <c r="D20" s="286"/>
      <c r="E20" s="72"/>
      <c r="F20" s="72"/>
    </row>
    <row r="21" spans="2:13" ht="15.75" thickBot="1" x14ac:dyDescent="0.3">
      <c r="B21" s="28"/>
      <c r="C21" s="101" t="s">
        <v>1</v>
      </c>
      <c r="D21" s="112" t="s">
        <v>83</v>
      </c>
      <c r="F21" s="72"/>
    </row>
    <row r="22" spans="2:13" x14ac:dyDescent="0.25">
      <c r="B22" s="22" t="s">
        <v>13</v>
      </c>
      <c r="C22" s="249">
        <f>(40/60)*60</f>
        <v>40</v>
      </c>
      <c r="D22" s="168">
        <f>(35112/60)*60</f>
        <v>35112</v>
      </c>
      <c r="F22" s="72"/>
    </row>
    <row r="23" spans="2:13" x14ac:dyDescent="0.25">
      <c r="B23" s="22" t="s">
        <v>15</v>
      </c>
      <c r="C23" s="250">
        <f>(40/60)*60</f>
        <v>40</v>
      </c>
      <c r="D23" s="166">
        <f>(34994/60)*60</f>
        <v>34994</v>
      </c>
      <c r="F23" s="72"/>
    </row>
    <row r="24" spans="2:13" x14ac:dyDescent="0.25">
      <c r="B24" s="22" t="s">
        <v>6</v>
      </c>
      <c r="C24" s="250">
        <f>(40/60)*60</f>
        <v>40</v>
      </c>
      <c r="D24" s="166">
        <f>(36118/60)*60</f>
        <v>36118</v>
      </c>
      <c r="L24" t="s">
        <v>13</v>
      </c>
      <c r="M24">
        <v>6756</v>
      </c>
    </row>
    <row r="25" spans="2:13" x14ac:dyDescent="0.25">
      <c r="B25" s="22" t="s">
        <v>56</v>
      </c>
      <c r="C25" s="250">
        <f>(45/60)*60</f>
        <v>45</v>
      </c>
      <c r="D25" s="166">
        <f>(21183/60)*60</f>
        <v>21183</v>
      </c>
      <c r="L25" t="s">
        <v>86</v>
      </c>
      <c r="M25">
        <v>7982</v>
      </c>
    </row>
    <row r="26" spans="2:13" x14ac:dyDescent="0.25">
      <c r="B26" s="70" t="s">
        <v>104</v>
      </c>
      <c r="C26" s="250">
        <f>(50/60)*60</f>
        <v>50</v>
      </c>
      <c r="D26" s="166">
        <f>(70210/60)*60</f>
        <v>70210</v>
      </c>
      <c r="L26" t="s">
        <v>104</v>
      </c>
      <c r="M26">
        <v>7985</v>
      </c>
    </row>
    <row r="27" spans="2:13" x14ac:dyDescent="0.25">
      <c r="B27" s="70" t="s">
        <v>86</v>
      </c>
      <c r="C27" s="250">
        <f>(55/60)*60</f>
        <v>55</v>
      </c>
      <c r="D27" s="166">
        <f>(70289/60)*60</f>
        <v>70289</v>
      </c>
      <c r="L27" t="s">
        <v>82</v>
      </c>
      <c r="M27">
        <v>7988</v>
      </c>
    </row>
    <row r="28" spans="2:13" ht="15.75" thickBot="1" x14ac:dyDescent="0.3">
      <c r="B28" s="124" t="s">
        <v>82</v>
      </c>
      <c r="C28" s="185">
        <f>(50/60)*60</f>
        <v>50</v>
      </c>
      <c r="D28" s="167">
        <f>(70266/60)*60</f>
        <v>70266</v>
      </c>
      <c r="L28" t="s">
        <v>15</v>
      </c>
      <c r="M28">
        <v>7996</v>
      </c>
    </row>
    <row r="29" spans="2:13" x14ac:dyDescent="0.25">
      <c r="L29" t="s">
        <v>6</v>
      </c>
      <c r="M29">
        <v>7998</v>
      </c>
    </row>
    <row r="30" spans="2:13" x14ac:dyDescent="0.25">
      <c r="L30" t="s">
        <v>56</v>
      </c>
      <c r="M30">
        <v>9662</v>
      </c>
    </row>
  </sheetData>
  <sortState ref="L24:M30">
    <sortCondition ref="M24"/>
  </sortState>
  <mergeCells count="5">
    <mergeCell ref="B20:D20"/>
    <mergeCell ref="B1:I1"/>
    <mergeCell ref="C2:D2"/>
    <mergeCell ref="E2:F2"/>
    <mergeCell ref="G2:H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2"/>
  <sheetViews>
    <sheetView zoomScale="69" zoomScaleNormal="69" workbookViewId="0">
      <selection activeCell="F74" sqref="F74"/>
    </sheetView>
  </sheetViews>
  <sheetFormatPr defaultRowHeight="15" x14ac:dyDescent="0.25"/>
  <cols>
    <col min="1" max="1" width="20.140625" customWidth="1"/>
    <col min="2" max="2" width="13.140625" customWidth="1"/>
    <col min="3" max="3" width="15.28515625" customWidth="1"/>
    <col min="4" max="4" width="12.85546875" customWidth="1"/>
    <col min="5" max="5" width="15.28515625" customWidth="1"/>
    <col min="6" max="6" width="10.28515625" customWidth="1"/>
    <col min="7" max="7" width="13.5703125" customWidth="1"/>
    <col min="8" max="8" width="20.7109375" customWidth="1"/>
  </cols>
  <sheetData>
    <row r="1" spans="1:11" ht="15.75" thickBot="1" x14ac:dyDescent="0.3">
      <c r="A1" s="293" t="s">
        <v>54</v>
      </c>
      <c r="B1" s="293"/>
      <c r="C1" s="293"/>
      <c r="D1" s="293"/>
      <c r="E1" s="293"/>
      <c r="F1" s="293"/>
      <c r="G1" s="293"/>
      <c r="H1" s="293"/>
      <c r="I1" s="34"/>
      <c r="J1" s="23"/>
      <c r="K1" s="23"/>
    </row>
    <row r="2" spans="1:11" ht="15.75" thickBot="1" x14ac:dyDescent="0.3">
      <c r="A2" s="267" t="s">
        <v>66</v>
      </c>
      <c r="B2" s="268"/>
      <c r="C2" s="268"/>
      <c r="D2" s="268"/>
      <c r="E2" s="268"/>
      <c r="F2" s="268"/>
      <c r="G2" s="268"/>
      <c r="H2" s="269"/>
      <c r="I2" s="23"/>
      <c r="J2" s="23"/>
      <c r="K2" s="23"/>
    </row>
    <row r="3" spans="1:11" ht="15.75" thickBot="1" x14ac:dyDescent="0.3">
      <c r="A3" s="43"/>
      <c r="B3" s="291" t="s">
        <v>1</v>
      </c>
      <c r="C3" s="292"/>
      <c r="D3" s="291" t="s">
        <v>18</v>
      </c>
      <c r="E3" s="292"/>
      <c r="F3" s="291" t="s">
        <v>21</v>
      </c>
      <c r="G3" s="292"/>
      <c r="H3" s="41" t="s">
        <v>22</v>
      </c>
      <c r="I3" s="23"/>
      <c r="J3" s="23"/>
      <c r="K3" s="23"/>
    </row>
    <row r="4" spans="1:11" ht="15.75" thickBot="1" x14ac:dyDescent="0.3">
      <c r="A4" s="41"/>
      <c r="B4" s="28" t="s">
        <v>50</v>
      </c>
      <c r="C4" s="47" t="s">
        <v>65</v>
      </c>
      <c r="D4" s="46" t="s">
        <v>79</v>
      </c>
      <c r="E4" s="47" t="s">
        <v>80</v>
      </c>
      <c r="F4" s="20" t="s">
        <v>11</v>
      </c>
      <c r="G4" s="41" t="s">
        <v>12</v>
      </c>
      <c r="H4" s="41"/>
    </row>
    <row r="5" spans="1:11" x14ac:dyDescent="0.25">
      <c r="A5" s="22" t="s">
        <v>13</v>
      </c>
      <c r="B5" s="121">
        <v>0</v>
      </c>
      <c r="C5" s="73">
        <v>35</v>
      </c>
      <c r="D5" s="72">
        <v>32</v>
      </c>
      <c r="E5" s="73">
        <v>73</v>
      </c>
      <c r="F5" s="72"/>
      <c r="G5" s="73"/>
      <c r="H5" s="73">
        <f>SUM(B5:G5)</f>
        <v>140</v>
      </c>
    </row>
    <row r="6" spans="1:11" x14ac:dyDescent="0.25">
      <c r="A6" s="22" t="s">
        <v>15</v>
      </c>
      <c r="B6" s="73">
        <v>0</v>
      </c>
      <c r="C6" s="73">
        <v>24</v>
      </c>
      <c r="D6" s="72">
        <v>29</v>
      </c>
      <c r="E6" s="73">
        <v>69</v>
      </c>
      <c r="F6" s="72"/>
      <c r="G6" s="73"/>
      <c r="H6" s="215">
        <f t="shared" ref="H6:H11" si="0">SUM(B6:G6)</f>
        <v>122</v>
      </c>
    </row>
    <row r="7" spans="1:11" x14ac:dyDescent="0.25">
      <c r="A7" s="22" t="s">
        <v>6</v>
      </c>
      <c r="B7" s="73">
        <v>0</v>
      </c>
      <c r="C7" s="73">
        <v>28</v>
      </c>
      <c r="D7" s="72">
        <v>28</v>
      </c>
      <c r="E7" s="73">
        <v>70</v>
      </c>
      <c r="F7" s="72"/>
      <c r="G7" s="73"/>
      <c r="H7" s="217">
        <f t="shared" si="0"/>
        <v>126</v>
      </c>
    </row>
    <row r="8" spans="1:11" x14ac:dyDescent="0.25">
      <c r="A8" s="22" t="s">
        <v>56</v>
      </c>
      <c r="B8" s="73">
        <v>0</v>
      </c>
      <c r="C8" s="73">
        <v>12</v>
      </c>
      <c r="D8" s="72">
        <v>31</v>
      </c>
      <c r="E8" s="73">
        <v>73</v>
      </c>
      <c r="F8" s="72"/>
      <c r="G8" s="73"/>
      <c r="H8" s="213">
        <f t="shared" si="0"/>
        <v>116</v>
      </c>
    </row>
    <row r="9" spans="1:11" x14ac:dyDescent="0.25">
      <c r="A9" s="73" t="s">
        <v>104</v>
      </c>
      <c r="B9" s="73">
        <v>0</v>
      </c>
      <c r="C9" s="73">
        <v>24</v>
      </c>
      <c r="D9" s="72">
        <v>35</v>
      </c>
      <c r="E9" s="73">
        <v>70</v>
      </c>
      <c r="F9" s="72"/>
      <c r="G9" s="73"/>
      <c r="H9" s="216">
        <f t="shared" si="0"/>
        <v>129</v>
      </c>
    </row>
    <row r="10" spans="1:11" x14ac:dyDescent="0.25">
      <c r="A10" s="73" t="s">
        <v>86</v>
      </c>
      <c r="B10" s="73">
        <v>0</v>
      </c>
      <c r="C10" s="73">
        <v>30</v>
      </c>
      <c r="D10" s="72">
        <v>35</v>
      </c>
      <c r="E10" s="73">
        <v>74</v>
      </c>
      <c r="F10" s="72"/>
      <c r="G10" s="73"/>
      <c r="H10" s="218">
        <f t="shared" si="0"/>
        <v>139</v>
      </c>
    </row>
    <row r="11" spans="1:11" ht="15.75" thickBot="1" x14ac:dyDescent="0.3">
      <c r="A11" s="124" t="s">
        <v>82</v>
      </c>
      <c r="B11" s="113">
        <v>0</v>
      </c>
      <c r="C11" s="113">
        <v>19</v>
      </c>
      <c r="D11" s="95">
        <v>32</v>
      </c>
      <c r="E11" s="113">
        <v>70</v>
      </c>
      <c r="F11" s="95"/>
      <c r="G11" s="113"/>
      <c r="H11" s="214">
        <f t="shared" si="0"/>
        <v>121</v>
      </c>
    </row>
    <row r="18" spans="1:8" ht="15.75" thickBot="1" x14ac:dyDescent="0.3">
      <c r="A18" s="293" t="s">
        <v>55</v>
      </c>
      <c r="B18" s="293"/>
      <c r="C18" s="293"/>
      <c r="D18" s="293"/>
      <c r="E18" s="293"/>
      <c r="F18" s="293"/>
      <c r="G18" s="293"/>
      <c r="H18" s="293"/>
    </row>
    <row r="19" spans="1:8" ht="15.75" thickBot="1" x14ac:dyDescent="0.3">
      <c r="A19" s="267" t="s">
        <v>66</v>
      </c>
      <c r="B19" s="268"/>
      <c r="C19" s="268"/>
      <c r="D19" s="268"/>
      <c r="E19" s="268"/>
      <c r="F19" s="268"/>
      <c r="G19" s="268"/>
      <c r="H19" s="269"/>
    </row>
    <row r="20" spans="1:8" ht="15.75" thickBot="1" x14ac:dyDescent="0.3">
      <c r="A20" s="43"/>
      <c r="B20" s="291" t="s">
        <v>1</v>
      </c>
      <c r="C20" s="292"/>
      <c r="D20" s="291" t="s">
        <v>18</v>
      </c>
      <c r="E20" s="292"/>
      <c r="F20" s="291" t="s">
        <v>21</v>
      </c>
      <c r="G20" s="292"/>
      <c r="H20" s="41" t="s">
        <v>22</v>
      </c>
    </row>
    <row r="21" spans="1:8" ht="15.75" thickBot="1" x14ac:dyDescent="0.3">
      <c r="A21" s="41"/>
      <c r="B21" s="46" t="s">
        <v>50</v>
      </c>
      <c r="C21" s="47" t="s">
        <v>65</v>
      </c>
      <c r="D21" s="46" t="s">
        <v>79</v>
      </c>
      <c r="E21" s="47" t="s">
        <v>80</v>
      </c>
      <c r="F21" s="20" t="s">
        <v>11</v>
      </c>
      <c r="G21" s="41" t="s">
        <v>12</v>
      </c>
      <c r="H21" s="41"/>
    </row>
    <row r="22" spans="1:8" x14ac:dyDescent="0.25">
      <c r="A22" s="22" t="s">
        <v>13</v>
      </c>
      <c r="B22" s="41">
        <v>0</v>
      </c>
      <c r="C22" s="21">
        <v>20</v>
      </c>
      <c r="D22" s="21">
        <v>35</v>
      </c>
      <c r="E22" s="21">
        <v>81</v>
      </c>
      <c r="F22" s="23"/>
      <c r="G22" s="44"/>
      <c r="H22" s="220">
        <f>SUM(B22:G22)</f>
        <v>136</v>
      </c>
    </row>
    <row r="23" spans="1:8" x14ac:dyDescent="0.25">
      <c r="A23" s="22" t="s">
        <v>15</v>
      </c>
      <c r="B23" s="39">
        <v>0</v>
      </c>
      <c r="C23" s="24">
        <v>20</v>
      </c>
      <c r="D23" s="24">
        <v>35</v>
      </c>
      <c r="E23" s="24">
        <v>83</v>
      </c>
      <c r="F23" s="23"/>
      <c r="G23" s="39"/>
      <c r="H23" s="222">
        <f t="shared" ref="H23:H28" si="1">SUM(B23:G23)</f>
        <v>138</v>
      </c>
    </row>
    <row r="24" spans="1:8" x14ac:dyDescent="0.25">
      <c r="A24" s="22" t="s">
        <v>6</v>
      </c>
      <c r="B24" s="39">
        <v>0</v>
      </c>
      <c r="C24" s="24">
        <v>20</v>
      </c>
      <c r="D24" s="24">
        <v>33</v>
      </c>
      <c r="E24" s="24">
        <v>79</v>
      </c>
      <c r="F24" s="23"/>
      <c r="G24" s="39"/>
      <c r="H24" s="219">
        <f t="shared" si="1"/>
        <v>132</v>
      </c>
    </row>
    <row r="25" spans="1:8" x14ac:dyDescent="0.25">
      <c r="A25" s="22" t="s">
        <v>56</v>
      </c>
      <c r="B25" s="39">
        <v>0</v>
      </c>
      <c r="C25" s="24">
        <v>19</v>
      </c>
      <c r="D25" s="24">
        <v>34</v>
      </c>
      <c r="E25" s="24">
        <v>83</v>
      </c>
      <c r="F25" s="30"/>
      <c r="G25" s="45"/>
      <c r="H25" s="220">
        <f t="shared" si="1"/>
        <v>136</v>
      </c>
    </row>
    <row r="26" spans="1:8" x14ac:dyDescent="0.25">
      <c r="A26" s="70" t="s">
        <v>104</v>
      </c>
      <c r="B26" s="39">
        <v>0</v>
      </c>
      <c r="C26" s="24">
        <v>20</v>
      </c>
      <c r="D26" s="24">
        <v>33</v>
      </c>
      <c r="E26" s="24">
        <v>85</v>
      </c>
      <c r="F26" s="23"/>
      <c r="G26" s="39"/>
      <c r="H26" s="222">
        <f t="shared" si="1"/>
        <v>138</v>
      </c>
    </row>
    <row r="27" spans="1:8" x14ac:dyDescent="0.25">
      <c r="A27" s="70" t="s">
        <v>86</v>
      </c>
      <c r="B27" s="39">
        <v>0</v>
      </c>
      <c r="C27" s="24">
        <v>22</v>
      </c>
      <c r="D27" s="24">
        <v>34</v>
      </c>
      <c r="E27" s="24">
        <v>84</v>
      </c>
      <c r="F27" s="37"/>
      <c r="G27" s="39"/>
      <c r="H27" s="223">
        <f t="shared" si="1"/>
        <v>140</v>
      </c>
    </row>
    <row r="28" spans="1:8" ht="15.75" thickBot="1" x14ac:dyDescent="0.3">
      <c r="A28" s="124" t="s">
        <v>82</v>
      </c>
      <c r="B28" s="40">
        <v>0</v>
      </c>
      <c r="C28" s="27">
        <v>21</v>
      </c>
      <c r="D28" s="27">
        <v>35</v>
      </c>
      <c r="E28" s="27">
        <v>81</v>
      </c>
      <c r="F28" s="26"/>
      <c r="G28" s="40"/>
      <c r="H28" s="221">
        <f t="shared" si="1"/>
        <v>137</v>
      </c>
    </row>
    <row r="35" spans="1:3" ht="15.75" thickBot="1" x14ac:dyDescent="0.3">
      <c r="A35" s="286" t="s">
        <v>57</v>
      </c>
      <c r="B35" s="286"/>
      <c r="C35" s="286"/>
    </row>
    <row r="36" spans="1:3" ht="15.75" thickBot="1" x14ac:dyDescent="0.3">
      <c r="A36" s="42"/>
      <c r="B36" s="102" t="s">
        <v>58</v>
      </c>
      <c r="C36" s="103" t="s">
        <v>81</v>
      </c>
    </row>
    <row r="37" spans="1:3" x14ac:dyDescent="0.25">
      <c r="A37" s="22" t="s">
        <v>13</v>
      </c>
      <c r="B37" s="41">
        <v>0</v>
      </c>
      <c r="C37" s="227">
        <v>209</v>
      </c>
    </row>
    <row r="38" spans="1:3" x14ac:dyDescent="0.25">
      <c r="A38" s="22" t="s">
        <v>15</v>
      </c>
      <c r="B38" s="39">
        <v>0</v>
      </c>
      <c r="C38" s="225">
        <v>162</v>
      </c>
    </row>
    <row r="39" spans="1:3" x14ac:dyDescent="0.25">
      <c r="A39" s="22" t="s">
        <v>6</v>
      </c>
      <c r="B39" s="39">
        <v>0</v>
      </c>
      <c r="C39" s="228">
        <v>286</v>
      </c>
    </row>
    <row r="40" spans="1:3" x14ac:dyDescent="0.25">
      <c r="A40" s="22" t="s">
        <v>56</v>
      </c>
      <c r="B40" s="39">
        <v>0</v>
      </c>
      <c r="C40" s="229">
        <v>246</v>
      </c>
    </row>
    <row r="41" spans="1:3" x14ac:dyDescent="0.25">
      <c r="A41" s="73" t="s">
        <v>104</v>
      </c>
      <c r="B41" s="39">
        <v>0</v>
      </c>
      <c r="C41" s="226">
        <v>188</v>
      </c>
    </row>
    <row r="42" spans="1:3" x14ac:dyDescent="0.25">
      <c r="A42" s="73" t="s">
        <v>86</v>
      </c>
      <c r="B42" s="39">
        <v>0</v>
      </c>
      <c r="C42" s="224">
        <v>65</v>
      </c>
    </row>
    <row r="43" spans="1:3" ht="15.75" thickBot="1" x14ac:dyDescent="0.3">
      <c r="A43" s="124" t="s">
        <v>82</v>
      </c>
      <c r="B43" s="40">
        <v>0</v>
      </c>
      <c r="C43" s="27">
        <v>298</v>
      </c>
    </row>
    <row r="52" spans="1:24" ht="26.25" x14ac:dyDescent="0.4">
      <c r="A52" s="12" t="s">
        <v>4</v>
      </c>
      <c r="B52" s="12"/>
      <c r="C52" s="12"/>
      <c r="D52" s="12"/>
      <c r="E52" s="12"/>
      <c r="F52" s="12" t="s">
        <v>5</v>
      </c>
      <c r="G52" s="12"/>
      <c r="H52" s="12"/>
      <c r="I52" s="12"/>
      <c r="J52" s="12"/>
      <c r="K52" s="12" t="s">
        <v>6</v>
      </c>
      <c r="L52" s="12"/>
      <c r="M52" s="12"/>
      <c r="N52" s="12"/>
      <c r="O52" s="12"/>
      <c r="P52" s="12"/>
      <c r="Q52" s="12" t="s">
        <v>7</v>
      </c>
      <c r="R52" s="12"/>
      <c r="S52" s="12"/>
      <c r="T52" s="12"/>
      <c r="U52" s="12"/>
      <c r="V52" s="12" t="s">
        <v>8</v>
      </c>
      <c r="W52" s="12"/>
      <c r="X52" s="12"/>
    </row>
    <row r="54" spans="1:24" ht="23.25" x14ac:dyDescent="0.35">
      <c r="A54" s="13"/>
      <c r="B54" s="13" t="s">
        <v>2</v>
      </c>
      <c r="C54" s="13"/>
      <c r="D54" s="14"/>
      <c r="E54" s="15" t="s">
        <v>1</v>
      </c>
      <c r="F54" s="15"/>
      <c r="G54" s="15" t="s">
        <v>2</v>
      </c>
      <c r="H54" s="15"/>
      <c r="I54" s="14"/>
      <c r="J54" s="16" t="s">
        <v>1</v>
      </c>
      <c r="K54" s="16"/>
      <c r="L54" s="16" t="s">
        <v>2</v>
      </c>
      <c r="M54" s="16"/>
      <c r="N54" s="16"/>
      <c r="O54" s="14"/>
      <c r="P54" s="17" t="s">
        <v>1</v>
      </c>
      <c r="Q54" s="17"/>
      <c r="R54" s="17" t="s">
        <v>2</v>
      </c>
      <c r="S54" s="17"/>
      <c r="T54" s="14"/>
      <c r="U54" s="18" t="s">
        <v>1</v>
      </c>
      <c r="V54" s="18"/>
      <c r="W54" s="18" t="s">
        <v>2</v>
      </c>
      <c r="X54" s="18"/>
    </row>
    <row r="55" spans="1:24" x14ac:dyDescent="0.25">
      <c r="A55" s="2" t="s">
        <v>3</v>
      </c>
      <c r="B55" s="2" t="s">
        <v>0</v>
      </c>
      <c r="C55" s="2" t="s">
        <v>3</v>
      </c>
      <c r="D55" s="1"/>
      <c r="E55" s="4" t="s">
        <v>0</v>
      </c>
      <c r="F55" s="4" t="s">
        <v>3</v>
      </c>
      <c r="G55" s="4" t="s">
        <v>0</v>
      </c>
      <c r="H55" s="4" t="s">
        <v>3</v>
      </c>
      <c r="I55" s="1"/>
      <c r="J55" s="6" t="s">
        <v>0</v>
      </c>
      <c r="K55" s="6" t="s">
        <v>3</v>
      </c>
      <c r="L55" s="6" t="s">
        <v>0</v>
      </c>
      <c r="M55" s="6" t="s">
        <v>3</v>
      </c>
      <c r="N55" s="6"/>
      <c r="O55" s="1"/>
      <c r="P55" s="8" t="s">
        <v>0</v>
      </c>
      <c r="Q55" s="8" t="s">
        <v>3</v>
      </c>
      <c r="R55" s="8" t="s">
        <v>0</v>
      </c>
      <c r="S55" s="8" t="s">
        <v>3</v>
      </c>
      <c r="T55" s="1"/>
      <c r="U55" s="10" t="s">
        <v>0</v>
      </c>
      <c r="V55" s="10" t="s">
        <v>3</v>
      </c>
      <c r="W55" s="10" t="s">
        <v>0</v>
      </c>
      <c r="X55" s="10" t="s">
        <v>3</v>
      </c>
    </row>
    <row r="56" spans="1:24" x14ac:dyDescent="0.25">
      <c r="A56" s="19"/>
      <c r="B56" s="19"/>
      <c r="C56" s="19"/>
      <c r="D56" s="19"/>
      <c r="E56" s="19"/>
      <c r="F56" s="19"/>
      <c r="G56" s="19"/>
      <c r="H56" s="19"/>
      <c r="I56" s="19"/>
      <c r="J56" s="19"/>
      <c r="K56" s="19"/>
      <c r="L56" s="19"/>
      <c r="M56" s="19"/>
      <c r="N56" s="19"/>
      <c r="O56" s="19"/>
      <c r="P56" s="19"/>
      <c r="Q56" s="19"/>
      <c r="R56" s="19"/>
      <c r="S56" s="19"/>
      <c r="T56" s="19"/>
      <c r="U56" s="19"/>
      <c r="V56" s="19"/>
      <c r="W56" s="19"/>
      <c r="X56" s="19"/>
    </row>
    <row r="57" spans="1:24" x14ac:dyDescent="0.25">
      <c r="A57" s="3">
        <v>1166875</v>
      </c>
      <c r="B57" s="3">
        <v>6217991</v>
      </c>
      <c r="C57" s="3">
        <v>1268012</v>
      </c>
      <c r="E57" s="5">
        <v>20065</v>
      </c>
      <c r="F57" s="5">
        <v>1226421</v>
      </c>
      <c r="G57" s="5">
        <v>2738118</v>
      </c>
      <c r="H57" s="5">
        <v>2684743</v>
      </c>
      <c r="J57" s="7">
        <v>20823</v>
      </c>
      <c r="K57" s="7">
        <v>1206050</v>
      </c>
      <c r="L57" s="7">
        <v>2852823</v>
      </c>
      <c r="M57" s="7">
        <v>2107791</v>
      </c>
      <c r="N57" s="7"/>
      <c r="P57" s="9">
        <v>17129</v>
      </c>
      <c r="Q57" s="9">
        <v>1207801</v>
      </c>
      <c r="R57" s="9">
        <v>2707456</v>
      </c>
      <c r="S57" s="9">
        <v>1726288</v>
      </c>
      <c r="U57" s="11">
        <v>20413</v>
      </c>
      <c r="V57" s="11">
        <v>1197553</v>
      </c>
      <c r="W57" s="11">
        <v>2386275</v>
      </c>
      <c r="X57" s="11">
        <v>1858582</v>
      </c>
    </row>
    <row r="58" spans="1:24" x14ac:dyDescent="0.25">
      <c r="A58">
        <v>6300000</v>
      </c>
      <c r="B58">
        <v>5760000</v>
      </c>
      <c r="C58">
        <v>13140000</v>
      </c>
      <c r="F58">
        <v>4320000</v>
      </c>
      <c r="G58">
        <v>5220000</v>
      </c>
      <c r="H58">
        <v>12420000</v>
      </c>
      <c r="K58">
        <v>5040000</v>
      </c>
      <c r="L58">
        <v>5040000</v>
      </c>
      <c r="M58">
        <v>12600000</v>
      </c>
      <c r="Q58">
        <v>2160000</v>
      </c>
      <c r="R58">
        <v>5580000</v>
      </c>
      <c r="S58">
        <v>13140000</v>
      </c>
      <c r="V58">
        <v>5400000</v>
      </c>
      <c r="W58">
        <v>6300000</v>
      </c>
      <c r="X58">
        <v>13320000</v>
      </c>
    </row>
    <row r="59" spans="1:24" x14ac:dyDescent="0.25">
      <c r="A59">
        <f>A58/180000</f>
        <v>35</v>
      </c>
      <c r="B59">
        <f t="shared" ref="B59:X59" si="2">B58/180000</f>
        <v>32</v>
      </c>
      <c r="C59">
        <f t="shared" si="2"/>
        <v>73</v>
      </c>
      <c r="D59">
        <f t="shared" si="2"/>
        <v>0</v>
      </c>
      <c r="E59">
        <f t="shared" si="2"/>
        <v>0</v>
      </c>
      <c r="F59">
        <f t="shared" si="2"/>
        <v>24</v>
      </c>
      <c r="G59">
        <f t="shared" si="2"/>
        <v>29</v>
      </c>
      <c r="H59">
        <f t="shared" si="2"/>
        <v>69</v>
      </c>
      <c r="I59">
        <f t="shared" si="2"/>
        <v>0</v>
      </c>
      <c r="J59">
        <f t="shared" si="2"/>
        <v>0</v>
      </c>
      <c r="K59">
        <f t="shared" si="2"/>
        <v>28</v>
      </c>
      <c r="L59">
        <f t="shared" si="2"/>
        <v>28</v>
      </c>
      <c r="M59">
        <f t="shared" si="2"/>
        <v>70</v>
      </c>
      <c r="N59">
        <f t="shared" si="2"/>
        <v>0</v>
      </c>
      <c r="O59">
        <f t="shared" si="2"/>
        <v>0</v>
      </c>
      <c r="P59">
        <f t="shared" si="2"/>
        <v>0</v>
      </c>
      <c r="Q59">
        <f t="shared" si="2"/>
        <v>12</v>
      </c>
      <c r="R59">
        <f t="shared" si="2"/>
        <v>31</v>
      </c>
      <c r="S59">
        <f t="shared" si="2"/>
        <v>73</v>
      </c>
      <c r="T59">
        <f t="shared" si="2"/>
        <v>0</v>
      </c>
      <c r="U59">
        <f t="shared" si="2"/>
        <v>0</v>
      </c>
      <c r="V59">
        <f t="shared" si="2"/>
        <v>30</v>
      </c>
      <c r="W59">
        <f t="shared" si="2"/>
        <v>35</v>
      </c>
      <c r="X59">
        <f t="shared" si="2"/>
        <v>74</v>
      </c>
    </row>
    <row r="60" spans="1:24" ht="15.75" thickBot="1" x14ac:dyDescent="0.3"/>
    <row r="61" spans="1:24" x14ac:dyDescent="0.25">
      <c r="A61" s="41" t="s">
        <v>69</v>
      </c>
      <c r="B61" s="43">
        <v>20055</v>
      </c>
      <c r="C61" s="21">
        <v>0</v>
      </c>
      <c r="D61" s="43">
        <v>1211497</v>
      </c>
      <c r="E61" s="21">
        <v>24</v>
      </c>
      <c r="F61" s="43">
        <v>2296634</v>
      </c>
      <c r="G61" s="21">
        <v>35</v>
      </c>
      <c r="H61" s="43">
        <v>1991719</v>
      </c>
      <c r="I61" s="21">
        <v>70</v>
      </c>
    </row>
    <row r="62" spans="1:24" ht="15.75" thickBot="1" x14ac:dyDescent="0.3">
      <c r="A62" s="40" t="s">
        <v>70</v>
      </c>
      <c r="B62" s="25">
        <v>20133</v>
      </c>
      <c r="C62" s="27">
        <v>0</v>
      </c>
      <c r="D62" s="25">
        <v>1362325</v>
      </c>
      <c r="E62" s="27">
        <v>19</v>
      </c>
      <c r="F62" s="25">
        <v>2198502</v>
      </c>
      <c r="G62" s="27">
        <v>32</v>
      </c>
      <c r="H62" s="25">
        <v>1601633</v>
      </c>
      <c r="I62" s="27">
        <v>70</v>
      </c>
    </row>
  </sheetData>
  <mergeCells count="11">
    <mergeCell ref="A1:H1"/>
    <mergeCell ref="A35:C35"/>
    <mergeCell ref="B3:C3"/>
    <mergeCell ref="D3:E3"/>
    <mergeCell ref="F3:G3"/>
    <mergeCell ref="A2:H2"/>
    <mergeCell ref="A18:H18"/>
    <mergeCell ref="A19:H19"/>
    <mergeCell ref="B20:C20"/>
    <mergeCell ref="D20:E20"/>
    <mergeCell ref="F20:G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6"/>
  <sheetViews>
    <sheetView topLeftCell="AA1" workbookViewId="0">
      <selection activeCell="AD12" sqref="AD12"/>
    </sheetView>
  </sheetViews>
  <sheetFormatPr defaultRowHeight="15" x14ac:dyDescent="0.25"/>
  <cols>
    <col min="1" max="1" width="20.140625" customWidth="1"/>
  </cols>
  <sheetData>
    <row r="1" spans="1:35" ht="15.75" thickBot="1" x14ac:dyDescent="0.3">
      <c r="A1" s="286" t="s">
        <v>59</v>
      </c>
      <c r="B1" s="286"/>
      <c r="C1" s="286"/>
      <c r="D1" s="286"/>
      <c r="E1" s="286"/>
      <c r="F1" s="286"/>
      <c r="G1" s="286"/>
      <c r="H1" s="286"/>
      <c r="I1" s="286"/>
      <c r="J1" s="286"/>
      <c r="K1" s="286"/>
    </row>
    <row r="2" spans="1:35" ht="15.75" thickBot="1" x14ac:dyDescent="0.3">
      <c r="A2" s="41"/>
      <c r="B2" s="264" t="s">
        <v>87</v>
      </c>
      <c r="C2" s="265"/>
      <c r="D2" s="265"/>
      <c r="E2" s="265"/>
      <c r="F2" s="265"/>
      <c r="G2" s="265"/>
      <c r="H2" s="266"/>
      <c r="I2" s="111" t="s">
        <v>30</v>
      </c>
      <c r="J2" s="99"/>
      <c r="K2" s="100"/>
      <c r="U2" t="s">
        <v>112</v>
      </c>
    </row>
    <row r="3" spans="1:35" ht="15.75" thickBot="1" x14ac:dyDescent="0.3">
      <c r="A3" s="42"/>
      <c r="B3" s="144" t="s">
        <v>23</v>
      </c>
      <c r="C3" s="146" t="s">
        <v>24</v>
      </c>
      <c r="D3" s="147" t="s">
        <v>25</v>
      </c>
      <c r="E3" s="148" t="s">
        <v>26</v>
      </c>
      <c r="F3" s="149" t="s">
        <v>27</v>
      </c>
      <c r="G3" s="150" t="s">
        <v>62</v>
      </c>
      <c r="H3" s="145" t="s">
        <v>63</v>
      </c>
      <c r="I3" s="28"/>
      <c r="J3" s="107"/>
      <c r="K3" s="106"/>
    </row>
    <row r="4" spans="1:35" ht="15.75" thickBot="1" x14ac:dyDescent="0.3">
      <c r="A4" s="22" t="s">
        <v>13</v>
      </c>
      <c r="B4" s="108">
        <v>1</v>
      </c>
      <c r="C4" s="109">
        <v>1</v>
      </c>
      <c r="D4" s="109">
        <v>0</v>
      </c>
      <c r="E4" s="110">
        <v>0</v>
      </c>
      <c r="F4" s="109">
        <v>0</v>
      </c>
      <c r="G4" s="20">
        <v>0</v>
      </c>
      <c r="H4" s="109">
        <v>2</v>
      </c>
      <c r="I4" s="108">
        <f>SUM(B4:H4)</f>
        <v>4</v>
      </c>
      <c r="J4" s="20"/>
      <c r="K4" s="115"/>
      <c r="L4" s="159">
        <v>11368</v>
      </c>
      <c r="M4" s="158">
        <v>7466875</v>
      </c>
      <c r="N4" s="158">
        <v>11977991</v>
      </c>
      <c r="O4" s="160">
        <v>14408012</v>
      </c>
      <c r="R4" s="42"/>
      <c r="S4" s="144" t="s">
        <v>23</v>
      </c>
      <c r="T4" s="146" t="s">
        <v>24</v>
      </c>
      <c r="U4" s="147" t="s">
        <v>25</v>
      </c>
      <c r="V4" s="148" t="s">
        <v>26</v>
      </c>
      <c r="W4" s="149" t="s">
        <v>27</v>
      </c>
      <c r="X4" s="150" t="s">
        <v>62</v>
      </c>
      <c r="Y4" s="145" t="s">
        <v>63</v>
      </c>
    </row>
    <row r="5" spans="1:35" ht="15.75" thickBot="1" x14ac:dyDescent="0.3">
      <c r="A5" s="22" t="s">
        <v>15</v>
      </c>
      <c r="B5" s="32">
        <v>0</v>
      </c>
      <c r="C5" s="34">
        <v>1</v>
      </c>
      <c r="D5" s="34">
        <v>0</v>
      </c>
      <c r="E5" s="68">
        <v>2</v>
      </c>
      <c r="F5" s="68">
        <v>0</v>
      </c>
      <c r="G5" s="68">
        <v>1</v>
      </c>
      <c r="H5" s="68">
        <v>0</v>
      </c>
      <c r="I5" s="32">
        <f t="shared" ref="I5:I10" si="0">SUM(B5:H5)</f>
        <v>4</v>
      </c>
      <c r="J5" s="37"/>
      <c r="K5" s="24"/>
      <c r="L5" s="164">
        <v>20065</v>
      </c>
      <c r="M5" s="164">
        <v>5546421</v>
      </c>
      <c r="N5" s="160">
        <v>7958118</v>
      </c>
      <c r="O5" s="165">
        <v>15104743</v>
      </c>
      <c r="R5" s="22" t="s">
        <v>13</v>
      </c>
      <c r="S5" s="108">
        <f>B4+B17+B30</f>
        <v>3</v>
      </c>
      <c r="T5" s="108">
        <f t="shared" ref="T5:Y5" si="1">C4+C17+C30</f>
        <v>2</v>
      </c>
      <c r="U5" s="108">
        <f t="shared" si="1"/>
        <v>0</v>
      </c>
      <c r="V5" s="108">
        <f t="shared" si="1"/>
        <v>1</v>
      </c>
      <c r="W5" s="108">
        <f t="shared" si="1"/>
        <v>0</v>
      </c>
      <c r="X5" s="108">
        <f t="shared" si="1"/>
        <v>1</v>
      </c>
      <c r="Y5" s="108">
        <f t="shared" si="1"/>
        <v>3</v>
      </c>
      <c r="AA5" t="s">
        <v>113</v>
      </c>
    </row>
    <row r="6" spans="1:35" ht="15.75" thickBot="1" x14ac:dyDescent="0.3">
      <c r="A6" s="22" t="s">
        <v>6</v>
      </c>
      <c r="B6" s="32">
        <v>1</v>
      </c>
      <c r="C6" s="34">
        <v>0</v>
      </c>
      <c r="D6" s="34">
        <v>0</v>
      </c>
      <c r="E6" s="68">
        <v>1</v>
      </c>
      <c r="F6" s="34">
        <v>1</v>
      </c>
      <c r="G6" s="68">
        <v>0</v>
      </c>
      <c r="H6" s="68">
        <v>1</v>
      </c>
      <c r="I6" s="32">
        <f t="shared" si="0"/>
        <v>4</v>
      </c>
      <c r="J6" s="30"/>
      <c r="K6" s="36"/>
      <c r="L6" s="158">
        <v>20823</v>
      </c>
      <c r="M6" s="163">
        <v>6246050</v>
      </c>
      <c r="N6" s="161">
        <v>7892823</v>
      </c>
      <c r="O6" s="164">
        <v>14707791</v>
      </c>
      <c r="R6" s="22" t="s">
        <v>15</v>
      </c>
      <c r="S6" s="108">
        <f>B5+B18+B31</f>
        <v>0</v>
      </c>
      <c r="T6" s="108">
        <f t="shared" ref="T6:T11" si="2">C5+C18+C31</f>
        <v>2</v>
      </c>
      <c r="U6" s="108">
        <f t="shared" ref="U6:U11" si="3">D5+D18+D31</f>
        <v>2</v>
      </c>
      <c r="V6" s="108">
        <f t="shared" ref="V6:V11" si="4">E5+E18+E31</f>
        <v>2</v>
      </c>
      <c r="W6" s="108">
        <f t="shared" ref="W6:W11" si="5">F5+F18+F31</f>
        <v>1</v>
      </c>
      <c r="X6" s="108">
        <f t="shared" ref="X6:X11" si="6">G5+G18+G31</f>
        <v>3</v>
      </c>
      <c r="Y6" s="108">
        <f t="shared" ref="Y6:Y11" si="7">H5+H18+H31</f>
        <v>0</v>
      </c>
    </row>
    <row r="7" spans="1:35" ht="15.75" thickBot="1" x14ac:dyDescent="0.3">
      <c r="A7" s="22" t="s">
        <v>56</v>
      </c>
      <c r="B7" s="32">
        <v>1</v>
      </c>
      <c r="C7" s="68">
        <v>1</v>
      </c>
      <c r="D7" s="68">
        <v>0</v>
      </c>
      <c r="E7" s="68">
        <v>1</v>
      </c>
      <c r="F7" s="68">
        <v>1</v>
      </c>
      <c r="G7" s="68">
        <v>0</v>
      </c>
      <c r="H7" s="68">
        <v>0</v>
      </c>
      <c r="I7" s="32">
        <f t="shared" si="0"/>
        <v>4</v>
      </c>
      <c r="J7" s="23"/>
      <c r="K7" s="24"/>
      <c r="L7" s="160">
        <v>17129</v>
      </c>
      <c r="M7" s="159">
        <v>3367801</v>
      </c>
      <c r="N7" s="164">
        <v>8287456</v>
      </c>
      <c r="O7" s="163">
        <v>14866288</v>
      </c>
      <c r="R7" s="22" t="s">
        <v>6</v>
      </c>
      <c r="S7" s="108">
        <f t="shared" ref="S7:S11" si="8">B6+B19+B32</f>
        <v>1</v>
      </c>
      <c r="T7" s="108">
        <f t="shared" si="2"/>
        <v>0</v>
      </c>
      <c r="U7" s="108">
        <f t="shared" si="3"/>
        <v>2</v>
      </c>
      <c r="V7" s="108">
        <f t="shared" si="4"/>
        <v>2</v>
      </c>
      <c r="W7" s="108">
        <f t="shared" si="5"/>
        <v>3</v>
      </c>
      <c r="X7" s="108">
        <f t="shared" si="6"/>
        <v>1</v>
      </c>
      <c r="Y7" s="108">
        <f t="shared" si="7"/>
        <v>1</v>
      </c>
    </row>
    <row r="8" spans="1:35" ht="15.75" thickBot="1" x14ac:dyDescent="0.3">
      <c r="A8" s="22" t="s">
        <v>104</v>
      </c>
      <c r="B8" s="32">
        <v>0</v>
      </c>
      <c r="C8" s="68">
        <v>0</v>
      </c>
      <c r="D8" s="68">
        <v>3</v>
      </c>
      <c r="E8" s="68">
        <v>0</v>
      </c>
      <c r="F8" s="68">
        <v>1</v>
      </c>
      <c r="G8" s="68">
        <v>0</v>
      </c>
      <c r="H8" s="68">
        <v>0</v>
      </c>
      <c r="I8" s="32">
        <f t="shared" si="0"/>
        <v>4</v>
      </c>
      <c r="J8" s="23"/>
      <c r="K8" s="24"/>
      <c r="L8" s="162">
        <v>20055</v>
      </c>
      <c r="M8" s="162">
        <f>(Q25*180000)+P25</f>
        <v>5531497</v>
      </c>
      <c r="N8" s="163">
        <f>(S25*180000)+R25</f>
        <v>8596634</v>
      </c>
      <c r="O8" s="162">
        <f>(U25*180000)+T25</f>
        <v>14591719</v>
      </c>
      <c r="R8" s="22" t="s">
        <v>56</v>
      </c>
      <c r="S8" s="108">
        <f t="shared" si="8"/>
        <v>3</v>
      </c>
      <c r="T8" s="108">
        <f t="shared" si="2"/>
        <v>1</v>
      </c>
      <c r="U8" s="108">
        <f t="shared" si="3"/>
        <v>0</v>
      </c>
      <c r="V8" s="108">
        <f t="shared" si="4"/>
        <v>1</v>
      </c>
      <c r="W8" s="108">
        <f t="shared" si="5"/>
        <v>3</v>
      </c>
      <c r="X8" s="108">
        <f t="shared" si="6"/>
        <v>0</v>
      </c>
      <c r="Y8" s="108">
        <f t="shared" si="7"/>
        <v>2</v>
      </c>
    </row>
    <row r="9" spans="1:35" ht="15.75" thickBot="1" x14ac:dyDescent="0.3">
      <c r="A9" s="22" t="s">
        <v>17</v>
      </c>
      <c r="B9" s="22">
        <v>0</v>
      </c>
      <c r="C9" s="68">
        <v>0</v>
      </c>
      <c r="D9" s="68">
        <v>0</v>
      </c>
      <c r="E9" s="68">
        <v>0</v>
      </c>
      <c r="F9" s="68">
        <v>0</v>
      </c>
      <c r="G9" s="68">
        <v>3</v>
      </c>
      <c r="H9" s="68">
        <v>1</v>
      </c>
      <c r="I9" s="32">
        <f t="shared" si="0"/>
        <v>4</v>
      </c>
      <c r="J9" s="23"/>
      <c r="K9" s="24"/>
      <c r="L9" s="165">
        <v>20413</v>
      </c>
      <c r="M9" s="165">
        <v>6597553</v>
      </c>
      <c r="N9" s="165">
        <v>8686275</v>
      </c>
      <c r="O9" s="158">
        <v>15178582</v>
      </c>
      <c r="R9" s="22" t="s">
        <v>104</v>
      </c>
      <c r="S9" s="108">
        <f t="shared" si="8"/>
        <v>1</v>
      </c>
      <c r="T9" s="108">
        <f t="shared" si="2"/>
        <v>3</v>
      </c>
      <c r="U9" s="108">
        <f t="shared" si="3"/>
        <v>4</v>
      </c>
      <c r="V9" s="108">
        <f t="shared" si="4"/>
        <v>1</v>
      </c>
      <c r="W9" s="108">
        <f t="shared" si="5"/>
        <v>1</v>
      </c>
      <c r="X9" s="108">
        <f t="shared" si="6"/>
        <v>0</v>
      </c>
      <c r="Y9" s="108">
        <f t="shared" si="7"/>
        <v>0</v>
      </c>
    </row>
    <row r="10" spans="1:35" ht="15.75" thickBot="1" x14ac:dyDescent="0.3">
      <c r="A10" s="25" t="s">
        <v>53</v>
      </c>
      <c r="B10" s="25">
        <v>1</v>
      </c>
      <c r="C10" s="26">
        <v>1</v>
      </c>
      <c r="D10" s="26">
        <v>1</v>
      </c>
      <c r="E10" s="26">
        <v>0</v>
      </c>
      <c r="F10" s="26">
        <v>1</v>
      </c>
      <c r="G10" s="26">
        <v>0</v>
      </c>
      <c r="H10" s="26">
        <v>0</v>
      </c>
      <c r="I10" s="33">
        <f t="shared" si="0"/>
        <v>4</v>
      </c>
      <c r="J10" s="26"/>
      <c r="K10" s="27"/>
      <c r="L10" s="163">
        <v>20133</v>
      </c>
      <c r="M10" s="160">
        <f>(Q26*180000)+P26</f>
        <v>4782325</v>
      </c>
      <c r="N10" s="162">
        <f>(S26*180000)+R26</f>
        <v>7958502</v>
      </c>
      <c r="O10" s="159">
        <f>(U26*180000)+T26</f>
        <v>14201633</v>
      </c>
      <c r="R10" s="22" t="s">
        <v>17</v>
      </c>
      <c r="S10" s="108">
        <f t="shared" si="8"/>
        <v>1</v>
      </c>
      <c r="T10" s="108">
        <f t="shared" si="2"/>
        <v>1</v>
      </c>
      <c r="U10" s="108">
        <f t="shared" si="3"/>
        <v>0</v>
      </c>
      <c r="V10" s="108">
        <f t="shared" si="4"/>
        <v>1</v>
      </c>
      <c r="W10" s="108">
        <f t="shared" si="5"/>
        <v>0</v>
      </c>
      <c r="X10" s="108">
        <f t="shared" si="6"/>
        <v>4</v>
      </c>
      <c r="Y10" s="108">
        <f t="shared" si="7"/>
        <v>3</v>
      </c>
    </row>
    <row r="11" spans="1:35" ht="15.75" thickBot="1" x14ac:dyDescent="0.3">
      <c r="B11">
        <f>SUM(B4:B10)</f>
        <v>4</v>
      </c>
      <c r="C11">
        <f t="shared" ref="C11:H11" si="9">SUM(C4:C10)</f>
        <v>4</v>
      </c>
      <c r="D11">
        <f t="shared" si="9"/>
        <v>4</v>
      </c>
      <c r="E11">
        <f t="shared" si="9"/>
        <v>4</v>
      </c>
      <c r="F11">
        <f t="shared" si="9"/>
        <v>4</v>
      </c>
      <c r="G11">
        <f t="shared" si="9"/>
        <v>4</v>
      </c>
      <c r="H11">
        <f t="shared" si="9"/>
        <v>4</v>
      </c>
      <c r="R11" s="25" t="s">
        <v>53</v>
      </c>
      <c r="S11" s="108">
        <f t="shared" si="8"/>
        <v>1</v>
      </c>
      <c r="T11" s="108">
        <f t="shared" si="2"/>
        <v>1</v>
      </c>
      <c r="U11" s="108">
        <f t="shared" si="3"/>
        <v>2</v>
      </c>
      <c r="V11" s="108">
        <f t="shared" si="4"/>
        <v>2</v>
      </c>
      <c r="W11" s="108">
        <f t="shared" si="5"/>
        <v>2</v>
      </c>
      <c r="X11" s="108">
        <f t="shared" si="6"/>
        <v>1</v>
      </c>
      <c r="Y11" s="108">
        <f t="shared" si="7"/>
        <v>1</v>
      </c>
    </row>
    <row r="12" spans="1:35" ht="15.75" thickBot="1" x14ac:dyDescent="0.3">
      <c r="AB12" s="144" t="s">
        <v>23</v>
      </c>
      <c r="AC12" s="146" t="s">
        <v>24</v>
      </c>
      <c r="AD12" s="147" t="s">
        <v>25</v>
      </c>
      <c r="AE12" s="148" t="s">
        <v>26</v>
      </c>
      <c r="AF12" s="149" t="s">
        <v>27</v>
      </c>
      <c r="AG12" s="150" t="s">
        <v>62</v>
      </c>
      <c r="AH12" s="145" t="s">
        <v>63</v>
      </c>
      <c r="AI12" t="s">
        <v>92</v>
      </c>
    </row>
    <row r="13" spans="1:35" ht="15.75" thickBot="1" x14ac:dyDescent="0.3">
      <c r="S13">
        <f>S5*1</f>
        <v>3</v>
      </c>
      <c r="T13">
        <f>T5*0.83</f>
        <v>1.66</v>
      </c>
      <c r="U13">
        <f>U5*0.66</f>
        <v>0</v>
      </c>
      <c r="V13">
        <f>V5*0.5</f>
        <v>0.5</v>
      </c>
      <c r="W13">
        <f>W5*0.33</f>
        <v>0</v>
      </c>
      <c r="X13">
        <f>X5*0.17</f>
        <v>0.17</v>
      </c>
      <c r="Y13">
        <v>0</v>
      </c>
      <c r="Z13">
        <f>SUM(S13:Y13)</f>
        <v>5.33</v>
      </c>
      <c r="AA13" s="28" t="s">
        <v>105</v>
      </c>
      <c r="AB13" s="263">
        <f>S13/10</f>
        <v>0.3</v>
      </c>
      <c r="AC13" s="263">
        <f>T13/10</f>
        <v>0.16599999999999998</v>
      </c>
      <c r="AD13" s="263">
        <f t="shared" ref="AD13:AH13" si="10">U13/10</f>
        <v>0</v>
      </c>
      <c r="AE13" s="263">
        <f t="shared" si="10"/>
        <v>0.05</v>
      </c>
      <c r="AF13" s="263">
        <f t="shared" si="10"/>
        <v>0</v>
      </c>
      <c r="AG13" s="263">
        <f t="shared" si="10"/>
        <v>1.7000000000000001E-2</v>
      </c>
      <c r="AH13" s="263">
        <f t="shared" si="10"/>
        <v>0</v>
      </c>
      <c r="AI13" s="263">
        <f>SUM(AB13:AH13)</f>
        <v>0.53300000000000003</v>
      </c>
    </row>
    <row r="14" spans="1:35" ht="15.75" thickBot="1" x14ac:dyDescent="0.3">
      <c r="A14" s="283" t="s">
        <v>60</v>
      </c>
      <c r="B14" s="283"/>
      <c r="C14" s="283"/>
      <c r="D14" s="283"/>
      <c r="E14" s="283"/>
      <c r="F14" s="283"/>
      <c r="G14" s="283"/>
      <c r="H14" s="283"/>
      <c r="I14" s="283"/>
      <c r="J14" s="283"/>
      <c r="K14" s="283"/>
      <c r="S14">
        <f t="shared" ref="S14:S19" si="11">S6*1</f>
        <v>0</v>
      </c>
      <c r="T14">
        <f t="shared" ref="T14:T19" si="12">T6*0.83</f>
        <v>1.66</v>
      </c>
      <c r="U14">
        <f t="shared" ref="U14:U19" si="13">U6*0.66</f>
        <v>1.32</v>
      </c>
      <c r="V14">
        <f t="shared" ref="V14:V19" si="14">V6*0.5</f>
        <v>1</v>
      </c>
      <c r="W14">
        <f t="shared" ref="W14:W19" si="15">W6*0.33</f>
        <v>0.33</v>
      </c>
      <c r="X14">
        <f t="shared" ref="X14:X19" si="16">X6*0.17</f>
        <v>0.51</v>
      </c>
      <c r="Y14">
        <v>0</v>
      </c>
      <c r="Z14">
        <f t="shared" ref="Z14:Z19" si="17">SUM(S14:Y14)</f>
        <v>4.8199999999999994</v>
      </c>
      <c r="AA14" s="46" t="s">
        <v>106</v>
      </c>
      <c r="AB14" s="263">
        <f t="shared" ref="AB14:AB19" si="18">S14/10</f>
        <v>0</v>
      </c>
      <c r="AC14" s="263">
        <f t="shared" ref="AC14:AC19" si="19">T14/10</f>
        <v>0.16599999999999998</v>
      </c>
      <c r="AD14" s="263">
        <f t="shared" ref="AD14:AD19" si="20">U14/10</f>
        <v>0.13200000000000001</v>
      </c>
      <c r="AE14" s="263">
        <f t="shared" ref="AE14:AE19" si="21">V14/10</f>
        <v>0.1</v>
      </c>
      <c r="AF14" s="263">
        <f t="shared" ref="AF14:AF18" si="22">W14/10</f>
        <v>3.3000000000000002E-2</v>
      </c>
      <c r="AG14" s="263">
        <f t="shared" ref="AG14:AG19" si="23">X14/10</f>
        <v>5.1000000000000004E-2</v>
      </c>
      <c r="AH14" s="263">
        <f t="shared" ref="AH14:AH19" si="24">Y14/10</f>
        <v>0</v>
      </c>
      <c r="AI14" s="263">
        <f t="shared" ref="AI14:AI19" si="25">SUM(AB14:AH14)</f>
        <v>0.48200000000000004</v>
      </c>
    </row>
    <row r="15" spans="1:35" ht="15.75" thickBot="1" x14ac:dyDescent="0.3">
      <c r="A15" s="41"/>
      <c r="B15" s="265" t="s">
        <v>87</v>
      </c>
      <c r="C15" s="265"/>
      <c r="D15" s="265"/>
      <c r="E15" s="265"/>
      <c r="F15" s="265"/>
      <c r="G15" s="265"/>
      <c r="H15" s="265"/>
      <c r="I15" s="111" t="s">
        <v>30</v>
      </c>
      <c r="J15" s="99"/>
      <c r="K15" s="100"/>
      <c r="S15">
        <f t="shared" si="11"/>
        <v>1</v>
      </c>
      <c r="T15">
        <f t="shared" si="12"/>
        <v>0</v>
      </c>
      <c r="U15">
        <f t="shared" si="13"/>
        <v>1.32</v>
      </c>
      <c r="V15">
        <f t="shared" si="14"/>
        <v>1</v>
      </c>
      <c r="W15">
        <f t="shared" si="15"/>
        <v>0.99</v>
      </c>
      <c r="X15">
        <f t="shared" si="16"/>
        <v>0.17</v>
      </c>
      <c r="Y15">
        <v>0</v>
      </c>
      <c r="Z15">
        <f t="shared" si="17"/>
        <v>4.4800000000000004</v>
      </c>
      <c r="AA15" s="46" t="s">
        <v>107</v>
      </c>
      <c r="AB15" s="263">
        <f t="shared" si="18"/>
        <v>0.1</v>
      </c>
      <c r="AC15" s="263">
        <f t="shared" si="19"/>
        <v>0</v>
      </c>
      <c r="AD15" s="263">
        <f t="shared" si="20"/>
        <v>0.13200000000000001</v>
      </c>
      <c r="AE15" s="263">
        <f t="shared" si="21"/>
        <v>0.1</v>
      </c>
      <c r="AF15" s="263">
        <f t="shared" si="22"/>
        <v>9.9000000000000005E-2</v>
      </c>
      <c r="AG15" s="263">
        <f t="shared" si="23"/>
        <v>1.7000000000000001E-2</v>
      </c>
      <c r="AH15" s="263">
        <f t="shared" si="24"/>
        <v>0</v>
      </c>
      <c r="AI15" s="263">
        <f t="shared" si="25"/>
        <v>0.44800000000000006</v>
      </c>
    </row>
    <row r="16" spans="1:35" ht="15.75" thickBot="1" x14ac:dyDescent="0.3">
      <c r="A16" s="42"/>
      <c r="B16" s="144" t="s">
        <v>23</v>
      </c>
      <c r="C16" s="146" t="s">
        <v>24</v>
      </c>
      <c r="D16" s="147" t="s">
        <v>25</v>
      </c>
      <c r="E16" s="148" t="s">
        <v>26</v>
      </c>
      <c r="F16" s="149" t="s">
        <v>27</v>
      </c>
      <c r="G16" s="150" t="s">
        <v>62</v>
      </c>
      <c r="H16" s="145" t="s">
        <v>63</v>
      </c>
      <c r="I16" s="28"/>
      <c r="J16" s="107"/>
      <c r="K16" s="106"/>
      <c r="S16">
        <f t="shared" si="11"/>
        <v>3</v>
      </c>
      <c r="T16">
        <f t="shared" si="12"/>
        <v>0.83</v>
      </c>
      <c r="U16">
        <f t="shared" si="13"/>
        <v>0</v>
      </c>
      <c r="V16">
        <f t="shared" si="14"/>
        <v>0.5</v>
      </c>
      <c r="W16">
        <f t="shared" si="15"/>
        <v>0.99</v>
      </c>
      <c r="X16">
        <f t="shared" si="16"/>
        <v>0</v>
      </c>
      <c r="Y16">
        <v>0</v>
      </c>
      <c r="Z16">
        <f t="shared" si="17"/>
        <v>5.32</v>
      </c>
      <c r="AA16" s="46" t="s">
        <v>108</v>
      </c>
      <c r="AB16" s="263">
        <f>S16/10</f>
        <v>0.3</v>
      </c>
      <c r="AC16" s="263">
        <f t="shared" si="19"/>
        <v>8.299999999999999E-2</v>
      </c>
      <c r="AD16" s="263">
        <f t="shared" si="20"/>
        <v>0</v>
      </c>
      <c r="AE16" s="263">
        <f t="shared" si="21"/>
        <v>0.05</v>
      </c>
      <c r="AF16" s="263">
        <f t="shared" si="22"/>
        <v>9.9000000000000005E-2</v>
      </c>
      <c r="AG16" s="263">
        <f t="shared" si="23"/>
        <v>0</v>
      </c>
      <c r="AH16" s="263">
        <f t="shared" si="24"/>
        <v>0</v>
      </c>
      <c r="AI16" s="263">
        <f t="shared" si="25"/>
        <v>0.53200000000000003</v>
      </c>
    </row>
    <row r="17" spans="1:35" ht="15.75" thickBot="1" x14ac:dyDescent="0.3">
      <c r="A17" s="22" t="s">
        <v>13</v>
      </c>
      <c r="B17" s="108">
        <v>2</v>
      </c>
      <c r="C17" s="109">
        <v>1</v>
      </c>
      <c r="D17" s="109">
        <v>0</v>
      </c>
      <c r="E17" s="110">
        <v>0</v>
      </c>
      <c r="F17" s="109">
        <v>0</v>
      </c>
      <c r="G17" s="20">
        <v>1</v>
      </c>
      <c r="H17" s="109">
        <v>0</v>
      </c>
      <c r="I17" s="108">
        <f>SUM(B17:H17)</f>
        <v>4</v>
      </c>
      <c r="J17" s="20"/>
      <c r="K17" s="115"/>
      <c r="S17">
        <f t="shared" si="11"/>
        <v>1</v>
      </c>
      <c r="T17">
        <f t="shared" si="12"/>
        <v>2.4899999999999998</v>
      </c>
      <c r="U17">
        <f t="shared" si="13"/>
        <v>2.64</v>
      </c>
      <c r="V17">
        <f t="shared" si="14"/>
        <v>0.5</v>
      </c>
      <c r="W17">
        <f t="shared" si="15"/>
        <v>0.33</v>
      </c>
      <c r="X17">
        <f t="shared" si="16"/>
        <v>0</v>
      </c>
      <c r="Y17">
        <v>0</v>
      </c>
      <c r="Z17">
        <f t="shared" si="17"/>
        <v>6.96</v>
      </c>
      <c r="AA17" s="46" t="s">
        <v>110</v>
      </c>
      <c r="AB17" s="263">
        <f t="shared" si="18"/>
        <v>0.1</v>
      </c>
      <c r="AC17" s="263">
        <f t="shared" si="19"/>
        <v>0.24899999999999997</v>
      </c>
      <c r="AD17" s="263">
        <f t="shared" si="20"/>
        <v>0.26400000000000001</v>
      </c>
      <c r="AE17" s="263">
        <f t="shared" si="21"/>
        <v>0.05</v>
      </c>
      <c r="AF17" s="263">
        <f t="shared" si="22"/>
        <v>3.3000000000000002E-2</v>
      </c>
      <c r="AG17" s="263">
        <f t="shared" si="23"/>
        <v>0</v>
      </c>
      <c r="AH17" s="263">
        <f t="shared" si="24"/>
        <v>0</v>
      </c>
      <c r="AI17" s="263">
        <f t="shared" si="25"/>
        <v>0.69600000000000006</v>
      </c>
    </row>
    <row r="18" spans="1:35" ht="15.75" thickBot="1" x14ac:dyDescent="0.3">
      <c r="A18" s="22" t="s">
        <v>15</v>
      </c>
      <c r="B18" s="32">
        <v>0</v>
      </c>
      <c r="C18" s="34">
        <v>0</v>
      </c>
      <c r="D18" s="34">
        <v>2</v>
      </c>
      <c r="E18" s="68">
        <v>0</v>
      </c>
      <c r="F18" s="68">
        <v>1</v>
      </c>
      <c r="G18" s="68">
        <v>1</v>
      </c>
      <c r="H18" s="68">
        <v>0</v>
      </c>
      <c r="I18" s="32">
        <f t="shared" ref="I18:I23" si="26">SUM(B18:H18)</f>
        <v>4</v>
      </c>
      <c r="J18" s="37"/>
      <c r="K18" s="24"/>
      <c r="S18">
        <f t="shared" si="11"/>
        <v>1</v>
      </c>
      <c r="T18">
        <f t="shared" si="12"/>
        <v>0.83</v>
      </c>
      <c r="U18">
        <f t="shared" si="13"/>
        <v>0</v>
      </c>
      <c r="V18">
        <f t="shared" si="14"/>
        <v>0.5</v>
      </c>
      <c r="W18">
        <f t="shared" si="15"/>
        <v>0</v>
      </c>
      <c r="X18">
        <f t="shared" si="16"/>
        <v>0.68</v>
      </c>
      <c r="Y18">
        <v>0</v>
      </c>
      <c r="Z18">
        <f t="shared" si="17"/>
        <v>3.0100000000000002</v>
      </c>
      <c r="AA18" s="46" t="s">
        <v>109</v>
      </c>
      <c r="AB18" s="263">
        <f t="shared" si="18"/>
        <v>0.1</v>
      </c>
      <c r="AC18" s="263">
        <f t="shared" si="19"/>
        <v>8.299999999999999E-2</v>
      </c>
      <c r="AD18" s="263">
        <f t="shared" si="20"/>
        <v>0</v>
      </c>
      <c r="AE18" s="263">
        <f t="shared" si="21"/>
        <v>0.05</v>
      </c>
      <c r="AF18" s="263">
        <f t="shared" si="22"/>
        <v>0</v>
      </c>
      <c r="AG18" s="263">
        <f t="shared" si="23"/>
        <v>6.8000000000000005E-2</v>
      </c>
      <c r="AH18" s="263">
        <f t="shared" si="24"/>
        <v>0</v>
      </c>
      <c r="AI18" s="263">
        <f t="shared" si="25"/>
        <v>0.30099999999999999</v>
      </c>
    </row>
    <row r="19" spans="1:35" ht="15.75" thickBot="1" x14ac:dyDescent="0.3">
      <c r="A19" s="22" t="s">
        <v>6</v>
      </c>
      <c r="B19" s="32">
        <v>0</v>
      </c>
      <c r="C19" s="34">
        <v>0</v>
      </c>
      <c r="D19" s="34">
        <v>2</v>
      </c>
      <c r="E19" s="68">
        <v>1</v>
      </c>
      <c r="F19" s="68">
        <v>1</v>
      </c>
      <c r="G19" s="68">
        <v>0</v>
      </c>
      <c r="H19" s="68">
        <v>0</v>
      </c>
      <c r="I19" s="32">
        <f t="shared" si="26"/>
        <v>4</v>
      </c>
      <c r="J19" s="30"/>
      <c r="K19" s="36"/>
      <c r="S19">
        <f t="shared" si="11"/>
        <v>1</v>
      </c>
      <c r="T19">
        <f t="shared" si="12"/>
        <v>0.83</v>
      </c>
      <c r="U19">
        <f t="shared" si="13"/>
        <v>1.32</v>
      </c>
      <c r="V19">
        <f t="shared" si="14"/>
        <v>1</v>
      </c>
      <c r="W19">
        <f t="shared" si="15"/>
        <v>0.66</v>
      </c>
      <c r="X19">
        <f t="shared" si="16"/>
        <v>0.17</v>
      </c>
      <c r="Y19">
        <v>0</v>
      </c>
      <c r="Z19">
        <f t="shared" si="17"/>
        <v>4.9800000000000004</v>
      </c>
      <c r="AA19" s="47" t="s">
        <v>111</v>
      </c>
      <c r="AB19" s="263">
        <f t="shared" si="18"/>
        <v>0.1</v>
      </c>
      <c r="AC19" s="263">
        <f t="shared" si="19"/>
        <v>8.299999999999999E-2</v>
      </c>
      <c r="AD19" s="263">
        <f t="shared" si="20"/>
        <v>0.13200000000000001</v>
      </c>
      <c r="AE19" s="263">
        <f t="shared" si="21"/>
        <v>0.1</v>
      </c>
      <c r="AF19" s="263">
        <f>W19/10</f>
        <v>6.6000000000000003E-2</v>
      </c>
      <c r="AG19" s="263">
        <f t="shared" si="23"/>
        <v>1.7000000000000001E-2</v>
      </c>
      <c r="AH19" s="263">
        <f t="shared" si="24"/>
        <v>0</v>
      </c>
      <c r="AI19" s="263">
        <f t="shared" si="25"/>
        <v>0.49800000000000005</v>
      </c>
    </row>
    <row r="20" spans="1:35" x14ac:dyDescent="0.25">
      <c r="A20" s="22" t="s">
        <v>56</v>
      </c>
      <c r="B20" s="32">
        <v>1</v>
      </c>
      <c r="C20" s="68">
        <v>0</v>
      </c>
      <c r="D20" s="68">
        <v>0</v>
      </c>
      <c r="E20" s="68">
        <v>0</v>
      </c>
      <c r="F20" s="68">
        <v>1</v>
      </c>
      <c r="G20" s="68">
        <v>0</v>
      </c>
      <c r="H20" s="68">
        <v>2</v>
      </c>
      <c r="I20" s="32">
        <f t="shared" si="26"/>
        <v>4</v>
      </c>
      <c r="J20" s="23"/>
      <c r="K20" s="24"/>
    </row>
    <row r="21" spans="1:35" ht="15.75" thickBot="1" x14ac:dyDescent="0.3">
      <c r="A21" s="22" t="s">
        <v>104</v>
      </c>
      <c r="B21" s="32">
        <v>1</v>
      </c>
      <c r="C21" s="68">
        <v>2</v>
      </c>
      <c r="D21" s="68">
        <v>0</v>
      </c>
      <c r="E21" s="68">
        <v>1</v>
      </c>
      <c r="F21" s="68">
        <v>0</v>
      </c>
      <c r="G21" s="68">
        <v>0</v>
      </c>
      <c r="H21" s="68">
        <v>0</v>
      </c>
      <c r="I21" s="32">
        <f t="shared" si="26"/>
        <v>4</v>
      </c>
      <c r="J21" s="23"/>
      <c r="K21" s="24"/>
    </row>
    <row r="22" spans="1:35" ht="15.75" thickBot="1" x14ac:dyDescent="0.3">
      <c r="A22" s="22" t="s">
        <v>17</v>
      </c>
      <c r="B22" s="22">
        <v>0</v>
      </c>
      <c r="C22" s="68">
        <v>1</v>
      </c>
      <c r="D22" s="68">
        <v>0</v>
      </c>
      <c r="E22" s="68">
        <v>0</v>
      </c>
      <c r="F22" s="68">
        <v>0</v>
      </c>
      <c r="G22" s="68">
        <v>1</v>
      </c>
      <c r="H22" s="68">
        <v>2</v>
      </c>
      <c r="I22" s="32">
        <f t="shared" si="26"/>
        <v>4</v>
      </c>
      <c r="J22" s="23"/>
      <c r="K22" s="24"/>
      <c r="AA22" s="28" t="s">
        <v>105</v>
      </c>
      <c r="AB22">
        <v>5.33</v>
      </c>
      <c r="AD22">
        <f>AB22/10</f>
        <v>0.53300000000000003</v>
      </c>
    </row>
    <row r="23" spans="1:35" ht="15.75" thickBot="1" x14ac:dyDescent="0.3">
      <c r="A23" s="25" t="s">
        <v>53</v>
      </c>
      <c r="B23" s="25">
        <v>0</v>
      </c>
      <c r="C23" s="26">
        <v>0</v>
      </c>
      <c r="D23" s="26">
        <v>0</v>
      </c>
      <c r="E23" s="26">
        <v>2</v>
      </c>
      <c r="F23" s="26">
        <v>1</v>
      </c>
      <c r="G23" s="26">
        <v>1</v>
      </c>
      <c r="H23" s="26">
        <v>0</v>
      </c>
      <c r="I23" s="33">
        <f t="shared" si="26"/>
        <v>4</v>
      </c>
      <c r="J23" s="26"/>
      <c r="K23" s="27"/>
      <c r="AA23" s="46" t="s">
        <v>106</v>
      </c>
      <c r="AB23">
        <v>4.8199999999999994</v>
      </c>
      <c r="AD23">
        <f t="shared" ref="AD23:AD28" si="27">AB23/10</f>
        <v>0.48199999999999993</v>
      </c>
    </row>
    <row r="24" spans="1:35" ht="15.75" thickBot="1" x14ac:dyDescent="0.3">
      <c r="B24">
        <f>SUM(B17:B23)</f>
        <v>4</v>
      </c>
      <c r="C24">
        <f t="shared" ref="C24:H24" si="28">SUM(C17:C23)</f>
        <v>4</v>
      </c>
      <c r="D24">
        <f t="shared" si="28"/>
        <v>4</v>
      </c>
      <c r="E24">
        <f t="shared" si="28"/>
        <v>4</v>
      </c>
      <c r="F24">
        <f t="shared" si="28"/>
        <v>4</v>
      </c>
      <c r="G24">
        <f t="shared" si="28"/>
        <v>4</v>
      </c>
      <c r="H24">
        <f t="shared" si="28"/>
        <v>4</v>
      </c>
      <c r="AA24" s="46" t="s">
        <v>107</v>
      </c>
      <c r="AB24">
        <v>4.4800000000000004</v>
      </c>
      <c r="AD24">
        <f t="shared" si="27"/>
        <v>0.44800000000000006</v>
      </c>
    </row>
    <row r="25" spans="1:35" ht="15.75" thickBot="1" x14ac:dyDescent="0.3">
      <c r="N25" s="43">
        <v>20055</v>
      </c>
      <c r="O25" s="21">
        <v>0</v>
      </c>
      <c r="P25" s="43">
        <v>1211497</v>
      </c>
      <c r="Q25" s="21">
        <v>24</v>
      </c>
      <c r="R25" s="43">
        <v>2296634</v>
      </c>
      <c r="S25" s="21">
        <v>35</v>
      </c>
      <c r="T25" s="43">
        <v>1991719</v>
      </c>
      <c r="U25" s="21">
        <v>70</v>
      </c>
      <c r="AA25" s="46" t="s">
        <v>108</v>
      </c>
      <c r="AB25">
        <v>5.32</v>
      </c>
      <c r="AD25">
        <f t="shared" si="27"/>
        <v>0.53200000000000003</v>
      </c>
    </row>
    <row r="26" spans="1:35" ht="15.75" thickBot="1" x14ac:dyDescent="0.3">
      <c r="N26" s="25">
        <v>20133</v>
      </c>
      <c r="O26" s="27">
        <v>0</v>
      </c>
      <c r="P26" s="25">
        <v>1362325</v>
      </c>
      <c r="Q26" s="27">
        <v>19</v>
      </c>
      <c r="R26" s="25">
        <v>2198502</v>
      </c>
      <c r="S26" s="27">
        <v>32</v>
      </c>
      <c r="T26" s="25">
        <v>1601633</v>
      </c>
      <c r="U26" s="27">
        <v>70</v>
      </c>
      <c r="AA26" s="46" t="s">
        <v>110</v>
      </c>
      <c r="AB26">
        <v>6.96</v>
      </c>
      <c r="AD26">
        <f t="shared" si="27"/>
        <v>0.69599999999999995</v>
      </c>
    </row>
    <row r="27" spans="1:35" ht="15.75" thickBot="1" x14ac:dyDescent="0.3">
      <c r="A27" s="286" t="s">
        <v>61</v>
      </c>
      <c r="B27" s="286"/>
      <c r="C27" s="286"/>
      <c r="D27" s="286"/>
      <c r="E27" s="286"/>
      <c r="F27" s="286"/>
      <c r="G27" s="286"/>
      <c r="H27" s="286"/>
      <c r="I27" s="286"/>
      <c r="J27" s="286"/>
      <c r="K27" s="286"/>
      <c r="AA27" s="46" t="s">
        <v>109</v>
      </c>
      <c r="AB27">
        <v>3.0100000000000002</v>
      </c>
      <c r="AD27">
        <f t="shared" si="27"/>
        <v>0.30100000000000005</v>
      </c>
    </row>
    <row r="28" spans="1:35" ht="15.75" thickBot="1" x14ac:dyDescent="0.3">
      <c r="A28" s="41"/>
      <c r="B28" s="265" t="s">
        <v>84</v>
      </c>
      <c r="C28" s="265"/>
      <c r="D28" s="265"/>
      <c r="E28" s="265"/>
      <c r="F28" s="265"/>
      <c r="G28" s="265"/>
      <c r="H28" s="265"/>
      <c r="I28" s="111" t="s">
        <v>30</v>
      </c>
      <c r="J28" s="99"/>
      <c r="K28" s="100"/>
      <c r="AA28" s="47" t="s">
        <v>111</v>
      </c>
      <c r="AB28">
        <v>4.9800000000000004</v>
      </c>
      <c r="AD28">
        <f t="shared" si="27"/>
        <v>0.49800000000000005</v>
      </c>
    </row>
    <row r="29" spans="1:35" ht="15.75" thickBot="1" x14ac:dyDescent="0.3">
      <c r="A29" s="42"/>
      <c r="B29" s="144" t="s">
        <v>23</v>
      </c>
      <c r="C29" s="146" t="s">
        <v>24</v>
      </c>
      <c r="D29" s="147" t="s">
        <v>25</v>
      </c>
      <c r="E29" s="148" t="s">
        <v>26</v>
      </c>
      <c r="F29" s="149" t="s">
        <v>27</v>
      </c>
      <c r="G29" s="150" t="s">
        <v>62</v>
      </c>
      <c r="H29" s="145" t="s">
        <v>63</v>
      </c>
      <c r="I29" s="28"/>
      <c r="J29" s="107"/>
      <c r="K29" s="106"/>
    </row>
    <row r="30" spans="1:35" x14ac:dyDescent="0.25">
      <c r="A30" s="22" t="s">
        <v>13</v>
      </c>
      <c r="B30" s="108">
        <v>0</v>
      </c>
      <c r="C30" s="109">
        <v>0</v>
      </c>
      <c r="D30" s="109">
        <v>0</v>
      </c>
      <c r="E30" s="110">
        <v>1</v>
      </c>
      <c r="F30" s="109">
        <v>0</v>
      </c>
      <c r="G30" s="20">
        <v>0</v>
      </c>
      <c r="H30" s="109">
        <v>1</v>
      </c>
      <c r="I30" s="108">
        <f>SUM(B30:H30)</f>
        <v>2</v>
      </c>
      <c r="J30" s="20"/>
      <c r="K30" s="115"/>
    </row>
    <row r="31" spans="1:35" x14ac:dyDescent="0.25">
      <c r="A31" s="22" t="s">
        <v>15</v>
      </c>
      <c r="B31" s="32">
        <v>0</v>
      </c>
      <c r="C31" s="34">
        <v>1</v>
      </c>
      <c r="D31" s="34">
        <v>0</v>
      </c>
      <c r="E31" s="68">
        <v>0</v>
      </c>
      <c r="F31" s="68">
        <v>0</v>
      </c>
      <c r="G31" s="23">
        <v>1</v>
      </c>
      <c r="H31" s="68">
        <v>0</v>
      </c>
      <c r="I31" s="32">
        <f t="shared" ref="I31:I36" si="29">SUM(B31:H31)</f>
        <v>2</v>
      </c>
      <c r="J31" s="37"/>
      <c r="K31" s="24"/>
    </row>
    <row r="32" spans="1:35" x14ac:dyDescent="0.25">
      <c r="A32" s="22" t="s">
        <v>6</v>
      </c>
      <c r="B32" s="32">
        <v>0</v>
      </c>
      <c r="C32" s="34">
        <v>0</v>
      </c>
      <c r="D32" s="34">
        <v>0</v>
      </c>
      <c r="E32" s="68">
        <v>0</v>
      </c>
      <c r="F32" s="34">
        <v>1</v>
      </c>
      <c r="G32" s="23">
        <v>1</v>
      </c>
      <c r="H32" s="68">
        <v>0</v>
      </c>
      <c r="I32" s="32">
        <f t="shared" si="29"/>
        <v>2</v>
      </c>
      <c r="J32" s="30"/>
      <c r="K32" s="36"/>
    </row>
    <row r="33" spans="1:15" x14ac:dyDescent="0.25">
      <c r="A33" s="22" t="s">
        <v>56</v>
      </c>
      <c r="B33" s="32">
        <v>1</v>
      </c>
      <c r="C33" s="68">
        <v>0</v>
      </c>
      <c r="D33" s="68">
        <v>0</v>
      </c>
      <c r="E33" s="68">
        <v>0</v>
      </c>
      <c r="F33" s="68">
        <v>1</v>
      </c>
      <c r="G33" s="68">
        <v>0</v>
      </c>
      <c r="H33" s="68">
        <v>0</v>
      </c>
      <c r="I33" s="32">
        <f t="shared" si="29"/>
        <v>2</v>
      </c>
      <c r="J33" s="23"/>
      <c r="K33" s="24"/>
    </row>
    <row r="34" spans="1:15" x14ac:dyDescent="0.25">
      <c r="A34" s="22" t="s">
        <v>104</v>
      </c>
      <c r="B34" s="32">
        <v>0</v>
      </c>
      <c r="C34" s="68">
        <v>1</v>
      </c>
      <c r="D34" s="68">
        <v>1</v>
      </c>
      <c r="E34" s="68">
        <v>0</v>
      </c>
      <c r="F34" s="68">
        <v>0</v>
      </c>
      <c r="G34" s="68">
        <v>0</v>
      </c>
      <c r="H34" s="68">
        <v>0</v>
      </c>
      <c r="I34" s="32">
        <f t="shared" si="29"/>
        <v>2</v>
      </c>
      <c r="J34" s="23"/>
      <c r="K34" s="24"/>
    </row>
    <row r="35" spans="1:15" x14ac:dyDescent="0.25">
      <c r="A35" s="22" t="s">
        <v>17</v>
      </c>
      <c r="B35" s="22">
        <v>1</v>
      </c>
      <c r="C35" s="68">
        <v>0</v>
      </c>
      <c r="D35" s="68">
        <v>0</v>
      </c>
      <c r="E35" s="68">
        <v>1</v>
      </c>
      <c r="F35" s="68">
        <v>0</v>
      </c>
      <c r="G35" s="68">
        <v>0</v>
      </c>
      <c r="H35" s="68">
        <v>0</v>
      </c>
      <c r="I35" s="32">
        <f t="shared" si="29"/>
        <v>2</v>
      </c>
      <c r="J35" s="23"/>
      <c r="K35" s="24"/>
    </row>
    <row r="36" spans="1:15" ht="15.75" thickBot="1" x14ac:dyDescent="0.3">
      <c r="A36" s="25" t="s">
        <v>53</v>
      </c>
      <c r="B36" s="25">
        <v>0</v>
      </c>
      <c r="C36" s="26">
        <v>0</v>
      </c>
      <c r="D36" s="26">
        <v>1</v>
      </c>
      <c r="E36" s="26">
        <v>0</v>
      </c>
      <c r="F36" s="26">
        <v>0</v>
      </c>
      <c r="G36" s="26">
        <v>0</v>
      </c>
      <c r="H36" s="26">
        <v>1</v>
      </c>
      <c r="I36" s="33">
        <f t="shared" si="29"/>
        <v>2</v>
      </c>
      <c r="J36" s="26"/>
      <c r="K36" s="27"/>
    </row>
    <row r="37" spans="1:15" x14ac:dyDescent="0.25">
      <c r="B37">
        <f>SUM(B30:B36)</f>
        <v>2</v>
      </c>
      <c r="C37">
        <f t="shared" ref="C37:H37" si="30">SUM(C30:C36)</f>
        <v>2</v>
      </c>
      <c r="D37">
        <f t="shared" si="30"/>
        <v>2</v>
      </c>
      <c r="E37">
        <f t="shared" si="30"/>
        <v>2</v>
      </c>
      <c r="F37">
        <f t="shared" si="30"/>
        <v>2</v>
      </c>
      <c r="G37">
        <f t="shared" si="30"/>
        <v>2</v>
      </c>
      <c r="H37">
        <f t="shared" si="30"/>
        <v>2</v>
      </c>
    </row>
    <row r="40" spans="1:15" x14ac:dyDescent="0.25">
      <c r="L40" s="22">
        <v>1099177</v>
      </c>
      <c r="M40" s="24">
        <v>0</v>
      </c>
      <c r="N40" s="22">
        <v>6450637</v>
      </c>
      <c r="O40" s="24">
        <v>209</v>
      </c>
    </row>
    <row r="41" spans="1:15" x14ac:dyDescent="0.25">
      <c r="L41" s="22">
        <v>1056523</v>
      </c>
      <c r="M41" s="24">
        <v>0</v>
      </c>
      <c r="N41" s="22">
        <v>4426424</v>
      </c>
      <c r="O41" s="24">
        <v>162</v>
      </c>
    </row>
    <row r="42" spans="1:15" x14ac:dyDescent="0.25">
      <c r="L42" s="22">
        <v>1053381</v>
      </c>
      <c r="M42" s="24">
        <v>0</v>
      </c>
      <c r="N42" s="22">
        <v>1005565</v>
      </c>
      <c r="O42" s="24">
        <v>286</v>
      </c>
    </row>
    <row r="43" spans="1:15" x14ac:dyDescent="0.25">
      <c r="L43" s="23">
        <v>1040555</v>
      </c>
      <c r="M43" s="24">
        <v>0</v>
      </c>
      <c r="N43" s="22">
        <v>281839</v>
      </c>
      <c r="O43" s="24">
        <v>246</v>
      </c>
    </row>
    <row r="44" spans="1:15" x14ac:dyDescent="0.25">
      <c r="L44" s="22">
        <v>1051421</v>
      </c>
      <c r="M44" s="24">
        <v>0</v>
      </c>
      <c r="N44" s="22">
        <v>5218822</v>
      </c>
      <c r="O44" s="24">
        <v>188</v>
      </c>
    </row>
    <row r="45" spans="1:15" x14ac:dyDescent="0.25">
      <c r="L45" s="22">
        <v>1052657</v>
      </c>
      <c r="M45" s="24">
        <v>0</v>
      </c>
      <c r="N45" s="22">
        <v>4086627</v>
      </c>
      <c r="O45" s="24">
        <v>65</v>
      </c>
    </row>
    <row r="46" spans="1:15" ht="15.75" thickBot="1" x14ac:dyDescent="0.3">
      <c r="L46" s="25">
        <v>1052523</v>
      </c>
      <c r="M46" s="27">
        <v>0</v>
      </c>
      <c r="N46" s="25">
        <v>1105729</v>
      </c>
      <c r="O46" s="27">
        <v>298</v>
      </c>
    </row>
  </sheetData>
  <mergeCells count="6">
    <mergeCell ref="B28:H28"/>
    <mergeCell ref="B15:H15"/>
    <mergeCell ref="A1:K1"/>
    <mergeCell ref="B2:H2"/>
    <mergeCell ref="A14:K14"/>
    <mergeCell ref="A27:K27"/>
  </mergeCells>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
  <sheetViews>
    <sheetView topLeftCell="N1" workbookViewId="0">
      <selection activeCell="V16" sqref="V16"/>
    </sheetView>
  </sheetViews>
  <sheetFormatPr defaultRowHeight="15" x14ac:dyDescent="0.25"/>
  <cols>
    <col min="2" max="2" width="15" customWidth="1"/>
    <col min="5" max="5" width="9.140625" customWidth="1"/>
    <col min="6" max="6" width="0.5703125" customWidth="1"/>
    <col min="7" max="7" width="13.85546875" customWidth="1"/>
    <col min="11" max="11" width="15" customWidth="1"/>
    <col min="15" max="15" width="14.7109375" customWidth="1"/>
    <col min="19" max="19" width="14.42578125" customWidth="1"/>
    <col min="23" max="23" width="14.42578125" customWidth="1"/>
    <col min="27" max="27" width="12.7109375" customWidth="1"/>
  </cols>
  <sheetData>
    <row r="1" spans="1:30" ht="15.75" thickBot="1" x14ac:dyDescent="0.3"/>
    <row r="2" spans="1:30" ht="15.75" thickBot="1" x14ac:dyDescent="0.3">
      <c r="B2" s="294" t="s">
        <v>13</v>
      </c>
      <c r="C2" s="295"/>
      <c r="D2" s="296"/>
      <c r="G2" s="294" t="s">
        <v>15</v>
      </c>
      <c r="H2" s="295"/>
      <c r="I2" s="296"/>
      <c r="K2" s="294" t="s">
        <v>6</v>
      </c>
      <c r="L2" s="295"/>
      <c r="M2" s="296"/>
      <c r="O2" s="294" t="s">
        <v>7</v>
      </c>
      <c r="P2" s="295"/>
      <c r="Q2" s="296"/>
      <c r="S2" s="294" t="s">
        <v>104</v>
      </c>
      <c r="T2" s="295"/>
      <c r="U2" s="296"/>
      <c r="W2" s="294" t="s">
        <v>86</v>
      </c>
      <c r="X2" s="295"/>
      <c r="Y2" s="296"/>
      <c r="AA2" s="294" t="s">
        <v>82</v>
      </c>
      <c r="AB2" s="295"/>
      <c r="AC2" s="296"/>
    </row>
    <row r="3" spans="1:30" ht="15.75" thickBot="1" x14ac:dyDescent="0.3">
      <c r="A3" s="230"/>
      <c r="B3" s="157"/>
      <c r="C3" s="231" t="s">
        <v>1</v>
      </c>
      <c r="D3" s="232" t="s">
        <v>83</v>
      </c>
      <c r="E3" s="230"/>
      <c r="F3" s="230"/>
      <c r="G3" s="186"/>
      <c r="H3" s="231" t="s">
        <v>1</v>
      </c>
      <c r="I3" s="232" t="s">
        <v>83</v>
      </c>
      <c r="J3" s="230"/>
      <c r="K3" s="186"/>
      <c r="L3" s="231" t="s">
        <v>1</v>
      </c>
      <c r="M3" s="232" t="s">
        <v>83</v>
      </c>
      <c r="N3" s="230"/>
      <c r="O3" s="186"/>
      <c r="P3" s="231" t="s">
        <v>1</v>
      </c>
      <c r="Q3" s="232" t="s">
        <v>83</v>
      </c>
      <c r="R3" s="230"/>
      <c r="S3" s="186"/>
      <c r="T3" s="231" t="s">
        <v>1</v>
      </c>
      <c r="U3" s="232" t="s">
        <v>83</v>
      </c>
      <c r="V3" s="230"/>
      <c r="W3" s="186"/>
      <c r="X3" s="231" t="s">
        <v>1</v>
      </c>
      <c r="Y3" s="232" t="s">
        <v>83</v>
      </c>
      <c r="Z3" s="230"/>
      <c r="AA3" s="186"/>
      <c r="AB3" s="231" t="s">
        <v>1</v>
      </c>
      <c r="AC3" s="232" t="s">
        <v>83</v>
      </c>
      <c r="AD3" s="230"/>
    </row>
    <row r="4" spans="1:30" x14ac:dyDescent="0.25">
      <c r="B4" s="235" t="s">
        <v>93</v>
      </c>
      <c r="C4" s="21">
        <v>24696</v>
      </c>
      <c r="D4" s="39">
        <v>11760731</v>
      </c>
      <c r="G4" s="233" t="s">
        <v>93</v>
      </c>
      <c r="H4" s="23">
        <v>30795</v>
      </c>
      <c r="I4" s="39">
        <v>23278039</v>
      </c>
      <c r="K4" s="233" t="s">
        <v>93</v>
      </c>
      <c r="L4" s="23">
        <v>30228</v>
      </c>
      <c r="M4" s="39">
        <v>23219339</v>
      </c>
      <c r="O4" s="233" t="s">
        <v>93</v>
      </c>
      <c r="P4" s="23">
        <v>30462</v>
      </c>
      <c r="Q4" s="39">
        <v>23254167</v>
      </c>
      <c r="S4" s="233" t="s">
        <v>93</v>
      </c>
      <c r="T4" s="23">
        <v>29083</v>
      </c>
      <c r="U4" s="39">
        <v>25799922</v>
      </c>
      <c r="W4" s="233" t="s">
        <v>93</v>
      </c>
      <c r="X4" s="23">
        <v>28378</v>
      </c>
      <c r="Y4" s="39">
        <v>25930366</v>
      </c>
      <c r="AA4" s="233" t="s">
        <v>93</v>
      </c>
      <c r="AB4" s="23">
        <v>29889</v>
      </c>
      <c r="AC4" s="39">
        <v>25234731</v>
      </c>
    </row>
    <row r="5" spans="1:30" x14ac:dyDescent="0.25">
      <c r="B5" s="233" t="s">
        <v>94</v>
      </c>
      <c r="C5" s="24">
        <v>32572</v>
      </c>
      <c r="D5" s="39">
        <v>12468647</v>
      </c>
      <c r="G5" s="233" t="s">
        <v>94</v>
      </c>
      <c r="H5" s="23">
        <v>29505</v>
      </c>
      <c r="I5" s="39">
        <v>23214926</v>
      </c>
      <c r="K5" s="233" t="s">
        <v>94</v>
      </c>
      <c r="L5" s="23">
        <v>31140</v>
      </c>
      <c r="M5" s="39">
        <v>23295295</v>
      </c>
      <c r="O5" s="233" t="s">
        <v>94</v>
      </c>
      <c r="P5" s="23">
        <v>30474</v>
      </c>
      <c r="Q5" s="39">
        <v>23254194</v>
      </c>
      <c r="S5" s="233" t="s">
        <v>94</v>
      </c>
      <c r="T5" s="23">
        <v>37301</v>
      </c>
      <c r="U5" s="39">
        <v>24763210</v>
      </c>
      <c r="W5" s="233" t="s">
        <v>94</v>
      </c>
      <c r="X5" s="23">
        <v>37922</v>
      </c>
      <c r="Y5" s="39">
        <v>24375929</v>
      </c>
      <c r="AA5" s="233" t="s">
        <v>94</v>
      </c>
      <c r="AB5" s="23">
        <v>38727</v>
      </c>
      <c r="AC5" s="39">
        <v>23825000</v>
      </c>
    </row>
    <row r="6" spans="1:30" x14ac:dyDescent="0.25">
      <c r="B6" s="233" t="s">
        <v>95</v>
      </c>
      <c r="C6" s="24">
        <v>31080</v>
      </c>
      <c r="D6" s="39">
        <v>12968606</v>
      </c>
      <c r="G6" s="233" t="s">
        <v>95</v>
      </c>
      <c r="H6" s="23">
        <v>30387</v>
      </c>
      <c r="I6" s="39">
        <v>23275982</v>
      </c>
      <c r="K6" s="233" t="s">
        <v>95</v>
      </c>
      <c r="L6" s="23">
        <v>31291</v>
      </c>
      <c r="M6" s="39">
        <v>23230192</v>
      </c>
      <c r="O6" s="233" t="s">
        <v>95</v>
      </c>
      <c r="P6" s="23">
        <v>30475</v>
      </c>
      <c r="Q6" s="39">
        <v>23254203</v>
      </c>
      <c r="S6" s="233" t="s">
        <v>95</v>
      </c>
      <c r="T6" s="23">
        <v>28287</v>
      </c>
      <c r="U6" s="39">
        <v>28308251</v>
      </c>
      <c r="W6" s="233" t="s">
        <v>95</v>
      </c>
      <c r="X6" s="23">
        <v>28508</v>
      </c>
      <c r="Y6" s="39">
        <v>26129390</v>
      </c>
      <c r="AA6" s="233" t="s">
        <v>95</v>
      </c>
      <c r="AB6" s="23">
        <v>28725</v>
      </c>
      <c r="AC6" s="39">
        <v>23330037</v>
      </c>
    </row>
    <row r="7" spans="1:30" x14ac:dyDescent="0.25">
      <c r="B7" s="233" t="s">
        <v>96</v>
      </c>
      <c r="C7" s="24">
        <v>44889</v>
      </c>
      <c r="D7" s="39">
        <v>12890553</v>
      </c>
      <c r="G7" s="233" t="s">
        <v>96</v>
      </c>
      <c r="H7" s="23">
        <v>29455</v>
      </c>
      <c r="I7" s="39">
        <v>23242523</v>
      </c>
      <c r="K7" s="233" t="s">
        <v>96</v>
      </c>
      <c r="L7" s="23">
        <v>30957</v>
      </c>
      <c r="M7" s="39">
        <v>23237539</v>
      </c>
      <c r="O7" s="233" t="s">
        <v>96</v>
      </c>
      <c r="P7" s="23">
        <v>30475</v>
      </c>
      <c r="Q7" s="39">
        <v>23254187</v>
      </c>
      <c r="S7" s="233" t="s">
        <v>96</v>
      </c>
      <c r="T7" s="23">
        <v>30185</v>
      </c>
      <c r="U7" s="39">
        <v>27276617</v>
      </c>
      <c r="W7" s="233" t="s">
        <v>96</v>
      </c>
      <c r="X7" s="23">
        <v>30297</v>
      </c>
      <c r="Y7" s="39">
        <v>26808585</v>
      </c>
      <c r="AA7" s="233" t="s">
        <v>96</v>
      </c>
      <c r="AB7" s="23">
        <v>27849</v>
      </c>
      <c r="AC7" s="39">
        <v>27193070</v>
      </c>
    </row>
    <row r="8" spans="1:30" x14ac:dyDescent="0.25">
      <c r="B8" s="233" t="s">
        <v>97</v>
      </c>
      <c r="C8" s="24">
        <v>49403</v>
      </c>
      <c r="D8" s="39">
        <v>13741591</v>
      </c>
      <c r="G8" s="233" t="s">
        <v>97</v>
      </c>
      <c r="H8" s="23">
        <v>30269</v>
      </c>
      <c r="I8" s="39">
        <v>23282987</v>
      </c>
      <c r="K8" s="233" t="s">
        <v>97</v>
      </c>
      <c r="L8" s="23">
        <v>30551</v>
      </c>
      <c r="M8" s="39">
        <v>23235461</v>
      </c>
      <c r="O8" s="233" t="s">
        <v>97</v>
      </c>
      <c r="P8" s="23">
        <v>30475</v>
      </c>
      <c r="Q8" s="39">
        <v>23254177</v>
      </c>
      <c r="S8" s="233" t="s">
        <v>97</v>
      </c>
      <c r="T8" s="23">
        <v>28041</v>
      </c>
      <c r="U8" s="39">
        <v>23530005</v>
      </c>
      <c r="W8" s="233" t="s">
        <v>97</v>
      </c>
      <c r="X8" s="23">
        <v>27887</v>
      </c>
      <c r="Y8" s="39">
        <v>25775907</v>
      </c>
      <c r="AA8" s="233" t="s">
        <v>97</v>
      </c>
      <c r="AB8" s="23">
        <v>30150</v>
      </c>
      <c r="AC8" s="39">
        <v>22498312</v>
      </c>
    </row>
    <row r="9" spans="1:30" x14ac:dyDescent="0.25">
      <c r="B9" s="233" t="s">
        <v>98</v>
      </c>
      <c r="C9" s="24">
        <v>18966</v>
      </c>
      <c r="D9" s="39">
        <v>15690275</v>
      </c>
      <c r="G9" s="233" t="s">
        <v>98</v>
      </c>
      <c r="H9" s="23">
        <v>30302</v>
      </c>
      <c r="I9" s="39">
        <v>23277982</v>
      </c>
      <c r="K9" s="233" t="s">
        <v>98</v>
      </c>
      <c r="L9" s="23">
        <v>29767</v>
      </c>
      <c r="M9" s="39">
        <v>23285312</v>
      </c>
      <c r="O9" s="233" t="s">
        <v>98</v>
      </c>
      <c r="P9" s="23">
        <v>30475</v>
      </c>
      <c r="Q9" s="39">
        <v>23254187</v>
      </c>
      <c r="S9" s="233" t="s">
        <v>98</v>
      </c>
      <c r="T9" s="23">
        <v>28574</v>
      </c>
      <c r="U9" s="39">
        <v>22582947</v>
      </c>
      <c r="W9" s="233" t="s">
        <v>98</v>
      </c>
      <c r="X9" s="23">
        <v>29322</v>
      </c>
      <c r="Y9" s="39">
        <v>23951210</v>
      </c>
      <c r="AA9" s="233" t="s">
        <v>98</v>
      </c>
      <c r="AB9" s="23">
        <v>29754</v>
      </c>
      <c r="AC9" s="39">
        <v>10581276</v>
      </c>
    </row>
    <row r="10" spans="1:30" x14ac:dyDescent="0.25">
      <c r="B10" s="233" t="s">
        <v>99</v>
      </c>
      <c r="C10" s="24">
        <v>23516</v>
      </c>
      <c r="D10" s="39">
        <v>16778577</v>
      </c>
      <c r="G10" s="233" t="s">
        <v>99</v>
      </c>
      <c r="H10" s="23">
        <v>31754</v>
      </c>
      <c r="I10" s="39">
        <v>23289565</v>
      </c>
      <c r="K10" s="233" t="s">
        <v>99</v>
      </c>
      <c r="L10" s="23">
        <v>30836</v>
      </c>
      <c r="M10" s="39">
        <v>23283548</v>
      </c>
      <c r="O10" s="233" t="s">
        <v>99</v>
      </c>
      <c r="P10" s="23">
        <v>30475</v>
      </c>
      <c r="Q10" s="39">
        <v>23254193</v>
      </c>
      <c r="S10" s="233" t="s">
        <v>99</v>
      </c>
      <c r="T10" s="23">
        <v>27880</v>
      </c>
      <c r="U10" s="39">
        <v>9725626</v>
      </c>
      <c r="W10" s="233" t="s">
        <v>99</v>
      </c>
      <c r="X10" s="23">
        <v>28327</v>
      </c>
      <c r="Y10" s="39">
        <v>9399228</v>
      </c>
      <c r="AA10" s="233" t="s">
        <v>99</v>
      </c>
      <c r="AB10" s="23">
        <v>32455</v>
      </c>
      <c r="AC10" s="39">
        <v>21877623</v>
      </c>
    </row>
    <row r="11" spans="1:30" x14ac:dyDescent="0.25">
      <c r="B11" s="233" t="s">
        <v>100</v>
      </c>
      <c r="C11" s="24">
        <v>24893</v>
      </c>
      <c r="D11" s="39">
        <v>18506490</v>
      </c>
      <c r="G11" s="233" t="s">
        <v>100</v>
      </c>
      <c r="H11" s="23">
        <v>29360</v>
      </c>
      <c r="I11" s="39">
        <v>23183561</v>
      </c>
      <c r="K11" s="233" t="s">
        <v>100</v>
      </c>
      <c r="L11" s="23">
        <v>30458</v>
      </c>
      <c r="M11" s="39">
        <v>23242471</v>
      </c>
      <c r="O11" s="233" t="s">
        <v>100</v>
      </c>
      <c r="P11" s="56">
        <v>30475</v>
      </c>
      <c r="Q11" s="39">
        <v>23254184</v>
      </c>
      <c r="S11" s="233" t="s">
        <v>100</v>
      </c>
      <c r="T11" s="23">
        <v>32681</v>
      </c>
      <c r="U11" s="39">
        <v>22611017</v>
      </c>
      <c r="W11" s="233" t="s">
        <v>100</v>
      </c>
      <c r="X11" s="23">
        <v>32433</v>
      </c>
      <c r="Y11" s="39">
        <v>22983510</v>
      </c>
      <c r="AA11" s="233" t="s">
        <v>100</v>
      </c>
      <c r="AB11" s="23">
        <v>28942</v>
      </c>
      <c r="AC11" s="39">
        <v>25056172</v>
      </c>
    </row>
    <row r="12" spans="1:30" x14ac:dyDescent="0.25">
      <c r="B12" s="233" t="s">
        <v>101</v>
      </c>
      <c r="C12" s="24">
        <v>29445</v>
      </c>
      <c r="D12" s="39">
        <v>107697634</v>
      </c>
      <c r="G12" s="233" t="s">
        <v>101</v>
      </c>
      <c r="H12" s="23">
        <v>30570</v>
      </c>
      <c r="I12" s="39">
        <v>23250377</v>
      </c>
      <c r="K12" s="233" t="s">
        <v>101</v>
      </c>
      <c r="L12" s="23">
        <v>28348</v>
      </c>
      <c r="M12" s="39">
        <v>23272929</v>
      </c>
      <c r="O12" s="233" t="s">
        <v>101</v>
      </c>
      <c r="P12" s="23">
        <v>30475</v>
      </c>
      <c r="Q12" s="39">
        <v>23254183</v>
      </c>
      <c r="S12" s="233" t="s">
        <v>101</v>
      </c>
      <c r="T12" s="23">
        <v>31464</v>
      </c>
      <c r="U12" s="39">
        <v>24131797</v>
      </c>
      <c r="W12" s="233" t="s">
        <v>101</v>
      </c>
      <c r="X12" s="23">
        <v>31137</v>
      </c>
      <c r="Y12" s="39">
        <v>23180377</v>
      </c>
      <c r="AA12" s="233" t="s">
        <v>101</v>
      </c>
      <c r="AB12" s="23">
        <v>29571</v>
      </c>
      <c r="AC12" s="39">
        <v>25872623</v>
      </c>
    </row>
    <row r="13" spans="1:30" ht="15.75" thickBot="1" x14ac:dyDescent="0.3">
      <c r="B13" s="234" t="s">
        <v>102</v>
      </c>
      <c r="C13" s="27">
        <v>25267</v>
      </c>
      <c r="D13" s="40">
        <v>10033298</v>
      </c>
      <c r="G13" s="234" t="s">
        <v>102</v>
      </c>
      <c r="H13" s="26">
        <v>32186</v>
      </c>
      <c r="I13" s="40">
        <v>23240460</v>
      </c>
      <c r="K13" s="234" t="s">
        <v>102</v>
      </c>
      <c r="L13" s="26">
        <v>31007</v>
      </c>
      <c r="M13" s="40">
        <v>23234316</v>
      </c>
      <c r="O13" s="234" t="s">
        <v>102</v>
      </c>
      <c r="P13" s="26">
        <v>30475</v>
      </c>
      <c r="Q13" s="40">
        <v>23254178</v>
      </c>
      <c r="S13" s="234" t="s">
        <v>102</v>
      </c>
      <c r="T13" s="26">
        <v>31087</v>
      </c>
      <c r="U13" s="40">
        <v>23807010</v>
      </c>
      <c r="W13" s="234" t="s">
        <v>102</v>
      </c>
      <c r="X13" s="26">
        <v>30372</v>
      </c>
      <c r="Y13" s="40">
        <v>24001900</v>
      </c>
      <c r="AA13" s="234" t="s">
        <v>102</v>
      </c>
      <c r="AB13" s="26">
        <v>28521</v>
      </c>
      <c r="AC13" s="40">
        <v>27067558</v>
      </c>
    </row>
    <row r="14" spans="1:30" x14ac:dyDescent="0.25">
      <c r="A14" s="236"/>
      <c r="B14" s="237" t="s">
        <v>103</v>
      </c>
      <c r="C14">
        <f>STDEV(C4:C13)</f>
        <v>9686.3044902469301</v>
      </c>
      <c r="D14">
        <f t="shared" ref="D14:I14" si="0">STDEV(D4:D13)</f>
        <v>29775623.015014127</v>
      </c>
      <c r="F14" t="e">
        <f t="shared" si="0"/>
        <v>#DIV/0!</v>
      </c>
      <c r="H14">
        <f t="shared" si="0"/>
        <v>941.43106787249985</v>
      </c>
      <c r="I14">
        <f t="shared" si="0"/>
        <v>34248.517336277982</v>
      </c>
      <c r="L14">
        <f t="shared" ref="L14:M14" si="1">STDEV(L4:L13)</f>
        <v>871.99822247525242</v>
      </c>
      <c r="M14">
        <f t="shared" si="1"/>
        <v>27525.861935439712</v>
      </c>
      <c r="P14">
        <f t="shared" ref="P14:Q14" si="2">STDEV(P4:P13)</f>
        <v>4.0879225911349044</v>
      </c>
      <c r="Q14">
        <f t="shared" si="2"/>
        <v>10.100055005350768</v>
      </c>
      <c r="T14">
        <f t="shared" ref="T14:U14" si="3">STDEV(T4:T13)</f>
        <v>2903.8648212339358</v>
      </c>
      <c r="U14">
        <f t="shared" si="3"/>
        <v>5115548.2143887356</v>
      </c>
      <c r="X14">
        <f t="shared" ref="X14:Y14" si="4">STDEV(X4:X13)</f>
        <v>2994.0102445456737</v>
      </c>
      <c r="Y14">
        <f t="shared" si="4"/>
        <v>5041641.7519574361</v>
      </c>
      <c r="AB14">
        <f t="shared" ref="AB14:AC14" si="5">STDEV(AB4:AB13)</f>
        <v>3160.9733750504406</v>
      </c>
      <c r="AC14">
        <f t="shared" si="5"/>
        <v>4801423.8122410225</v>
      </c>
    </row>
  </sheetData>
  <mergeCells count="7">
    <mergeCell ref="S2:U2"/>
    <mergeCell ref="W2:Y2"/>
    <mergeCell ref="AA2:AC2"/>
    <mergeCell ref="B2:D2"/>
    <mergeCell ref="G2:I2"/>
    <mergeCell ref="K2:M2"/>
    <mergeCell ref="O2:Q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Fedx Results</vt:lpstr>
      <vt:lpstr>SemagrowResults</vt:lpstr>
      <vt:lpstr>Koral Results</vt:lpstr>
      <vt:lpstr>benchmark-execution</vt:lpstr>
      <vt:lpstr>average-execution-time</vt:lpstr>
      <vt:lpstr>partition time</vt:lpstr>
      <vt:lpstr>timeout queries</vt:lpstr>
      <vt:lpstr>scores</vt:lpstr>
      <vt:lpstr>Partition-sizes</vt:lpstr>
      <vt:lpstr>Standard-deviation</vt:lpstr>
      <vt:lpstr>Gini-coefficient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2018-01-09T21:58:49Z</dcterms:created>
  <dcterms:modified xsi:type="dcterms:W3CDTF">2018-04-07T07:50:03Z</dcterms:modified>
</cp:coreProperties>
</file>